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Nozares budzeta planosanas departaments\Liene\COVID-19_PIEMAKSAS\Uz_FM_sutitais\Ārim\"/>
    </mc:Choice>
  </mc:AlternateContent>
  <xr:revisionPtr revIDLastSave="0" documentId="13_ncr:1_{7E9F0C85-2A13-48FB-A983-2FF17B03507D}" xr6:coauthVersionLast="45" xr6:coauthVersionMax="45" xr10:uidLastSave="{00000000-0000-0000-0000-000000000000}"/>
  <bookViews>
    <workbookView xWindow="-120" yWindow="-120" windowWidth="29040" windowHeight="15840" tabRatio="904" firstSheet="3" xr2:uid="{00000000-000D-0000-FFFF-FFFF00000000}"/>
  </bookViews>
  <sheets>
    <sheet name="KOPĀ" sheetId="3" r:id="rId1"/>
    <sheet name="BKUS" sheetId="40" r:id="rId2"/>
    <sheet name="BKUS_akord_marts" sheetId="43" r:id="rId3"/>
    <sheet name="BKUS_akord_aprīlis" sheetId="44" r:id="rId4"/>
    <sheet name="PSKUS" sheetId="41" r:id="rId5"/>
    <sheet name="RAKUS" sheetId="42" r:id="rId6"/>
    <sheet name="Jūrm_prec.18.05." sheetId="39" r:id="rId7"/>
    <sheet name="Vidzem" sheetId="31" r:id="rId8"/>
    <sheet name="Aluksn" sheetId="27" r:id="rId9"/>
    <sheet name="Balv" sheetId="25" r:id="rId10"/>
    <sheet name="Cēsis" sheetId="24" r:id="rId11"/>
    <sheet name="R.2.sl." sheetId="13" r:id="rId12"/>
    <sheet name="R.DzN" sheetId="26" r:id="rId13"/>
    <sheet name="RPNC" sheetId="28" r:id="rId14"/>
    <sheet name="Vaivari" sheetId="29" r:id="rId15"/>
    <sheet name="Piejura" sheetId="14" r:id="rId16"/>
    <sheet name="Daug_psih" sheetId="15" r:id="rId17"/>
    <sheet name="Rezekne" sheetId="17" r:id="rId18"/>
    <sheet name="Kraslava" sheetId="18" r:id="rId19"/>
    <sheet name="Gintermuiza" sheetId="19" r:id="rId20"/>
    <sheet name="Kuldiga" sheetId="21" r:id="rId21"/>
    <sheet name="Jelgava" sheetId="22" r:id="rId22"/>
    <sheet name="Ogre" sheetId="23" r:id="rId23"/>
    <sheet name="Jekabp" sheetId="34" r:id="rId24"/>
    <sheet name="Liep_reg" sheetId="37" r:id="rId25"/>
    <sheet name="NMPD" sheetId="45" r:id="rId26"/>
    <sheet name="NVD" sheetId="46" r:id="rId27"/>
    <sheet name="SPKC" sheetId="47" r:id="rId28"/>
  </sheets>
  <definedNames>
    <definedName name="_xlnm._FilterDatabase" localSheetId="1" hidden="1">BKUS!$A$9:$T$454</definedName>
    <definedName name="_xlnm._FilterDatabase" localSheetId="24" hidden="1">Liep_reg!$A$9:$X$141</definedName>
    <definedName name="_xlnm._FilterDatabase" localSheetId="25" hidden="1">NMPD!$A$10:$S$183</definedName>
    <definedName name="_xlnm._FilterDatabase" localSheetId="4" hidden="1">PSKUS!$A$9:$M$459</definedName>
    <definedName name="_xlnm._FilterDatabase" localSheetId="5" hidden="1">RAKUS!$A$9:$M$1347</definedName>
    <definedName name="_xlnm.Print_Area" localSheetId="24">Liep_reg!$A$1:$U$229</definedName>
    <definedName name="_xlnm.Print_Area" localSheetId="26">NVD!$A$1:$M$55</definedName>
    <definedName name="_xlnm.Print_Titles" localSheetId="1">BKUS!$6:$7</definedName>
    <definedName name="_xlnm.Print_Titles" localSheetId="24">Liep_reg!$6:$7</definedName>
    <definedName name="_xlnm.Print_Titles" localSheetId="5">RAKUS!$6:$7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3" l="1"/>
  <c r="O8" i="3"/>
  <c r="P8" i="3"/>
  <c r="Q8" i="3"/>
  <c r="R8" i="3"/>
  <c r="S8" i="3"/>
  <c r="O11" i="22" l="1"/>
  <c r="M12" i="37" l="1"/>
  <c r="M54" i="37"/>
  <c r="M11" i="37"/>
  <c r="E15" i="37" l="1"/>
  <c r="E15" i="23"/>
  <c r="F15" i="23" s="1"/>
  <c r="N11" i="37" l="1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49" i="37"/>
  <c r="M50" i="37"/>
  <c r="M51" i="37"/>
  <c r="M52" i="37"/>
  <c r="M53" i="37"/>
  <c r="M55" i="37"/>
  <c r="M56" i="37"/>
  <c r="M57" i="37"/>
  <c r="M58" i="37"/>
  <c r="M59" i="37"/>
  <c r="M60" i="37"/>
  <c r="M61" i="37"/>
  <c r="M62" i="37"/>
  <c r="M63" i="37"/>
  <c r="M64" i="37"/>
  <c r="M65" i="37"/>
  <c r="M66" i="37"/>
  <c r="M67" i="37"/>
  <c r="M68" i="37"/>
  <c r="M69" i="37"/>
  <c r="M70" i="37"/>
  <c r="M71" i="37"/>
  <c r="M72" i="37"/>
  <c r="M73" i="37"/>
  <c r="M74" i="37"/>
  <c r="M75" i="37"/>
  <c r="M76" i="37"/>
  <c r="M77" i="37"/>
  <c r="M78" i="37"/>
  <c r="M79" i="37"/>
  <c r="M80" i="37"/>
  <c r="M81" i="37"/>
  <c r="M82" i="37"/>
  <c r="M83" i="37"/>
  <c r="M84" i="37"/>
  <c r="M85" i="37"/>
  <c r="M86" i="37"/>
  <c r="M87" i="37"/>
  <c r="M88" i="37"/>
  <c r="M89" i="37"/>
  <c r="M90" i="37"/>
  <c r="M91" i="37"/>
  <c r="M92" i="37"/>
  <c r="M93" i="37"/>
  <c r="M94" i="37"/>
  <c r="M95" i="37"/>
  <c r="M96" i="37"/>
  <c r="M97" i="37"/>
  <c r="M98" i="37"/>
  <c r="M99" i="37"/>
  <c r="M100" i="37"/>
  <c r="M101" i="37"/>
  <c r="M102" i="37"/>
  <c r="M103" i="37"/>
  <c r="M104" i="37"/>
  <c r="M105" i="37"/>
  <c r="M106" i="37"/>
  <c r="M107" i="37"/>
  <c r="M108" i="37"/>
  <c r="M109" i="37"/>
  <c r="M110" i="37"/>
  <c r="M111" i="37"/>
  <c r="M112" i="37"/>
  <c r="M113" i="37"/>
  <c r="M114" i="37"/>
  <c r="M115" i="37"/>
  <c r="M116" i="37"/>
  <c r="M117" i="37"/>
  <c r="M118" i="37"/>
  <c r="M119" i="37"/>
  <c r="M120" i="37"/>
  <c r="M121" i="37"/>
  <c r="M122" i="37"/>
  <c r="M123" i="37"/>
  <c r="M124" i="37"/>
  <c r="M125" i="37"/>
  <c r="M126" i="37"/>
  <c r="M127" i="37"/>
  <c r="M128" i="37"/>
  <c r="M129" i="37"/>
  <c r="M130" i="37"/>
  <c r="M131" i="37"/>
  <c r="M132" i="37"/>
  <c r="M133" i="37"/>
  <c r="M134" i="37"/>
  <c r="M135" i="37"/>
  <c r="M136" i="37"/>
  <c r="M137" i="37"/>
  <c r="M138" i="37"/>
  <c r="M139" i="37"/>
  <c r="M140" i="37"/>
  <c r="M141" i="37"/>
  <c r="M142" i="37"/>
  <c r="M143" i="37"/>
  <c r="M144" i="37"/>
  <c r="M145" i="37"/>
  <c r="M146" i="37"/>
  <c r="M147" i="37"/>
  <c r="M148" i="37"/>
  <c r="M149" i="37"/>
  <c r="M150" i="37"/>
  <c r="M151" i="37"/>
  <c r="M152" i="37"/>
  <c r="M153" i="37"/>
  <c r="M154" i="37"/>
  <c r="M155" i="37"/>
  <c r="M156" i="37"/>
  <c r="M157" i="37"/>
  <c r="M158" i="37"/>
  <c r="M159" i="37"/>
  <c r="M160" i="37"/>
  <c r="M161" i="37"/>
  <c r="M162" i="37"/>
  <c r="M163" i="37"/>
  <c r="M164" i="37"/>
  <c r="M165" i="37"/>
  <c r="M166" i="37"/>
  <c r="M167" i="37"/>
  <c r="M168" i="37"/>
  <c r="M169" i="37"/>
  <c r="M170" i="37"/>
  <c r="M171" i="37"/>
  <c r="M172" i="37"/>
  <c r="M173" i="37"/>
  <c r="M174" i="37"/>
  <c r="M175" i="37"/>
  <c r="M176" i="37"/>
  <c r="M177" i="37"/>
  <c r="M178" i="37"/>
  <c r="M179" i="37"/>
  <c r="M180" i="37"/>
  <c r="M181" i="37"/>
  <c r="M182" i="37"/>
  <c r="M183" i="37"/>
  <c r="M184" i="37"/>
  <c r="M185" i="37"/>
  <c r="M186" i="37"/>
  <c r="M187" i="37"/>
  <c r="M188" i="37"/>
  <c r="M189" i="37"/>
  <c r="M190" i="37"/>
  <c r="M191" i="37"/>
  <c r="M192" i="37"/>
  <c r="M193" i="37"/>
  <c r="M194" i="37"/>
  <c r="M195" i="37"/>
  <c r="M196" i="37"/>
  <c r="M197" i="37"/>
  <c r="M198" i="37"/>
  <c r="M199" i="37"/>
  <c r="M200" i="37"/>
  <c r="M201" i="37"/>
  <c r="M202" i="37"/>
  <c r="M203" i="37"/>
  <c r="M204" i="37"/>
  <c r="M205" i="37"/>
  <c r="M206" i="37"/>
  <c r="M207" i="37"/>
  <c r="M208" i="37"/>
  <c r="M209" i="37"/>
  <c r="M210" i="37"/>
  <c r="M211" i="37"/>
  <c r="M212" i="37"/>
  <c r="M213" i="37"/>
  <c r="M214" i="37"/>
  <c r="M215" i="37"/>
  <c r="M216" i="37"/>
  <c r="M217" i="37"/>
  <c r="M218" i="37"/>
  <c r="M219" i="37"/>
  <c r="M220" i="37"/>
  <c r="M221" i="37"/>
  <c r="M222" i="37"/>
  <c r="M13" i="37"/>
  <c r="M14" i="37"/>
  <c r="M15" i="37"/>
  <c r="M16" i="37"/>
  <c r="M17" i="37"/>
  <c r="M18" i="37"/>
  <c r="M19" i="37"/>
  <c r="M20" i="37"/>
  <c r="M21" i="37"/>
  <c r="M22" i="37"/>
  <c r="O11" i="37" l="1"/>
  <c r="H9" i="46"/>
  <c r="B9" i="46"/>
  <c r="H34" i="3"/>
  <c r="L28" i="3"/>
  <c r="M28" i="3"/>
  <c r="K28" i="3"/>
  <c r="E76" i="23"/>
  <c r="E75" i="23"/>
  <c r="F75" i="23" s="1"/>
  <c r="G75" i="23" s="1"/>
  <c r="E74" i="23"/>
  <c r="F74" i="23" s="1"/>
  <c r="G74" i="23" s="1"/>
  <c r="E69" i="23"/>
  <c r="E68" i="23"/>
  <c r="F68" i="23" s="1"/>
  <c r="E59" i="23"/>
  <c r="E58" i="23"/>
  <c r="F58" i="23" s="1"/>
  <c r="G58" i="23" s="1"/>
  <c r="E57" i="23"/>
  <c r="F57" i="23" s="1"/>
  <c r="G57" i="23" s="1"/>
  <c r="E56" i="23"/>
  <c r="E33" i="23"/>
  <c r="E32" i="23"/>
  <c r="F32" i="23" s="1"/>
  <c r="G32" i="23" s="1"/>
  <c r="F31" i="23"/>
  <c r="G31" i="23" s="1"/>
  <c r="E31" i="23"/>
  <c r="E26" i="23"/>
  <c r="E25" i="23"/>
  <c r="F25" i="23" s="1"/>
  <c r="G25" i="23" s="1"/>
  <c r="F24" i="23"/>
  <c r="G24" i="23" s="1"/>
  <c r="E24" i="23"/>
  <c r="E16" i="23"/>
  <c r="F76" i="23" l="1"/>
  <c r="G76" i="23" s="1"/>
  <c r="F69" i="23"/>
  <c r="G69" i="23" s="1"/>
  <c r="G68" i="23"/>
  <c r="F56" i="23"/>
  <c r="G56" i="23" s="1"/>
  <c r="F59" i="23"/>
  <c r="G59" i="23" s="1"/>
  <c r="F33" i="23"/>
  <c r="G33" i="23" s="1"/>
  <c r="F26" i="23"/>
  <c r="G26" i="23" s="1"/>
  <c r="F16" i="23"/>
  <c r="G16" i="23" s="1"/>
  <c r="G15" i="23"/>
  <c r="K76" i="28" l="1"/>
  <c r="K83" i="28"/>
  <c r="E9" i="47" l="1"/>
  <c r="E35" i="3" s="1"/>
  <c r="E9" i="46"/>
  <c r="E34" i="3" s="1"/>
  <c r="E171" i="37"/>
  <c r="E142" i="37"/>
  <c r="E49" i="37"/>
  <c r="E30" i="23"/>
  <c r="E22" i="23"/>
  <c r="N82" i="22"/>
  <c r="O82" i="22"/>
  <c r="M82" i="22"/>
  <c r="N79" i="22"/>
  <c r="O79" i="22"/>
  <c r="O10" i="22" s="1"/>
  <c r="M79" i="22"/>
  <c r="N11" i="22"/>
  <c r="M11" i="22"/>
  <c r="M10" i="22" s="1"/>
  <c r="K58" i="21"/>
  <c r="L25" i="17"/>
  <c r="E25" i="17"/>
  <c r="E14" i="17"/>
  <c r="N10" i="22" l="1"/>
  <c r="B8" i="3"/>
  <c r="G130" i="47"/>
  <c r="M129" i="47"/>
  <c r="G129" i="47"/>
  <c r="G128" i="47"/>
  <c r="M127" i="47"/>
  <c r="G127" i="47"/>
  <c r="M124" i="47"/>
  <c r="G124" i="47"/>
  <c r="M123" i="47"/>
  <c r="G123" i="47"/>
  <c r="G120" i="47"/>
  <c r="M119" i="47"/>
  <c r="G119" i="47"/>
  <c r="G118" i="47"/>
  <c r="G115" i="47"/>
  <c r="G114" i="47"/>
  <c r="M111" i="47"/>
  <c r="G111" i="47"/>
  <c r="M110" i="47"/>
  <c r="G110" i="47"/>
  <c r="M109" i="47"/>
  <c r="G109" i="47"/>
  <c r="G108" i="47"/>
  <c r="M107" i="47"/>
  <c r="G107" i="47"/>
  <c r="M106" i="47"/>
  <c r="G106" i="47"/>
  <c r="M103" i="47"/>
  <c r="G103" i="47"/>
  <c r="M102" i="47"/>
  <c r="G102" i="47"/>
  <c r="M101" i="47"/>
  <c r="M100" i="47"/>
  <c r="G100" i="47"/>
  <c r="M97" i="47"/>
  <c r="G97" i="47"/>
  <c r="M94" i="47"/>
  <c r="G94" i="47"/>
  <c r="M93" i="47"/>
  <c r="G93" i="47"/>
  <c r="M92" i="47"/>
  <c r="G92" i="47"/>
  <c r="M91" i="47"/>
  <c r="G91" i="47"/>
  <c r="M90" i="47"/>
  <c r="G90" i="47"/>
  <c r="M89" i="47"/>
  <c r="G89" i="47"/>
  <c r="M88" i="47"/>
  <c r="G88" i="47"/>
  <c r="M87" i="47"/>
  <c r="G87" i="47"/>
  <c r="M86" i="47"/>
  <c r="G86" i="47"/>
  <c r="M85" i="47"/>
  <c r="G85" i="47"/>
  <c r="M84" i="47"/>
  <c r="G84" i="47"/>
  <c r="M83" i="47"/>
  <c r="G83" i="47"/>
  <c r="M82" i="47"/>
  <c r="G82" i="47"/>
  <c r="M81" i="47"/>
  <c r="G81" i="47"/>
  <c r="M80" i="47"/>
  <c r="G80" i="47"/>
  <c r="M79" i="47"/>
  <c r="G79" i="47"/>
  <c r="M78" i="47"/>
  <c r="G78" i="47"/>
  <c r="M77" i="47"/>
  <c r="G77" i="47"/>
  <c r="M76" i="47"/>
  <c r="G76" i="47"/>
  <c r="M75" i="47"/>
  <c r="G75" i="47"/>
  <c r="M74" i="47"/>
  <c r="G74" i="47"/>
  <c r="M73" i="47"/>
  <c r="G73" i="47"/>
  <c r="M72" i="47"/>
  <c r="G72" i="47"/>
  <c r="M71" i="47"/>
  <c r="G71" i="47"/>
  <c r="M70" i="47"/>
  <c r="G70" i="47"/>
  <c r="M69" i="47"/>
  <c r="G69" i="47"/>
  <c r="M68" i="47"/>
  <c r="G68" i="47"/>
  <c r="M65" i="47"/>
  <c r="G65" i="47"/>
  <c r="M64" i="47"/>
  <c r="G64" i="47"/>
  <c r="M63" i="47"/>
  <c r="G63" i="47"/>
  <c r="M62" i="47"/>
  <c r="M61" i="47"/>
  <c r="G61" i="47"/>
  <c r="M60" i="47"/>
  <c r="G60" i="47"/>
  <c r="M59" i="47"/>
  <c r="G59" i="47"/>
  <c r="M58" i="47"/>
  <c r="G58" i="47"/>
  <c r="M57" i="47"/>
  <c r="G57" i="47"/>
  <c r="M56" i="47"/>
  <c r="G56" i="47"/>
  <c r="G55" i="47"/>
  <c r="M54" i="47"/>
  <c r="G54" i="47"/>
  <c r="M50" i="47"/>
  <c r="G50" i="47"/>
  <c r="M49" i="47"/>
  <c r="G49" i="47"/>
  <c r="M48" i="47"/>
  <c r="G48" i="47"/>
  <c r="G47" i="47"/>
  <c r="M46" i="47"/>
  <c r="G46" i="47"/>
  <c r="M45" i="47"/>
  <c r="G45" i="47"/>
  <c r="M44" i="47"/>
  <c r="G44" i="47"/>
  <c r="M43" i="47"/>
  <c r="G43" i="47"/>
  <c r="M42" i="47"/>
  <c r="G42" i="47"/>
  <c r="M41" i="47"/>
  <c r="G41" i="47"/>
  <c r="M40" i="47"/>
  <c r="G40" i="47"/>
  <c r="M39" i="47"/>
  <c r="M38" i="47"/>
  <c r="G38" i="47"/>
  <c r="M37" i="47"/>
  <c r="G37" i="47"/>
  <c r="M36" i="47"/>
  <c r="G36" i="47"/>
  <c r="M35" i="47"/>
  <c r="G35" i="47"/>
  <c r="M34" i="47"/>
  <c r="G34" i="47"/>
  <c r="M33" i="47"/>
  <c r="G33" i="47"/>
  <c r="M32" i="47"/>
  <c r="G32" i="47"/>
  <c r="M31" i="47"/>
  <c r="G31" i="47"/>
  <c r="M30" i="47"/>
  <c r="G30" i="47"/>
  <c r="M29" i="47"/>
  <c r="G29" i="47"/>
  <c r="M28" i="47"/>
  <c r="G28" i="47"/>
  <c r="M27" i="47"/>
  <c r="G27" i="47"/>
  <c r="M24" i="47"/>
  <c r="G24" i="47"/>
  <c r="M20" i="47"/>
  <c r="G20" i="47"/>
  <c r="M19" i="47"/>
  <c r="G19" i="47"/>
  <c r="M16" i="47"/>
  <c r="G16" i="47"/>
  <c r="M13" i="47"/>
  <c r="G13" i="47"/>
  <c r="M12" i="47"/>
  <c r="G12" i="47"/>
  <c r="L9" i="47"/>
  <c r="L35" i="3" s="1"/>
  <c r="K9" i="47"/>
  <c r="K35" i="3" s="1"/>
  <c r="H9" i="47"/>
  <c r="H35" i="3" s="1"/>
  <c r="F9" i="47"/>
  <c r="F35" i="3" s="1"/>
  <c r="B9" i="47"/>
  <c r="M53" i="46"/>
  <c r="M52" i="46"/>
  <c r="F52" i="46"/>
  <c r="G52" i="46" s="1"/>
  <c r="M51" i="46"/>
  <c r="F51" i="46"/>
  <c r="G51" i="46" s="1"/>
  <c r="M50" i="46"/>
  <c r="F50" i="46"/>
  <c r="G50" i="46" s="1"/>
  <c r="M49" i="46"/>
  <c r="G49" i="46"/>
  <c r="F49" i="46"/>
  <c r="M48" i="46"/>
  <c r="M47" i="46"/>
  <c r="G46" i="46"/>
  <c r="F46" i="46"/>
  <c r="M45" i="46"/>
  <c r="F45" i="46"/>
  <c r="G45" i="46" s="1"/>
  <c r="M44" i="46"/>
  <c r="F44" i="46"/>
  <c r="G44" i="46" s="1"/>
  <c r="M43" i="46"/>
  <c r="F43" i="46"/>
  <c r="G43" i="46" s="1"/>
  <c r="M42" i="46"/>
  <c r="M41" i="46"/>
  <c r="F41" i="46"/>
  <c r="G41" i="46" s="1"/>
  <c r="M40" i="46"/>
  <c r="F40" i="46"/>
  <c r="G40" i="46" s="1"/>
  <c r="M39" i="46"/>
  <c r="F39" i="46"/>
  <c r="G39" i="46" s="1"/>
  <c r="M38" i="46"/>
  <c r="M37" i="46"/>
  <c r="M36" i="46"/>
  <c r="M35" i="46"/>
  <c r="M34" i="46"/>
  <c r="M33" i="46"/>
  <c r="F33" i="46"/>
  <c r="G33" i="46" s="1"/>
  <c r="M32" i="46"/>
  <c r="M31" i="46"/>
  <c r="F31" i="46"/>
  <c r="G31" i="46" s="1"/>
  <c r="M30" i="46"/>
  <c r="G30" i="46"/>
  <c r="F30" i="46"/>
  <c r="M29" i="46"/>
  <c r="F29" i="46"/>
  <c r="G29" i="46" s="1"/>
  <c r="M28" i="46"/>
  <c r="F28" i="46"/>
  <c r="G28" i="46" s="1"/>
  <c r="M27" i="46"/>
  <c r="F27" i="46"/>
  <c r="G27" i="46" s="1"/>
  <c r="M26" i="46"/>
  <c r="F26" i="46"/>
  <c r="G26" i="46" s="1"/>
  <c r="M25" i="46"/>
  <c r="M24" i="46"/>
  <c r="M23" i="46"/>
  <c r="M22" i="46"/>
  <c r="G22" i="46"/>
  <c r="F22" i="46"/>
  <c r="M21" i="46"/>
  <c r="F21" i="46"/>
  <c r="G21" i="46" s="1"/>
  <c r="M20" i="46"/>
  <c r="G20" i="46"/>
  <c r="M19" i="46"/>
  <c r="F19" i="46"/>
  <c r="G19" i="46" s="1"/>
  <c r="M18" i="46"/>
  <c r="G18" i="46"/>
  <c r="M17" i="46"/>
  <c r="F17" i="46"/>
  <c r="G17" i="46" s="1"/>
  <c r="M16" i="46"/>
  <c r="M15" i="46"/>
  <c r="F15" i="46"/>
  <c r="G15" i="46" s="1"/>
  <c r="M14" i="46"/>
  <c r="F14" i="46"/>
  <c r="G14" i="46" s="1"/>
  <c r="M13" i="46"/>
  <c r="F13" i="46"/>
  <c r="G13" i="46" s="1"/>
  <c r="M12" i="46"/>
  <c r="F12" i="46"/>
  <c r="G12" i="46" s="1"/>
  <c r="M11" i="46"/>
  <c r="F11" i="46"/>
  <c r="G11" i="46" s="1"/>
  <c r="F10" i="46"/>
  <c r="G10" i="46" s="1"/>
  <c r="L9" i="46"/>
  <c r="L34" i="3" s="1"/>
  <c r="K9" i="46"/>
  <c r="K34" i="3" s="1"/>
  <c r="F182" i="45"/>
  <c r="G182" i="45" s="1"/>
  <c r="F181" i="45"/>
  <c r="G181" i="45" s="1"/>
  <c r="F180" i="45"/>
  <c r="G180" i="45" s="1"/>
  <c r="F179" i="45"/>
  <c r="G179" i="45" s="1"/>
  <c r="F178" i="45"/>
  <c r="G178" i="45" s="1"/>
  <c r="F177" i="45"/>
  <c r="G177" i="45" s="1"/>
  <c r="F176" i="45"/>
  <c r="G176" i="45" s="1"/>
  <c r="F175" i="45"/>
  <c r="G175" i="45" s="1"/>
  <c r="F174" i="45"/>
  <c r="G174" i="45" s="1"/>
  <c r="F173" i="45"/>
  <c r="G173" i="45" s="1"/>
  <c r="F172" i="45"/>
  <c r="G172" i="45" s="1"/>
  <c r="F171" i="45"/>
  <c r="G171" i="45" s="1"/>
  <c r="F170" i="45"/>
  <c r="G170" i="45" s="1"/>
  <c r="F169" i="45"/>
  <c r="G169" i="45" s="1"/>
  <c r="F168" i="45"/>
  <c r="G168" i="45" s="1"/>
  <c r="F167" i="45"/>
  <c r="G167" i="45" s="1"/>
  <c r="F166" i="45"/>
  <c r="G166" i="45" s="1"/>
  <c r="F165" i="45"/>
  <c r="G165" i="45" s="1"/>
  <c r="F164" i="45"/>
  <c r="G164" i="45" s="1"/>
  <c r="F163" i="45"/>
  <c r="G163" i="45" s="1"/>
  <c r="F162" i="45"/>
  <c r="G162" i="45" s="1"/>
  <c r="F161" i="45"/>
  <c r="G161" i="45" s="1"/>
  <c r="F160" i="45"/>
  <c r="G160" i="45" s="1"/>
  <c r="F159" i="45"/>
  <c r="G159" i="45" s="1"/>
  <c r="F158" i="45"/>
  <c r="G158" i="45" s="1"/>
  <c r="F157" i="45"/>
  <c r="G157" i="45" s="1"/>
  <c r="F156" i="45"/>
  <c r="G156" i="45" s="1"/>
  <c r="F155" i="45"/>
  <c r="G155" i="45" s="1"/>
  <c r="F154" i="45"/>
  <c r="G154" i="45" s="1"/>
  <c r="F153" i="45"/>
  <c r="G153" i="45" s="1"/>
  <c r="F152" i="45"/>
  <c r="G152" i="45" s="1"/>
  <c r="F151" i="45"/>
  <c r="G151" i="45" s="1"/>
  <c r="F150" i="45"/>
  <c r="G150" i="45" s="1"/>
  <c r="F149" i="45"/>
  <c r="G149" i="45" s="1"/>
  <c r="F148" i="45"/>
  <c r="G148" i="45" s="1"/>
  <c r="F147" i="45"/>
  <c r="G147" i="45" s="1"/>
  <c r="F146" i="45"/>
  <c r="G146" i="45" s="1"/>
  <c r="F145" i="45"/>
  <c r="G145" i="45" s="1"/>
  <c r="F144" i="45"/>
  <c r="G144" i="45" s="1"/>
  <c r="F143" i="45"/>
  <c r="G143" i="45" s="1"/>
  <c r="L142" i="45"/>
  <c r="M142" i="45" s="1"/>
  <c r="F142" i="45"/>
  <c r="G142" i="45" s="1"/>
  <c r="E141" i="45"/>
  <c r="F141" i="45" s="1"/>
  <c r="F140" i="45"/>
  <c r="G140" i="45" s="1"/>
  <c r="E139" i="45"/>
  <c r="F138" i="45"/>
  <c r="G138" i="45" s="1"/>
  <c r="F137" i="45"/>
  <c r="G137" i="45" s="1"/>
  <c r="F136" i="45"/>
  <c r="G136" i="45" s="1"/>
  <c r="F135" i="45"/>
  <c r="G135" i="45" s="1"/>
  <c r="L134" i="45"/>
  <c r="M134" i="45" s="1"/>
  <c r="F134" i="45"/>
  <c r="G134" i="45" s="1"/>
  <c r="L133" i="45"/>
  <c r="M133" i="45" s="1"/>
  <c r="F133" i="45"/>
  <c r="G133" i="45" s="1"/>
  <c r="L132" i="45"/>
  <c r="M132" i="45" s="1"/>
  <c r="F132" i="45"/>
  <c r="G132" i="45" s="1"/>
  <c r="L131" i="45"/>
  <c r="M131" i="45" s="1"/>
  <c r="F131" i="45"/>
  <c r="G131" i="45" s="1"/>
  <c r="F130" i="45"/>
  <c r="G130" i="45" s="1"/>
  <c r="F129" i="45"/>
  <c r="G129" i="45" s="1"/>
  <c r="F128" i="45"/>
  <c r="G128" i="45" s="1"/>
  <c r="L127" i="45"/>
  <c r="M127" i="45" s="1"/>
  <c r="F127" i="45"/>
  <c r="G127" i="45" s="1"/>
  <c r="L126" i="45"/>
  <c r="M126" i="45" s="1"/>
  <c r="F126" i="45"/>
  <c r="G126" i="45" s="1"/>
  <c r="L125" i="45"/>
  <c r="M125" i="45" s="1"/>
  <c r="F125" i="45"/>
  <c r="G125" i="45" s="1"/>
  <c r="L124" i="45"/>
  <c r="M124" i="45" s="1"/>
  <c r="F124" i="45"/>
  <c r="G124" i="45" s="1"/>
  <c r="F122" i="45"/>
  <c r="G122" i="45" s="1"/>
  <c r="F121" i="45"/>
  <c r="G121" i="45" s="1"/>
  <c r="F120" i="45"/>
  <c r="G120" i="45" s="1"/>
  <c r="F119" i="45"/>
  <c r="G119" i="45" s="1"/>
  <c r="L118" i="45"/>
  <c r="M118" i="45" s="1"/>
  <c r="F118" i="45"/>
  <c r="G118" i="45" s="1"/>
  <c r="L117" i="45"/>
  <c r="M117" i="45" s="1"/>
  <c r="F117" i="45"/>
  <c r="G117" i="45" s="1"/>
  <c r="L116" i="45"/>
  <c r="M116" i="45" s="1"/>
  <c r="F116" i="45"/>
  <c r="G116" i="45" s="1"/>
  <c r="L115" i="45"/>
  <c r="M115" i="45" s="1"/>
  <c r="F115" i="45"/>
  <c r="G115" i="45" s="1"/>
  <c r="L114" i="45"/>
  <c r="M114" i="45" s="1"/>
  <c r="F114" i="45"/>
  <c r="G114" i="45" s="1"/>
  <c r="L113" i="45"/>
  <c r="M113" i="45" s="1"/>
  <c r="F113" i="45"/>
  <c r="G113" i="45" s="1"/>
  <c r="L112" i="45"/>
  <c r="M112" i="45" s="1"/>
  <c r="F112" i="45"/>
  <c r="G112" i="45" s="1"/>
  <c r="L111" i="45"/>
  <c r="M111" i="45" s="1"/>
  <c r="F111" i="45"/>
  <c r="G111" i="45" s="1"/>
  <c r="L110" i="45"/>
  <c r="M110" i="45" s="1"/>
  <c r="F110" i="45"/>
  <c r="G110" i="45" s="1"/>
  <c r="L109" i="45"/>
  <c r="M109" i="45" s="1"/>
  <c r="F109" i="45"/>
  <c r="G109" i="45" s="1"/>
  <c r="L108" i="45"/>
  <c r="M108" i="45" s="1"/>
  <c r="F108" i="45"/>
  <c r="G108" i="45" s="1"/>
  <c r="L107" i="45"/>
  <c r="M107" i="45" s="1"/>
  <c r="F107" i="45"/>
  <c r="G107" i="45" s="1"/>
  <c r="F105" i="45"/>
  <c r="G105" i="45" s="1"/>
  <c r="F104" i="45"/>
  <c r="G104" i="45" s="1"/>
  <c r="F103" i="45"/>
  <c r="G103" i="45" s="1"/>
  <c r="L102" i="45"/>
  <c r="M102" i="45" s="1"/>
  <c r="F102" i="45"/>
  <c r="G102" i="45" s="1"/>
  <c r="L101" i="45"/>
  <c r="M101" i="45" s="1"/>
  <c r="F101" i="45"/>
  <c r="G101" i="45" s="1"/>
  <c r="L100" i="45"/>
  <c r="M100" i="45" s="1"/>
  <c r="E100" i="45"/>
  <c r="K99" i="45"/>
  <c r="E99" i="45"/>
  <c r="K98" i="45"/>
  <c r="L98" i="45" s="1"/>
  <c r="M98" i="45" s="1"/>
  <c r="E98" i="45"/>
  <c r="L97" i="45"/>
  <c r="M97" i="45" s="1"/>
  <c r="F97" i="45"/>
  <c r="G97" i="45" s="1"/>
  <c r="L96" i="45"/>
  <c r="M96" i="45" s="1"/>
  <c r="F96" i="45"/>
  <c r="G96" i="45" s="1"/>
  <c r="L95" i="45"/>
  <c r="M95" i="45" s="1"/>
  <c r="F95" i="45"/>
  <c r="G95" i="45" s="1"/>
  <c r="L94" i="45"/>
  <c r="M94" i="45" s="1"/>
  <c r="F94" i="45"/>
  <c r="G94" i="45" s="1"/>
  <c r="L93" i="45"/>
  <c r="M93" i="45" s="1"/>
  <c r="F93" i="45"/>
  <c r="G93" i="45" s="1"/>
  <c r="L92" i="45"/>
  <c r="M92" i="45" s="1"/>
  <c r="F92" i="45"/>
  <c r="G92" i="45" s="1"/>
  <c r="F91" i="45"/>
  <c r="G91" i="45" s="1"/>
  <c r="F90" i="45"/>
  <c r="G90" i="45" s="1"/>
  <c r="F89" i="45"/>
  <c r="G89" i="45" s="1"/>
  <c r="F88" i="45"/>
  <c r="G88" i="45" s="1"/>
  <c r="F87" i="45"/>
  <c r="G87" i="45" s="1"/>
  <c r="F86" i="45"/>
  <c r="G86" i="45" s="1"/>
  <c r="F85" i="45"/>
  <c r="G85" i="45" s="1"/>
  <c r="L84" i="45"/>
  <c r="M84" i="45" s="1"/>
  <c r="F84" i="45"/>
  <c r="G84" i="45" s="1"/>
  <c r="L83" i="45"/>
  <c r="M83" i="45" s="1"/>
  <c r="F83" i="45"/>
  <c r="G83" i="45" s="1"/>
  <c r="L82" i="45"/>
  <c r="M82" i="45" s="1"/>
  <c r="F82" i="45"/>
  <c r="G82" i="45" s="1"/>
  <c r="L81" i="45"/>
  <c r="M81" i="45" s="1"/>
  <c r="F81" i="45"/>
  <c r="G81" i="45" s="1"/>
  <c r="L80" i="45"/>
  <c r="M80" i="45" s="1"/>
  <c r="F80" i="45"/>
  <c r="G80" i="45" s="1"/>
  <c r="L79" i="45"/>
  <c r="M79" i="45" s="1"/>
  <c r="F79" i="45"/>
  <c r="G79" i="45" s="1"/>
  <c r="L78" i="45"/>
  <c r="M78" i="45" s="1"/>
  <c r="F78" i="45"/>
  <c r="G78" i="45" s="1"/>
  <c r="L77" i="45"/>
  <c r="M77" i="45" s="1"/>
  <c r="F77" i="45"/>
  <c r="G77" i="45" s="1"/>
  <c r="F76" i="45"/>
  <c r="G76" i="45" s="1"/>
  <c r="F75" i="45"/>
  <c r="G75" i="45" s="1"/>
  <c r="F74" i="45"/>
  <c r="G74" i="45" s="1"/>
  <c r="F73" i="45"/>
  <c r="G73" i="45" s="1"/>
  <c r="L72" i="45"/>
  <c r="M72" i="45" s="1"/>
  <c r="F72" i="45"/>
  <c r="G72" i="45" s="1"/>
  <c r="L71" i="45"/>
  <c r="M71" i="45" s="1"/>
  <c r="F71" i="45"/>
  <c r="G71" i="45" s="1"/>
  <c r="L70" i="45"/>
  <c r="M70" i="45" s="1"/>
  <c r="F70" i="45"/>
  <c r="G70" i="45" s="1"/>
  <c r="L69" i="45"/>
  <c r="M69" i="45" s="1"/>
  <c r="F69" i="45"/>
  <c r="G69" i="45" s="1"/>
  <c r="M68" i="45"/>
  <c r="L68" i="45"/>
  <c r="F68" i="45"/>
  <c r="G68" i="45" s="1"/>
  <c r="M67" i="45"/>
  <c r="L67" i="45"/>
  <c r="F67" i="45"/>
  <c r="G67" i="45" s="1"/>
  <c r="M66" i="45"/>
  <c r="L66" i="45"/>
  <c r="L65" i="45"/>
  <c r="M65" i="45" s="1"/>
  <c r="G65" i="45"/>
  <c r="F65" i="45"/>
  <c r="L64" i="45"/>
  <c r="M64" i="45" s="1"/>
  <c r="F64" i="45"/>
  <c r="G64" i="45" s="1"/>
  <c r="L63" i="45"/>
  <c r="M63" i="45" s="1"/>
  <c r="F63" i="45"/>
  <c r="G63" i="45" s="1"/>
  <c r="F62" i="45"/>
  <c r="G62" i="45" s="1"/>
  <c r="F61" i="45"/>
  <c r="G61" i="45" s="1"/>
  <c r="F60" i="45"/>
  <c r="G60" i="45" s="1"/>
  <c r="F59" i="45"/>
  <c r="G59" i="45" s="1"/>
  <c r="F58" i="45"/>
  <c r="G58" i="45" s="1"/>
  <c r="F57" i="45"/>
  <c r="G57" i="45" s="1"/>
  <c r="L56" i="45"/>
  <c r="M56" i="45" s="1"/>
  <c r="F56" i="45"/>
  <c r="G56" i="45" s="1"/>
  <c r="L55" i="45"/>
  <c r="M55" i="45" s="1"/>
  <c r="F55" i="45"/>
  <c r="G55" i="45" s="1"/>
  <c r="L54" i="45"/>
  <c r="M54" i="45" s="1"/>
  <c r="F54" i="45"/>
  <c r="G54" i="45" s="1"/>
  <c r="L53" i="45"/>
  <c r="M53" i="45" s="1"/>
  <c r="F53" i="45"/>
  <c r="G53" i="45" s="1"/>
  <c r="L52" i="45"/>
  <c r="M52" i="45" s="1"/>
  <c r="L51" i="45"/>
  <c r="M51" i="45" s="1"/>
  <c r="F51" i="45"/>
  <c r="G51" i="45" s="1"/>
  <c r="L50" i="45"/>
  <c r="M50" i="45" s="1"/>
  <c r="F50" i="45"/>
  <c r="G50" i="45" s="1"/>
  <c r="L49" i="45"/>
  <c r="M49" i="45" s="1"/>
  <c r="F49" i="45"/>
  <c r="G49" i="45" s="1"/>
  <c r="L48" i="45"/>
  <c r="M48" i="45" s="1"/>
  <c r="F48" i="45"/>
  <c r="G48" i="45" s="1"/>
  <c r="F47" i="45"/>
  <c r="G47" i="45" s="1"/>
  <c r="F46" i="45"/>
  <c r="G46" i="45" s="1"/>
  <c r="E45" i="45"/>
  <c r="F45" i="45" s="1"/>
  <c r="G45" i="45" s="1"/>
  <c r="F44" i="45"/>
  <c r="G44" i="45" s="1"/>
  <c r="F43" i="45"/>
  <c r="G43" i="45" s="1"/>
  <c r="L41" i="45"/>
  <c r="M41" i="45" s="1"/>
  <c r="F41" i="45"/>
  <c r="G41" i="45" s="1"/>
  <c r="L40" i="45"/>
  <c r="M40" i="45" s="1"/>
  <c r="F40" i="45"/>
  <c r="G40" i="45" s="1"/>
  <c r="L39" i="45"/>
  <c r="M39" i="45" s="1"/>
  <c r="F39" i="45"/>
  <c r="G39" i="45" s="1"/>
  <c r="L38" i="45"/>
  <c r="M38" i="45" s="1"/>
  <c r="F38" i="45"/>
  <c r="G38" i="45" s="1"/>
  <c r="L37" i="45"/>
  <c r="M37" i="45" s="1"/>
  <c r="F37" i="45"/>
  <c r="G37" i="45" s="1"/>
  <c r="F36" i="45"/>
  <c r="G36" i="45" s="1"/>
  <c r="F35" i="45"/>
  <c r="G35" i="45" s="1"/>
  <c r="F34" i="45"/>
  <c r="G34" i="45" s="1"/>
  <c r="F33" i="45"/>
  <c r="G33" i="45" s="1"/>
  <c r="L32" i="45"/>
  <c r="M32" i="45" s="1"/>
  <c r="F32" i="45"/>
  <c r="G32" i="45" s="1"/>
  <c r="L31" i="45"/>
  <c r="M31" i="45" s="1"/>
  <c r="F31" i="45"/>
  <c r="G31" i="45" s="1"/>
  <c r="L30" i="45"/>
  <c r="M30" i="45" s="1"/>
  <c r="F30" i="45"/>
  <c r="G30" i="45" s="1"/>
  <c r="L29" i="45"/>
  <c r="M29" i="45" s="1"/>
  <c r="F29" i="45"/>
  <c r="G29" i="45" s="1"/>
  <c r="K28" i="45"/>
  <c r="F28" i="45"/>
  <c r="G28" i="45" s="1"/>
  <c r="L27" i="45"/>
  <c r="M27" i="45" s="1"/>
  <c r="E27" i="45"/>
  <c r="F27" i="45" s="1"/>
  <c r="G27" i="45" s="1"/>
  <c r="L26" i="45"/>
  <c r="M26" i="45" s="1"/>
  <c r="F26" i="45"/>
  <c r="G26" i="45" s="1"/>
  <c r="L25" i="45"/>
  <c r="M25" i="45" s="1"/>
  <c r="F25" i="45"/>
  <c r="G25" i="45" s="1"/>
  <c r="K24" i="45"/>
  <c r="L24" i="45" s="1"/>
  <c r="F24" i="45"/>
  <c r="G24" i="45" s="1"/>
  <c r="K23" i="45"/>
  <c r="L23" i="45" s="1"/>
  <c r="F23" i="45"/>
  <c r="G23" i="45" s="1"/>
  <c r="L22" i="45"/>
  <c r="K22" i="45"/>
  <c r="E22" i="45"/>
  <c r="F21" i="45"/>
  <c r="G21" i="45" s="1"/>
  <c r="L20" i="45"/>
  <c r="M20" i="45" s="1"/>
  <c r="F20" i="45"/>
  <c r="G20" i="45" s="1"/>
  <c r="M19" i="45"/>
  <c r="L19" i="45"/>
  <c r="F19" i="45"/>
  <c r="G19" i="45" s="1"/>
  <c r="L18" i="45"/>
  <c r="M18" i="45" s="1"/>
  <c r="F18" i="45"/>
  <c r="G18" i="45" s="1"/>
  <c r="L17" i="45"/>
  <c r="M17" i="45" s="1"/>
  <c r="F17" i="45"/>
  <c r="G17" i="45" s="1"/>
  <c r="L16" i="45"/>
  <c r="M16" i="45" s="1"/>
  <c r="F16" i="45"/>
  <c r="G16" i="45" s="1"/>
  <c r="M15" i="45"/>
  <c r="L15" i="45"/>
  <c r="F15" i="45"/>
  <c r="G15" i="45" s="1"/>
  <c r="L14" i="45"/>
  <c r="M14" i="45" s="1"/>
  <c r="L13" i="45"/>
  <c r="M13" i="45" s="1"/>
  <c r="F13" i="45"/>
  <c r="G13" i="45" s="1"/>
  <c r="L12" i="45"/>
  <c r="M12" i="45" s="1"/>
  <c r="F12" i="45"/>
  <c r="G12" i="45" s="1"/>
  <c r="H9" i="45"/>
  <c r="H33" i="3" s="1"/>
  <c r="B9" i="45"/>
  <c r="L28" i="45" l="1"/>
  <c r="M28" i="45" s="1"/>
  <c r="F100" i="45"/>
  <c r="G100" i="45" s="1"/>
  <c r="M24" i="45"/>
  <c r="M22" i="45"/>
  <c r="F99" i="45"/>
  <c r="G99" i="45" s="1"/>
  <c r="G9" i="46"/>
  <c r="G34" i="3" s="1"/>
  <c r="F22" i="45"/>
  <c r="G22" i="45" s="1"/>
  <c r="E9" i="45"/>
  <c r="E33" i="3" s="1"/>
  <c r="E32" i="3" s="1"/>
  <c r="G141" i="45"/>
  <c r="F98" i="45"/>
  <c r="G98" i="45" s="1"/>
  <c r="M23" i="45"/>
  <c r="G139" i="45"/>
  <c r="F139" i="45"/>
  <c r="M9" i="46"/>
  <c r="M34" i="3" s="1"/>
  <c r="G9" i="47"/>
  <c r="G35" i="3" s="1"/>
  <c r="M99" i="45"/>
  <c r="L99" i="45"/>
  <c r="K9" i="45"/>
  <c r="K33" i="3" s="1"/>
  <c r="K32" i="3" s="1"/>
  <c r="M9" i="47"/>
  <c r="M35" i="3" s="1"/>
  <c r="F9" i="46"/>
  <c r="F34" i="3" s="1"/>
  <c r="I9" i="24"/>
  <c r="M9" i="45" l="1"/>
  <c r="M33" i="3" s="1"/>
  <c r="M32" i="3" s="1"/>
  <c r="L9" i="45"/>
  <c r="L33" i="3" s="1"/>
  <c r="L32" i="3" s="1"/>
  <c r="F9" i="45"/>
  <c r="F33" i="3" s="1"/>
  <c r="F32" i="3" s="1"/>
  <c r="G9" i="45"/>
  <c r="G33" i="3" s="1"/>
  <c r="G32" i="3" s="1"/>
  <c r="D18" i="44"/>
  <c r="G17" i="44"/>
  <c r="I17" i="44" s="1"/>
  <c r="J17" i="44" s="1"/>
  <c r="G16" i="44"/>
  <c r="I16" i="44" s="1"/>
  <c r="J16" i="44" s="1"/>
  <c r="G15" i="44"/>
  <c r="I15" i="44" s="1"/>
  <c r="J15" i="44" s="1"/>
  <c r="G14" i="44"/>
  <c r="I14" i="44" s="1"/>
  <c r="J14" i="44" s="1"/>
  <c r="I13" i="44"/>
  <c r="J13" i="44" s="1"/>
  <c r="G13" i="44"/>
  <c r="G12" i="44"/>
  <c r="I12" i="44" s="1"/>
  <c r="J12" i="44" s="1"/>
  <c r="D8" i="44"/>
  <c r="G7" i="44"/>
  <c r="H7" i="44" s="1"/>
  <c r="G6" i="44"/>
  <c r="H6" i="44" s="1"/>
  <c r="H8" i="44" s="1"/>
  <c r="D23" i="43"/>
  <c r="G22" i="43"/>
  <c r="I22" i="43" s="1"/>
  <c r="J22" i="43" s="1"/>
  <c r="G21" i="43"/>
  <c r="I21" i="43" s="1"/>
  <c r="J21" i="43" s="1"/>
  <c r="I20" i="43"/>
  <c r="J20" i="43" s="1"/>
  <c r="G20" i="43"/>
  <c r="G19" i="43"/>
  <c r="I19" i="43" s="1"/>
  <c r="J19" i="43" s="1"/>
  <c r="G18" i="43"/>
  <c r="I18" i="43" s="1"/>
  <c r="J18" i="43" s="1"/>
  <c r="G17" i="43"/>
  <c r="I17" i="43" s="1"/>
  <c r="J17" i="43" s="1"/>
  <c r="I16" i="43"/>
  <c r="J16" i="43" s="1"/>
  <c r="G16" i="43"/>
  <c r="G15" i="43"/>
  <c r="I15" i="43" s="1"/>
  <c r="J15" i="43" s="1"/>
  <c r="G14" i="43"/>
  <c r="I14" i="43" s="1"/>
  <c r="J14" i="43" s="1"/>
  <c r="J13" i="43"/>
  <c r="I13" i="43"/>
  <c r="G13" i="43"/>
  <c r="D9" i="43"/>
  <c r="H8" i="43"/>
  <c r="G8" i="43"/>
  <c r="G7" i="43"/>
  <c r="H7" i="43" s="1"/>
  <c r="G6" i="43"/>
  <c r="H6" i="43" s="1"/>
  <c r="H9" i="43" s="1"/>
  <c r="J23" i="43" l="1"/>
  <c r="J18" i="44"/>
  <c r="H1045" i="42"/>
  <c r="M1013" i="42"/>
  <c r="L1013" i="42"/>
  <c r="K1013" i="42"/>
  <c r="I1013" i="42"/>
  <c r="H1013" i="42"/>
  <c r="G1013" i="42"/>
  <c r="F1013" i="42"/>
  <c r="E1013" i="42"/>
  <c r="C1013" i="42"/>
  <c r="B1013" i="42"/>
  <c r="M900" i="42"/>
  <c r="L900" i="42"/>
  <c r="K900" i="42"/>
  <c r="H900" i="42"/>
  <c r="G900" i="42"/>
  <c r="F900" i="42"/>
  <c r="E900" i="42"/>
  <c r="B900" i="42"/>
  <c r="M448" i="42"/>
  <c r="L448" i="42"/>
  <c r="K448" i="42"/>
  <c r="H448" i="42"/>
  <c r="G448" i="42"/>
  <c r="F448" i="42"/>
  <c r="E448" i="42"/>
  <c r="E9" i="42" s="1"/>
  <c r="E12" i="3" s="1"/>
  <c r="B448" i="42"/>
  <c r="M10" i="42"/>
  <c r="L10" i="42"/>
  <c r="K10" i="42"/>
  <c r="I10" i="42"/>
  <c r="H10" i="42"/>
  <c r="G10" i="42"/>
  <c r="F10" i="42"/>
  <c r="E10" i="42"/>
  <c r="C10" i="42"/>
  <c r="B10" i="42"/>
  <c r="B9" i="42" s="1"/>
  <c r="L9" i="42"/>
  <c r="L12" i="3" s="1"/>
  <c r="I9" i="42"/>
  <c r="C9" i="42" l="1"/>
  <c r="H9" i="42"/>
  <c r="M9" i="42"/>
  <c r="M12" i="3" s="1"/>
  <c r="G9" i="42"/>
  <c r="G12" i="3" s="1"/>
  <c r="F9" i="42"/>
  <c r="F12" i="3" s="1"/>
  <c r="K9" i="42"/>
  <c r="K12" i="3" s="1"/>
  <c r="K459" i="41"/>
  <c r="K458" i="41"/>
  <c r="L458" i="41" s="1"/>
  <c r="M458" i="41" s="1"/>
  <c r="K457" i="41"/>
  <c r="L457" i="41" s="1"/>
  <c r="M457" i="41" s="1"/>
  <c r="K456" i="41"/>
  <c r="K455" i="41"/>
  <c r="B455" i="41"/>
  <c r="E455" i="41" s="1"/>
  <c r="K454" i="41"/>
  <c r="L454" i="41" s="1"/>
  <c r="B454" i="41"/>
  <c r="E454" i="41" s="1"/>
  <c r="F454" i="41" s="1"/>
  <c r="K453" i="41"/>
  <c r="L453" i="41" s="1"/>
  <c r="M453" i="41" s="1"/>
  <c r="B453" i="41"/>
  <c r="E453" i="41" s="1"/>
  <c r="K452" i="41"/>
  <c r="B452" i="41"/>
  <c r="K451" i="41"/>
  <c r="B451" i="41"/>
  <c r="E451" i="41" s="1"/>
  <c r="F451" i="41" s="1"/>
  <c r="H450" i="41"/>
  <c r="K450" i="41" s="1"/>
  <c r="H449" i="41"/>
  <c r="K449" i="41" s="1"/>
  <c r="E449" i="41"/>
  <c r="F449" i="41" s="1"/>
  <c r="H448" i="41"/>
  <c r="H447" i="41" s="1"/>
  <c r="K446" i="41"/>
  <c r="L446" i="41" s="1"/>
  <c r="M446" i="41" s="1"/>
  <c r="B446" i="41"/>
  <c r="E446" i="41" s="1"/>
  <c r="H445" i="41"/>
  <c r="K445" i="41" s="1"/>
  <c r="E445" i="41"/>
  <c r="B445" i="41"/>
  <c r="H444" i="41"/>
  <c r="K444" i="41" s="1"/>
  <c r="E444" i="41"/>
  <c r="B444" i="41"/>
  <c r="K443" i="41"/>
  <c r="B443" i="41"/>
  <c r="E443" i="41" s="1"/>
  <c r="B442" i="41"/>
  <c r="K441" i="41"/>
  <c r="B441" i="41"/>
  <c r="E441" i="41" s="1"/>
  <c r="H438" i="41"/>
  <c r="K438" i="41" s="1"/>
  <c r="H437" i="41"/>
  <c r="K437" i="41" s="1"/>
  <c r="G436" i="41"/>
  <c r="G435" i="41" s="1"/>
  <c r="F436" i="41"/>
  <c r="E436" i="41"/>
  <c r="B436" i="41"/>
  <c r="F435" i="41"/>
  <c r="E435" i="41"/>
  <c r="B435" i="41"/>
  <c r="K434" i="41"/>
  <c r="L434" i="41" s="1"/>
  <c r="M434" i="41" s="1"/>
  <c r="K433" i="41"/>
  <c r="L433" i="41" s="1"/>
  <c r="K432" i="41"/>
  <c r="K431" i="41"/>
  <c r="K430" i="41"/>
  <c r="L430" i="41" s="1"/>
  <c r="K429" i="41"/>
  <c r="K428" i="41"/>
  <c r="K427" i="41"/>
  <c r="K426" i="41"/>
  <c r="L426" i="41" s="1"/>
  <c r="M426" i="41" s="1"/>
  <c r="L425" i="41"/>
  <c r="K425" i="41"/>
  <c r="K424" i="41"/>
  <c r="K423" i="41"/>
  <c r="K422" i="41"/>
  <c r="L422" i="41" s="1"/>
  <c r="M422" i="41" s="1"/>
  <c r="K421" i="41"/>
  <c r="K420" i="41"/>
  <c r="K419" i="41"/>
  <c r="K418" i="41"/>
  <c r="L418" i="41" s="1"/>
  <c r="M418" i="41" s="1"/>
  <c r="K417" i="41"/>
  <c r="L417" i="41" s="1"/>
  <c r="K416" i="41"/>
  <c r="K415" i="41"/>
  <c r="K414" i="41"/>
  <c r="K413" i="41"/>
  <c r="K412" i="41"/>
  <c r="B412" i="41"/>
  <c r="E412" i="41" s="1"/>
  <c r="K411" i="41"/>
  <c r="L411" i="41" s="1"/>
  <c r="M411" i="41" s="1"/>
  <c r="B411" i="41"/>
  <c r="E411" i="41" s="1"/>
  <c r="F411" i="41" s="1"/>
  <c r="M410" i="41"/>
  <c r="K410" i="41"/>
  <c r="L410" i="41" s="1"/>
  <c r="E410" i="41"/>
  <c r="F410" i="41" s="1"/>
  <c r="B410" i="41"/>
  <c r="K409" i="41"/>
  <c r="L409" i="41" s="1"/>
  <c r="B409" i="41"/>
  <c r="E409" i="41" s="1"/>
  <c r="K408" i="41"/>
  <c r="B408" i="41"/>
  <c r="E408" i="41" s="1"/>
  <c r="K407" i="41"/>
  <c r="L407" i="41" s="1"/>
  <c r="M407" i="41" s="1"/>
  <c r="B407" i="41"/>
  <c r="E407" i="41" s="1"/>
  <c r="K406" i="41"/>
  <c r="B406" i="41"/>
  <c r="E406" i="41" s="1"/>
  <c r="F406" i="41" s="1"/>
  <c r="K405" i="41"/>
  <c r="L405" i="41" s="1"/>
  <c r="B405" i="41"/>
  <c r="E405" i="41" s="1"/>
  <c r="K404" i="41"/>
  <c r="B404" i="41"/>
  <c r="E404" i="41" s="1"/>
  <c r="K403" i="41"/>
  <c r="L403" i="41" s="1"/>
  <c r="M403" i="41" s="1"/>
  <c r="B403" i="41"/>
  <c r="E403" i="41" s="1"/>
  <c r="K402" i="41"/>
  <c r="B402" i="41"/>
  <c r="E402" i="41" s="1"/>
  <c r="F402" i="41" s="1"/>
  <c r="K401" i="41"/>
  <c r="L401" i="41" s="1"/>
  <c r="B401" i="41"/>
  <c r="E401" i="41" s="1"/>
  <c r="K400" i="41"/>
  <c r="B400" i="41"/>
  <c r="E400" i="41" s="1"/>
  <c r="K399" i="41"/>
  <c r="L399" i="41" s="1"/>
  <c r="M399" i="41" s="1"/>
  <c r="B399" i="41"/>
  <c r="E399" i="41" s="1"/>
  <c r="F399" i="41" s="1"/>
  <c r="K398" i="41"/>
  <c r="L398" i="41" s="1"/>
  <c r="B398" i="41"/>
  <c r="E398" i="41" s="1"/>
  <c r="F398" i="41" s="1"/>
  <c r="K397" i="41"/>
  <c r="L397" i="41" s="1"/>
  <c r="E397" i="41"/>
  <c r="B397" i="41"/>
  <c r="K396" i="41"/>
  <c r="B396" i="41"/>
  <c r="E396" i="41" s="1"/>
  <c r="K395" i="41"/>
  <c r="L395" i="41" s="1"/>
  <c r="M395" i="41" s="1"/>
  <c r="B395" i="41"/>
  <c r="E395" i="41" s="1"/>
  <c r="F395" i="41" s="1"/>
  <c r="L394" i="41"/>
  <c r="M394" i="41" s="1"/>
  <c r="K394" i="41"/>
  <c r="B394" i="41"/>
  <c r="E394" i="41" s="1"/>
  <c r="F394" i="41" s="1"/>
  <c r="K393" i="41"/>
  <c r="L393" i="41" s="1"/>
  <c r="B393" i="41"/>
  <c r="E393" i="41" s="1"/>
  <c r="K392" i="41"/>
  <c r="B392" i="41"/>
  <c r="K391" i="41"/>
  <c r="L391" i="41" s="1"/>
  <c r="M391" i="41" s="1"/>
  <c r="B391" i="41"/>
  <c r="E391" i="41" s="1"/>
  <c r="K390" i="41"/>
  <c r="F390" i="41"/>
  <c r="B390" i="41"/>
  <c r="E390" i="41" s="1"/>
  <c r="K389" i="41"/>
  <c r="B389" i="41"/>
  <c r="E389" i="41" s="1"/>
  <c r="H388" i="41"/>
  <c r="H387" i="41" s="1"/>
  <c r="H386" i="41"/>
  <c r="K386" i="41" s="1"/>
  <c r="G385" i="41"/>
  <c r="G384" i="41" s="1"/>
  <c r="F385" i="41"/>
  <c r="F384" i="41" s="1"/>
  <c r="E385" i="41"/>
  <c r="E384" i="41" s="1"/>
  <c r="B385" i="41"/>
  <c r="B384" i="41" s="1"/>
  <c r="H383" i="41"/>
  <c r="H317" i="41" s="1"/>
  <c r="E383" i="41"/>
  <c r="B382" i="41"/>
  <c r="E382" i="41" s="1"/>
  <c r="F382" i="41" s="1"/>
  <c r="B381" i="41"/>
  <c r="E381" i="41" s="1"/>
  <c r="F381" i="41" s="1"/>
  <c r="B380" i="41"/>
  <c r="E380" i="41" s="1"/>
  <c r="F380" i="41" s="1"/>
  <c r="K379" i="41"/>
  <c r="L379" i="41" s="1"/>
  <c r="M379" i="41" s="1"/>
  <c r="B379" i="41"/>
  <c r="E379" i="41" s="1"/>
  <c r="K378" i="41"/>
  <c r="B378" i="41"/>
  <c r="E378" i="41" s="1"/>
  <c r="F378" i="41" s="1"/>
  <c r="K377" i="41"/>
  <c r="B377" i="41"/>
  <c r="E377" i="41" s="1"/>
  <c r="K376" i="41"/>
  <c r="L376" i="41" s="1"/>
  <c r="B376" i="41"/>
  <c r="E376" i="41" s="1"/>
  <c r="F376" i="41" s="1"/>
  <c r="L375" i="41"/>
  <c r="K375" i="41"/>
  <c r="B375" i="41"/>
  <c r="E375" i="41" s="1"/>
  <c r="K374" i="41"/>
  <c r="L374" i="41" s="1"/>
  <c r="B374" i="41"/>
  <c r="E374" i="41" s="1"/>
  <c r="K373" i="41"/>
  <c r="L373" i="41" s="1"/>
  <c r="M373" i="41" s="1"/>
  <c r="B373" i="41"/>
  <c r="E373" i="41" s="1"/>
  <c r="M372" i="41"/>
  <c r="K372" i="41"/>
  <c r="L372" i="41" s="1"/>
  <c r="B372" i="41"/>
  <c r="E372" i="41" s="1"/>
  <c r="F372" i="41" s="1"/>
  <c r="K371" i="41"/>
  <c r="L371" i="41" s="1"/>
  <c r="B371" i="41"/>
  <c r="E371" i="41" s="1"/>
  <c r="K370" i="41"/>
  <c r="B370" i="41"/>
  <c r="E370" i="41" s="1"/>
  <c r="K369" i="41"/>
  <c r="E369" i="41"/>
  <c r="F369" i="41" s="1"/>
  <c r="B369" i="41"/>
  <c r="K368" i="41"/>
  <c r="B368" i="41"/>
  <c r="E368" i="41" s="1"/>
  <c r="K367" i="41"/>
  <c r="L367" i="41" s="1"/>
  <c r="B367" i="41"/>
  <c r="E367" i="41" s="1"/>
  <c r="K366" i="41"/>
  <c r="L366" i="41" s="1"/>
  <c r="M366" i="41" s="1"/>
  <c r="F366" i="41"/>
  <c r="G366" i="41" s="1"/>
  <c r="B366" i="41"/>
  <c r="E366" i="41" s="1"/>
  <c r="K365" i="41"/>
  <c r="B365" i="41"/>
  <c r="E365" i="41" s="1"/>
  <c r="K364" i="41"/>
  <c r="B364" i="41"/>
  <c r="E364" i="41" s="1"/>
  <c r="K363" i="41"/>
  <c r="L363" i="41" s="1"/>
  <c r="M363" i="41" s="1"/>
  <c r="G363" i="41"/>
  <c r="B363" i="41"/>
  <c r="E363" i="41" s="1"/>
  <c r="F363" i="41" s="1"/>
  <c r="L362" i="41"/>
  <c r="M362" i="41" s="1"/>
  <c r="K362" i="41"/>
  <c r="B362" i="41"/>
  <c r="E362" i="41" s="1"/>
  <c r="K361" i="41"/>
  <c r="L361" i="41" s="1"/>
  <c r="B361" i="41"/>
  <c r="E361" i="41" s="1"/>
  <c r="K360" i="41"/>
  <c r="B360" i="41"/>
  <c r="E360" i="41" s="1"/>
  <c r="K359" i="41"/>
  <c r="L359" i="41" s="1"/>
  <c r="M359" i="41" s="1"/>
  <c r="B359" i="41"/>
  <c r="E359" i="41" s="1"/>
  <c r="K358" i="41"/>
  <c r="E358" i="41"/>
  <c r="F358" i="41" s="1"/>
  <c r="B358" i="41"/>
  <c r="K357" i="41"/>
  <c r="B357" i="41"/>
  <c r="E357" i="41" s="1"/>
  <c r="K356" i="41"/>
  <c r="K355" i="41"/>
  <c r="L355" i="41" s="1"/>
  <c r="M355" i="41" s="1"/>
  <c r="B355" i="41"/>
  <c r="E355" i="41" s="1"/>
  <c r="F355" i="41" s="1"/>
  <c r="K354" i="41"/>
  <c r="B354" i="41"/>
  <c r="E354" i="41" s="1"/>
  <c r="L353" i="41"/>
  <c r="K353" i="41"/>
  <c r="B353" i="41"/>
  <c r="E353" i="41" s="1"/>
  <c r="K352" i="41"/>
  <c r="B352" i="41"/>
  <c r="E352" i="41" s="1"/>
  <c r="K351" i="41"/>
  <c r="L351" i="41" s="1"/>
  <c r="M351" i="41" s="1"/>
  <c r="B351" i="41"/>
  <c r="E351" i="41" s="1"/>
  <c r="K350" i="41"/>
  <c r="B350" i="41"/>
  <c r="E350" i="41" s="1"/>
  <c r="F350" i="41" s="1"/>
  <c r="K349" i="41"/>
  <c r="L349" i="41" s="1"/>
  <c r="E349" i="41"/>
  <c r="B349" i="41"/>
  <c r="K348" i="41"/>
  <c r="B348" i="41"/>
  <c r="E348" i="41" s="1"/>
  <c r="K347" i="41"/>
  <c r="L347" i="41" s="1"/>
  <c r="M347" i="41" s="1"/>
  <c r="B347" i="41"/>
  <c r="E347" i="41" s="1"/>
  <c r="L346" i="41"/>
  <c r="M346" i="41" s="1"/>
  <c r="K346" i="41"/>
  <c r="B346" i="41"/>
  <c r="E346" i="41" s="1"/>
  <c r="F346" i="41" s="1"/>
  <c r="K345" i="41"/>
  <c r="L345" i="41" s="1"/>
  <c r="B345" i="41"/>
  <c r="E345" i="41" s="1"/>
  <c r="K344" i="41"/>
  <c r="B344" i="41"/>
  <c r="E344" i="41" s="1"/>
  <c r="K343" i="41"/>
  <c r="L343" i="41" s="1"/>
  <c r="M343" i="41" s="1"/>
  <c r="B343" i="41"/>
  <c r="E343" i="41" s="1"/>
  <c r="F343" i="41" s="1"/>
  <c r="K342" i="41"/>
  <c r="E342" i="41"/>
  <c r="F342" i="41" s="1"/>
  <c r="B342" i="41"/>
  <c r="K341" i="41"/>
  <c r="B341" i="41"/>
  <c r="E341" i="41" s="1"/>
  <c r="K340" i="41"/>
  <c r="B340" i="41"/>
  <c r="E340" i="41" s="1"/>
  <c r="K339" i="41"/>
  <c r="L339" i="41" s="1"/>
  <c r="M339" i="41" s="1"/>
  <c r="B339" i="41"/>
  <c r="E339" i="41" s="1"/>
  <c r="F339" i="41" s="1"/>
  <c r="K338" i="41"/>
  <c r="L338" i="41" s="1"/>
  <c r="M338" i="41" s="1"/>
  <c r="B338" i="41"/>
  <c r="E338" i="41" s="1"/>
  <c r="L337" i="41"/>
  <c r="K337" i="41"/>
  <c r="B337" i="41"/>
  <c r="E337" i="41" s="1"/>
  <c r="K336" i="41"/>
  <c r="B336" i="41"/>
  <c r="E336" i="41" s="1"/>
  <c r="K335" i="41"/>
  <c r="L335" i="41" s="1"/>
  <c r="M335" i="41" s="1"/>
  <c r="G335" i="41"/>
  <c r="B335" i="41"/>
  <c r="E335" i="41" s="1"/>
  <c r="F335" i="41" s="1"/>
  <c r="K334" i="41"/>
  <c r="L334" i="41" s="1"/>
  <c r="M334" i="41" s="1"/>
  <c r="B334" i="41"/>
  <c r="E334" i="41" s="1"/>
  <c r="K333" i="41"/>
  <c r="B333" i="41"/>
  <c r="E333" i="41" s="1"/>
  <c r="K332" i="41"/>
  <c r="B332" i="41"/>
  <c r="E332" i="41" s="1"/>
  <c r="F332" i="41" s="1"/>
  <c r="K331" i="41"/>
  <c r="L331" i="41" s="1"/>
  <c r="B331" i="41"/>
  <c r="E331" i="41" s="1"/>
  <c r="K330" i="41"/>
  <c r="L330" i="41" s="1"/>
  <c r="M330" i="41" s="1"/>
  <c r="B330" i="41"/>
  <c r="E330" i="41" s="1"/>
  <c r="F330" i="41" s="1"/>
  <c r="K329" i="41"/>
  <c r="B329" i="41"/>
  <c r="E329" i="41" s="1"/>
  <c r="K328" i="41"/>
  <c r="G328" i="41"/>
  <c r="B328" i="41"/>
  <c r="E328" i="41" s="1"/>
  <c r="F328" i="41" s="1"/>
  <c r="K327" i="41"/>
  <c r="L327" i="41" s="1"/>
  <c r="M327" i="41" s="1"/>
  <c r="B327" i="41"/>
  <c r="E327" i="41" s="1"/>
  <c r="F327" i="41" s="1"/>
  <c r="K326" i="41"/>
  <c r="L326" i="41" s="1"/>
  <c r="M326" i="41" s="1"/>
  <c r="E326" i="41"/>
  <c r="B326" i="41"/>
  <c r="K325" i="41"/>
  <c r="B325" i="41"/>
  <c r="E325" i="41" s="1"/>
  <c r="K324" i="41"/>
  <c r="B324" i="41"/>
  <c r="E324" i="41" s="1"/>
  <c r="F324" i="41" s="1"/>
  <c r="B323" i="41"/>
  <c r="E323" i="41" s="1"/>
  <c r="F323" i="41" s="1"/>
  <c r="B322" i="41"/>
  <c r="E322" i="41" s="1"/>
  <c r="F322" i="41" s="1"/>
  <c r="M321" i="41"/>
  <c r="K321" i="41"/>
  <c r="L321" i="41" s="1"/>
  <c r="B321" i="41"/>
  <c r="E321" i="41" s="1"/>
  <c r="K320" i="41"/>
  <c r="L320" i="41" s="1"/>
  <c r="M320" i="41" s="1"/>
  <c r="B320" i="41"/>
  <c r="E320" i="41" s="1"/>
  <c r="F320" i="41" s="1"/>
  <c r="K319" i="41"/>
  <c r="B319" i="41"/>
  <c r="E319" i="41" s="1"/>
  <c r="K318" i="41"/>
  <c r="B318" i="41"/>
  <c r="E318" i="41" s="1"/>
  <c r="K316" i="41"/>
  <c r="L316" i="41" s="1"/>
  <c r="M316" i="41" s="1"/>
  <c r="B316" i="41"/>
  <c r="E316" i="41" s="1"/>
  <c r="F316" i="41" s="1"/>
  <c r="G316" i="41" s="1"/>
  <c r="K315" i="41"/>
  <c r="L315" i="41" s="1"/>
  <c r="M315" i="41" s="1"/>
  <c r="B315" i="41"/>
  <c r="E315" i="41" s="1"/>
  <c r="K314" i="41"/>
  <c r="B314" i="41"/>
  <c r="E314" i="41" s="1"/>
  <c r="K313" i="41"/>
  <c r="B313" i="41"/>
  <c r="E313" i="41" s="1"/>
  <c r="L312" i="41"/>
  <c r="M312" i="41" s="1"/>
  <c r="K312" i="41"/>
  <c r="B312" i="41"/>
  <c r="E312" i="41" s="1"/>
  <c r="K311" i="41"/>
  <c r="B311" i="41"/>
  <c r="E311" i="41" s="1"/>
  <c r="K310" i="41"/>
  <c r="B310" i="41"/>
  <c r="E310" i="41" s="1"/>
  <c r="K309" i="41"/>
  <c r="L309" i="41" s="1"/>
  <c r="M309" i="41" s="1"/>
  <c r="B309" i="41"/>
  <c r="E309" i="41" s="1"/>
  <c r="K308" i="41"/>
  <c r="L308" i="41" s="1"/>
  <c r="M308" i="41" s="1"/>
  <c r="E308" i="41"/>
  <c r="B308" i="41"/>
  <c r="K307" i="41"/>
  <c r="B307" i="41"/>
  <c r="E307" i="41" s="1"/>
  <c r="H306" i="41"/>
  <c r="B305" i="41"/>
  <c r="E305" i="41" s="1"/>
  <c r="K304" i="41"/>
  <c r="E304" i="41"/>
  <c r="F304" i="41" s="1"/>
  <c r="G304" i="41" s="1"/>
  <c r="B303" i="41"/>
  <c r="E303" i="41" s="1"/>
  <c r="B302" i="41"/>
  <c r="E302" i="41" s="1"/>
  <c r="B301" i="41"/>
  <c r="E301" i="41" s="1"/>
  <c r="K300" i="41"/>
  <c r="L300" i="41" s="1"/>
  <c r="M300" i="41" s="1"/>
  <c r="B300" i="41"/>
  <c r="E300" i="41" s="1"/>
  <c r="K299" i="41"/>
  <c r="B299" i="41"/>
  <c r="E299" i="41" s="1"/>
  <c r="K298" i="41"/>
  <c r="B298" i="41"/>
  <c r="E298" i="41" s="1"/>
  <c r="F298" i="41" s="1"/>
  <c r="M297" i="41"/>
  <c r="K297" i="41"/>
  <c r="L297" i="41" s="1"/>
  <c r="B297" i="41"/>
  <c r="E297" i="41" s="1"/>
  <c r="K296" i="41"/>
  <c r="L296" i="41" s="1"/>
  <c r="M296" i="41" s="1"/>
  <c r="E296" i="41"/>
  <c r="B296" i="41"/>
  <c r="K295" i="41"/>
  <c r="B295" i="41"/>
  <c r="E295" i="41" s="1"/>
  <c r="K294" i="41"/>
  <c r="B294" i="41"/>
  <c r="E294" i="41" s="1"/>
  <c r="K293" i="41"/>
  <c r="L293" i="41" s="1"/>
  <c r="M293" i="41" s="1"/>
  <c r="B293" i="41"/>
  <c r="E293" i="41" s="1"/>
  <c r="L292" i="41"/>
  <c r="M292" i="41" s="1"/>
  <c r="K292" i="41"/>
  <c r="B292" i="41"/>
  <c r="E292" i="41" s="1"/>
  <c r="K291" i="41"/>
  <c r="B291" i="41"/>
  <c r="E291" i="41" s="1"/>
  <c r="K290" i="41"/>
  <c r="G290" i="41"/>
  <c r="B290" i="41"/>
  <c r="E290" i="41" s="1"/>
  <c r="F290" i="41" s="1"/>
  <c r="K289" i="41"/>
  <c r="L289" i="41" s="1"/>
  <c r="M289" i="41" s="1"/>
  <c r="B289" i="41"/>
  <c r="E289" i="41" s="1"/>
  <c r="F289" i="41" s="1"/>
  <c r="L288" i="41"/>
  <c r="M288" i="41" s="1"/>
  <c r="K288" i="41"/>
  <c r="B288" i="41"/>
  <c r="E288" i="41" s="1"/>
  <c r="K287" i="41"/>
  <c r="B287" i="41"/>
  <c r="E287" i="41" s="1"/>
  <c r="K286" i="41"/>
  <c r="B286" i="41"/>
  <c r="E286" i="41" s="1"/>
  <c r="F286" i="41" s="1"/>
  <c r="K285" i="41"/>
  <c r="L285" i="41" s="1"/>
  <c r="M285" i="41" s="1"/>
  <c r="B285" i="41"/>
  <c r="E285" i="41" s="1"/>
  <c r="K284" i="41"/>
  <c r="L284" i="41" s="1"/>
  <c r="M284" i="41" s="1"/>
  <c r="E284" i="41"/>
  <c r="B284" i="41"/>
  <c r="K283" i="41"/>
  <c r="K282" i="41"/>
  <c r="B282" i="41"/>
  <c r="E282" i="41" s="1"/>
  <c r="F282" i="41" s="1"/>
  <c r="K281" i="41"/>
  <c r="L281" i="41" s="1"/>
  <c r="M281" i="41" s="1"/>
  <c r="B281" i="41"/>
  <c r="E281" i="41" s="1"/>
  <c r="K280" i="41"/>
  <c r="L280" i="41" s="1"/>
  <c r="M280" i="41" s="1"/>
  <c r="B280" i="41"/>
  <c r="E280" i="41" s="1"/>
  <c r="K279" i="41"/>
  <c r="B279" i="41"/>
  <c r="E279" i="41" s="1"/>
  <c r="K278" i="41"/>
  <c r="B278" i="41"/>
  <c r="E278" i="41" s="1"/>
  <c r="F278" i="41" s="1"/>
  <c r="G277" i="41"/>
  <c r="B277" i="41"/>
  <c r="E277" i="41" s="1"/>
  <c r="F277" i="41" s="1"/>
  <c r="K276" i="41"/>
  <c r="L276" i="41" s="1"/>
  <c r="M276" i="41" s="1"/>
  <c r="B276" i="41"/>
  <c r="E276" i="41" s="1"/>
  <c r="F276" i="41" s="1"/>
  <c r="L275" i="41"/>
  <c r="M275" i="41" s="1"/>
  <c r="K275" i="41"/>
  <c r="B275" i="41"/>
  <c r="E275" i="41" s="1"/>
  <c r="B274" i="41"/>
  <c r="E274" i="41" s="1"/>
  <c r="K273" i="41"/>
  <c r="K272" i="41"/>
  <c r="B272" i="41"/>
  <c r="E272" i="41" s="1"/>
  <c r="F272" i="41" s="1"/>
  <c r="K271" i="41"/>
  <c r="L271" i="41" s="1"/>
  <c r="B271" i="41"/>
  <c r="E271" i="41" s="1"/>
  <c r="L270" i="41"/>
  <c r="M270" i="41" s="1"/>
  <c r="K270" i="41"/>
  <c r="E270" i="41"/>
  <c r="F270" i="41" s="1"/>
  <c r="B270" i="41"/>
  <c r="K269" i="41"/>
  <c r="B269" i="41"/>
  <c r="E269" i="41" s="1"/>
  <c r="K268" i="41"/>
  <c r="B268" i="41"/>
  <c r="E268" i="41" s="1"/>
  <c r="F268" i="41" s="1"/>
  <c r="K267" i="41"/>
  <c r="L267" i="41" s="1"/>
  <c r="M267" i="41" s="1"/>
  <c r="G267" i="41"/>
  <c r="B267" i="41"/>
  <c r="E267" i="41" s="1"/>
  <c r="F267" i="41" s="1"/>
  <c r="K266" i="41"/>
  <c r="L266" i="41" s="1"/>
  <c r="M266" i="41" s="1"/>
  <c r="B266" i="41"/>
  <c r="E266" i="41" s="1"/>
  <c r="K265" i="41"/>
  <c r="B265" i="41"/>
  <c r="E265" i="41" s="1"/>
  <c r="K264" i="41"/>
  <c r="B264" i="41"/>
  <c r="E264" i="41" s="1"/>
  <c r="F264" i="41" s="1"/>
  <c r="K263" i="41"/>
  <c r="L263" i="41" s="1"/>
  <c r="E263" i="41"/>
  <c r="B263" i="41"/>
  <c r="B262" i="41"/>
  <c r="E262" i="41" s="1"/>
  <c r="K261" i="41"/>
  <c r="B261" i="41"/>
  <c r="E261" i="41" s="1"/>
  <c r="K260" i="41"/>
  <c r="B260" i="41"/>
  <c r="E260" i="41" s="1"/>
  <c r="K259" i="41"/>
  <c r="L259" i="41" s="1"/>
  <c r="M259" i="41" s="1"/>
  <c r="B259" i="41"/>
  <c r="E259" i="41" s="1"/>
  <c r="F259" i="41" s="1"/>
  <c r="K258" i="41"/>
  <c r="L258" i="41" s="1"/>
  <c r="M258" i="41" s="1"/>
  <c r="B258" i="41"/>
  <c r="E258" i="41" s="1"/>
  <c r="K257" i="41"/>
  <c r="B257" i="41"/>
  <c r="E257" i="41" s="1"/>
  <c r="K256" i="41"/>
  <c r="K255" i="41"/>
  <c r="L255" i="41" s="1"/>
  <c r="B255" i="41"/>
  <c r="E255" i="41" s="1"/>
  <c r="K254" i="41"/>
  <c r="L254" i="41" s="1"/>
  <c r="M254" i="41" s="1"/>
  <c r="B254" i="41"/>
  <c r="E254" i="41" s="1"/>
  <c r="K253" i="41"/>
  <c r="B253" i="41"/>
  <c r="E253" i="41" s="1"/>
  <c r="K252" i="41"/>
  <c r="G252" i="41"/>
  <c r="B252" i="41"/>
  <c r="E252" i="41" s="1"/>
  <c r="F252" i="41" s="1"/>
  <c r="K251" i="41"/>
  <c r="L251" i="41" s="1"/>
  <c r="M251" i="41" s="1"/>
  <c r="B251" i="41"/>
  <c r="E251" i="41" s="1"/>
  <c r="F251" i="41" s="1"/>
  <c r="K250" i="41"/>
  <c r="L250" i="41" s="1"/>
  <c r="M250" i="41" s="1"/>
  <c r="E250" i="41"/>
  <c r="B250" i="41"/>
  <c r="K249" i="41"/>
  <c r="B249" i="41"/>
  <c r="E249" i="41" s="1"/>
  <c r="K248" i="41"/>
  <c r="B248" i="41"/>
  <c r="E248" i="41" s="1"/>
  <c r="F248" i="41" s="1"/>
  <c r="K247" i="41"/>
  <c r="L247" i="41" s="1"/>
  <c r="M247" i="41" s="1"/>
  <c r="F247" i="41"/>
  <c r="B247" i="41"/>
  <c r="E247" i="41" s="1"/>
  <c r="K246" i="41"/>
  <c r="L246" i="41" s="1"/>
  <c r="M246" i="41" s="1"/>
  <c r="B246" i="41"/>
  <c r="E246" i="41" s="1"/>
  <c r="K245" i="41"/>
  <c r="B245" i="41"/>
  <c r="E245" i="41" s="1"/>
  <c r="B244" i="41"/>
  <c r="E244" i="41" s="1"/>
  <c r="K243" i="41"/>
  <c r="B243" i="41"/>
  <c r="E243" i="41" s="1"/>
  <c r="K242" i="41"/>
  <c r="L242" i="41" s="1"/>
  <c r="B242" i="41"/>
  <c r="E242" i="41" s="1"/>
  <c r="K241" i="41"/>
  <c r="L241" i="41" s="1"/>
  <c r="M241" i="41" s="1"/>
  <c r="B241" i="41"/>
  <c r="E241" i="41" s="1"/>
  <c r="K240" i="41"/>
  <c r="B240" i="41"/>
  <c r="E240" i="41" s="1"/>
  <c r="H239" i="41"/>
  <c r="K238" i="41"/>
  <c r="E238" i="41"/>
  <c r="F238" i="41" s="1"/>
  <c r="G238" i="41" s="1"/>
  <c r="L237" i="41"/>
  <c r="M237" i="41" s="1"/>
  <c r="K237" i="41"/>
  <c r="E237" i="41"/>
  <c r="B237" i="41"/>
  <c r="K236" i="41"/>
  <c r="B236" i="41"/>
  <c r="E236" i="41" s="1"/>
  <c r="K235" i="41"/>
  <c r="B235" i="41"/>
  <c r="E235" i="41" s="1"/>
  <c r="M234" i="41"/>
  <c r="K234" i="41"/>
  <c r="L234" i="41" s="1"/>
  <c r="B234" i="41"/>
  <c r="E234" i="41" s="1"/>
  <c r="K233" i="41"/>
  <c r="L233" i="41" s="1"/>
  <c r="M233" i="41" s="1"/>
  <c r="E233" i="41"/>
  <c r="B233" i="41"/>
  <c r="K232" i="41"/>
  <c r="K231" i="41"/>
  <c r="B231" i="41"/>
  <c r="E231" i="41" s="1"/>
  <c r="K230" i="41"/>
  <c r="L230" i="41" s="1"/>
  <c r="B230" i="41"/>
  <c r="E230" i="41" s="1"/>
  <c r="L229" i="41"/>
  <c r="M229" i="41" s="1"/>
  <c r="K229" i="41"/>
  <c r="B229" i="41"/>
  <c r="E229" i="41" s="1"/>
  <c r="K228" i="41"/>
  <c r="B228" i="41"/>
  <c r="E228" i="41" s="1"/>
  <c r="K227" i="41"/>
  <c r="G227" i="41"/>
  <c r="B227" i="41"/>
  <c r="E227" i="41" s="1"/>
  <c r="F227" i="41" s="1"/>
  <c r="K226" i="41"/>
  <c r="L226" i="41" s="1"/>
  <c r="M226" i="41" s="1"/>
  <c r="B226" i="41"/>
  <c r="E226" i="41" s="1"/>
  <c r="F226" i="41" s="1"/>
  <c r="L225" i="41"/>
  <c r="M225" i="41" s="1"/>
  <c r="K225" i="41"/>
  <c r="B225" i="41"/>
  <c r="E225" i="41" s="1"/>
  <c r="K224" i="41"/>
  <c r="B224" i="41"/>
  <c r="E224" i="41" s="1"/>
  <c r="B223" i="41"/>
  <c r="E223" i="41" s="1"/>
  <c r="K222" i="41"/>
  <c r="B222" i="41"/>
  <c r="E222" i="41" s="1"/>
  <c r="F222" i="41" s="1"/>
  <c r="M221" i="41"/>
  <c r="K221" i="41"/>
  <c r="L221" i="41" s="1"/>
  <c r="B221" i="41"/>
  <c r="E221" i="41" s="1"/>
  <c r="K220" i="41"/>
  <c r="L220" i="41" s="1"/>
  <c r="M220" i="41" s="1"/>
  <c r="B220" i="41"/>
  <c r="E220" i="41" s="1"/>
  <c r="K219" i="41"/>
  <c r="F219" i="41"/>
  <c r="G219" i="41" s="1"/>
  <c r="B219" i="41"/>
  <c r="K218" i="41"/>
  <c r="L218" i="41" s="1"/>
  <c r="M218" i="41" s="1"/>
  <c r="F218" i="41"/>
  <c r="B218" i="41"/>
  <c r="E218" i="41" s="1"/>
  <c r="K217" i="41"/>
  <c r="L217" i="41" s="1"/>
  <c r="M217" i="41" s="1"/>
  <c r="B217" i="41"/>
  <c r="E217" i="41" s="1"/>
  <c r="K216" i="41"/>
  <c r="B216" i="41"/>
  <c r="E216" i="41" s="1"/>
  <c r="K215" i="41"/>
  <c r="B215" i="41"/>
  <c r="E215" i="41" s="1"/>
  <c r="F215" i="41" s="1"/>
  <c r="K214" i="41"/>
  <c r="B214" i="41"/>
  <c r="E214" i="41" s="1"/>
  <c r="K213" i="41"/>
  <c r="L213" i="41" s="1"/>
  <c r="M213" i="41" s="1"/>
  <c r="B212" i="41"/>
  <c r="E212" i="41" s="1"/>
  <c r="K211" i="41"/>
  <c r="B211" i="41"/>
  <c r="E211" i="41" s="1"/>
  <c r="K210" i="41"/>
  <c r="B210" i="41"/>
  <c r="E210" i="41" s="1"/>
  <c r="M209" i="41"/>
  <c r="K209" i="41"/>
  <c r="L209" i="41" s="1"/>
  <c r="B209" i="41"/>
  <c r="E209" i="41" s="1"/>
  <c r="K208" i="41"/>
  <c r="L208" i="41" s="1"/>
  <c r="M208" i="41" s="1"/>
  <c r="B208" i="41"/>
  <c r="E208" i="41" s="1"/>
  <c r="K207" i="41"/>
  <c r="B207" i="41"/>
  <c r="E207" i="41" s="1"/>
  <c r="K206" i="41"/>
  <c r="B206" i="41"/>
  <c r="E206" i="41" s="1"/>
  <c r="F206" i="41" s="1"/>
  <c r="K205" i="41"/>
  <c r="L205" i="41" s="1"/>
  <c r="M205" i="41" s="1"/>
  <c r="B205" i="41"/>
  <c r="E205" i="41" s="1"/>
  <c r="F205" i="41" s="1"/>
  <c r="H204" i="41"/>
  <c r="H202" i="41"/>
  <c r="K202" i="41" s="1"/>
  <c r="G201" i="41"/>
  <c r="G200" i="41" s="1"/>
  <c r="F201" i="41"/>
  <c r="F200" i="41" s="1"/>
  <c r="E201" i="41"/>
  <c r="E200" i="41" s="1"/>
  <c r="B201" i="41"/>
  <c r="B200" i="41"/>
  <c r="K199" i="41"/>
  <c r="L199" i="41" s="1"/>
  <c r="M199" i="41" s="1"/>
  <c r="K198" i="41"/>
  <c r="K197" i="41"/>
  <c r="K196" i="41"/>
  <c r="L196" i="41" s="1"/>
  <c r="K195" i="41"/>
  <c r="L195" i="41" s="1"/>
  <c r="M195" i="41" s="1"/>
  <c r="K194" i="41"/>
  <c r="K193" i="41"/>
  <c r="K192" i="41"/>
  <c r="L192" i="41" s="1"/>
  <c r="M192" i="41" s="1"/>
  <c r="K191" i="41"/>
  <c r="L191" i="41" s="1"/>
  <c r="M191" i="41" s="1"/>
  <c r="K190" i="41"/>
  <c r="K189" i="41"/>
  <c r="K188" i="41"/>
  <c r="L187" i="41"/>
  <c r="M187" i="41" s="1"/>
  <c r="K187" i="41"/>
  <c r="K186" i="41"/>
  <c r="K185" i="41"/>
  <c r="K184" i="41"/>
  <c r="L184" i="41" s="1"/>
  <c r="M184" i="41" s="1"/>
  <c r="K183" i="41"/>
  <c r="L183" i="41" s="1"/>
  <c r="M183" i="41" s="1"/>
  <c r="K182" i="41"/>
  <c r="K181" i="41"/>
  <c r="K180" i="41"/>
  <c r="L180" i="41" s="1"/>
  <c r="K179" i="41"/>
  <c r="L179" i="41" s="1"/>
  <c r="M179" i="41" s="1"/>
  <c r="K178" i="41"/>
  <c r="K177" i="41"/>
  <c r="K176" i="41"/>
  <c r="L176" i="41" s="1"/>
  <c r="M176" i="41" s="1"/>
  <c r="K175" i="41"/>
  <c r="L175" i="41" s="1"/>
  <c r="M175" i="41" s="1"/>
  <c r="K174" i="41"/>
  <c r="L174" i="41" s="1"/>
  <c r="K173" i="41"/>
  <c r="K172" i="41"/>
  <c r="L172" i="41" s="1"/>
  <c r="M172" i="41" s="1"/>
  <c r="L171" i="41"/>
  <c r="M171" i="41" s="1"/>
  <c r="K171" i="41"/>
  <c r="K170" i="41"/>
  <c r="L170" i="41" s="1"/>
  <c r="K169" i="41"/>
  <c r="K168" i="41"/>
  <c r="L168" i="41" s="1"/>
  <c r="M168" i="41" s="1"/>
  <c r="K167" i="41"/>
  <c r="L167" i="41" s="1"/>
  <c r="K166" i="41"/>
  <c r="L166" i="41" s="1"/>
  <c r="B166" i="41"/>
  <c r="E166" i="41" s="1"/>
  <c r="K165" i="41"/>
  <c r="B165" i="41"/>
  <c r="E165" i="41" s="1"/>
  <c r="F165" i="41" s="1"/>
  <c r="K164" i="41"/>
  <c r="L164" i="41" s="1"/>
  <c r="M164" i="41" s="1"/>
  <c r="B164" i="41"/>
  <c r="E164" i="41" s="1"/>
  <c r="F164" i="41" s="1"/>
  <c r="G164" i="41" s="1"/>
  <c r="K163" i="41"/>
  <c r="E163" i="41"/>
  <c r="B163" i="41"/>
  <c r="K162" i="41"/>
  <c r="B162" i="41"/>
  <c r="E162" i="41" s="1"/>
  <c r="K161" i="41"/>
  <c r="B161" i="41"/>
  <c r="E161" i="41" s="1"/>
  <c r="K160" i="41"/>
  <c r="L160" i="41" s="1"/>
  <c r="B160" i="41"/>
  <c r="E160" i="41" s="1"/>
  <c r="F160" i="41" s="1"/>
  <c r="K159" i="41"/>
  <c r="L159" i="41" s="1"/>
  <c r="M159" i="41" s="1"/>
  <c r="B159" i="41"/>
  <c r="E159" i="41" s="1"/>
  <c r="F159" i="41" s="1"/>
  <c r="L158" i="41"/>
  <c r="K158" i="41"/>
  <c r="B158" i="41"/>
  <c r="E158" i="41" s="1"/>
  <c r="K157" i="41"/>
  <c r="G157" i="41"/>
  <c r="B157" i="41"/>
  <c r="E157" i="41" s="1"/>
  <c r="F157" i="41" s="1"/>
  <c r="K156" i="41"/>
  <c r="L156" i="41" s="1"/>
  <c r="M156" i="41" s="1"/>
  <c r="B156" i="41"/>
  <c r="E156" i="41" s="1"/>
  <c r="F156" i="41" s="1"/>
  <c r="G156" i="41" s="1"/>
  <c r="K155" i="41"/>
  <c r="B155" i="41"/>
  <c r="E155" i="41" s="1"/>
  <c r="K154" i="41"/>
  <c r="B154" i="41"/>
  <c r="E154" i="41" s="1"/>
  <c r="K153" i="41"/>
  <c r="B153" i="41"/>
  <c r="E153" i="41" s="1"/>
  <c r="K152" i="41"/>
  <c r="F152" i="41"/>
  <c r="B152" i="41"/>
  <c r="E152" i="41" s="1"/>
  <c r="K151" i="41"/>
  <c r="L151" i="41" s="1"/>
  <c r="M151" i="41" s="1"/>
  <c r="E151" i="41"/>
  <c r="F151" i="41" s="1"/>
  <c r="B151" i="41"/>
  <c r="K150" i="41"/>
  <c r="L150" i="41" s="1"/>
  <c r="B150" i="41"/>
  <c r="E150" i="41" s="1"/>
  <c r="K149" i="41"/>
  <c r="B149" i="41"/>
  <c r="E149" i="41" s="1"/>
  <c r="F149" i="41" s="1"/>
  <c r="K148" i="41"/>
  <c r="L148" i="41" s="1"/>
  <c r="M148" i="41" s="1"/>
  <c r="B148" i="41"/>
  <c r="E148" i="41" s="1"/>
  <c r="F148" i="41" s="1"/>
  <c r="G148" i="41" s="1"/>
  <c r="L147" i="41"/>
  <c r="K147" i="41"/>
  <c r="B147" i="41"/>
  <c r="E147" i="41" s="1"/>
  <c r="K146" i="41"/>
  <c r="E146" i="41"/>
  <c r="B146" i="41"/>
  <c r="K145" i="41"/>
  <c r="B145" i="41"/>
  <c r="E145" i="41" s="1"/>
  <c r="M144" i="41"/>
  <c r="K144" i="41"/>
  <c r="L144" i="41" s="1"/>
  <c r="F144" i="41"/>
  <c r="B144" i="41"/>
  <c r="E144" i="41" s="1"/>
  <c r="L143" i="41"/>
  <c r="M143" i="41" s="1"/>
  <c r="K143" i="41"/>
  <c r="B143" i="41"/>
  <c r="E143" i="41" s="1"/>
  <c r="F143" i="41" s="1"/>
  <c r="K142" i="41"/>
  <c r="L142" i="41" s="1"/>
  <c r="K141" i="41"/>
  <c r="B141" i="41"/>
  <c r="E141" i="41" s="1"/>
  <c r="K140" i="41"/>
  <c r="B140" i="41"/>
  <c r="E140" i="41" s="1"/>
  <c r="F140" i="41" s="1"/>
  <c r="K139" i="41"/>
  <c r="L139" i="41" s="1"/>
  <c r="M139" i="41" s="1"/>
  <c r="E139" i="41"/>
  <c r="F139" i="41" s="1"/>
  <c r="B139" i="41"/>
  <c r="H138" i="41"/>
  <c r="H137" i="41" s="1"/>
  <c r="K136" i="41"/>
  <c r="H136" i="41"/>
  <c r="K135" i="41"/>
  <c r="K134" i="41" s="1"/>
  <c r="K133" i="41" s="1"/>
  <c r="H135" i="41"/>
  <c r="H134" i="41"/>
  <c r="H133" i="41" s="1"/>
  <c r="G134" i="41"/>
  <c r="G133" i="41" s="1"/>
  <c r="F134" i="41"/>
  <c r="F133" i="41" s="1"/>
  <c r="E134" i="41"/>
  <c r="B134" i="41"/>
  <c r="B133" i="41" s="1"/>
  <c r="E133" i="41"/>
  <c r="H132" i="41"/>
  <c r="K132" i="41" s="1"/>
  <c r="G131" i="41"/>
  <c r="G130" i="41" s="1"/>
  <c r="F131" i="41"/>
  <c r="F130" i="41" s="1"/>
  <c r="E131" i="41"/>
  <c r="E130" i="41" s="1"/>
  <c r="B131" i="41"/>
  <c r="B130" i="41" s="1"/>
  <c r="H129" i="41"/>
  <c r="K129" i="41" s="1"/>
  <c r="E129" i="41"/>
  <c r="K128" i="41"/>
  <c r="E128" i="41"/>
  <c r="F128" i="41" s="1"/>
  <c r="H127" i="41"/>
  <c r="K127" i="41" s="1"/>
  <c r="L127" i="41" s="1"/>
  <c r="E127" i="41"/>
  <c r="F127" i="41" s="1"/>
  <c r="G127" i="41" s="1"/>
  <c r="K126" i="41"/>
  <c r="L126" i="41" s="1"/>
  <c r="E126" i="41"/>
  <c r="B125" i="41"/>
  <c r="M124" i="41"/>
  <c r="K124" i="41"/>
  <c r="L124" i="41" s="1"/>
  <c r="F124" i="41"/>
  <c r="G124" i="41" s="1"/>
  <c r="E124" i="41"/>
  <c r="L123" i="41"/>
  <c r="K123" i="41"/>
  <c r="E123" i="41"/>
  <c r="H122" i="41"/>
  <c r="K122" i="41" s="1"/>
  <c r="L122" i="41" s="1"/>
  <c r="E122" i="41"/>
  <c r="F122" i="41" s="1"/>
  <c r="G122" i="41" s="1"/>
  <c r="K121" i="41"/>
  <c r="E121" i="41"/>
  <c r="F121" i="41" s="1"/>
  <c r="K120" i="41"/>
  <c r="E120" i="41"/>
  <c r="B119" i="41"/>
  <c r="B118" i="41" s="1"/>
  <c r="H117" i="41"/>
  <c r="B117" i="41"/>
  <c r="E117" i="41" s="1"/>
  <c r="F117" i="41" s="1"/>
  <c r="G117" i="41" s="1"/>
  <c r="K116" i="41"/>
  <c r="B116" i="41"/>
  <c r="E116" i="41" s="1"/>
  <c r="F116" i="41" s="1"/>
  <c r="H115" i="41"/>
  <c r="K115" i="41" s="1"/>
  <c r="L115" i="41" s="1"/>
  <c r="E115" i="41"/>
  <c r="F115" i="41" s="1"/>
  <c r="B115" i="41"/>
  <c r="K113" i="41"/>
  <c r="H113" i="41"/>
  <c r="K112" i="41"/>
  <c r="H112" i="41"/>
  <c r="K111" i="41"/>
  <c r="H111" i="41"/>
  <c r="E111" i="41"/>
  <c r="B111" i="41"/>
  <c r="B110" i="41"/>
  <c r="H109" i="41"/>
  <c r="K109" i="41" s="1"/>
  <c r="H108" i="41"/>
  <c r="K108" i="41" s="1"/>
  <c r="H107" i="41"/>
  <c r="K107" i="41" s="1"/>
  <c r="H106" i="41"/>
  <c r="K106" i="41" s="1"/>
  <c r="B106" i="41"/>
  <c r="E106" i="41" s="1"/>
  <c r="H105" i="41"/>
  <c r="K105" i="41" s="1"/>
  <c r="B105" i="41"/>
  <c r="E105" i="41" s="1"/>
  <c r="H104" i="41"/>
  <c r="K104" i="41" s="1"/>
  <c r="B104" i="41"/>
  <c r="E104" i="41" s="1"/>
  <c r="H103" i="41"/>
  <c r="K103" i="41" s="1"/>
  <c r="B103" i="41"/>
  <c r="E103" i="41" s="1"/>
  <c r="H102" i="41"/>
  <c r="K102" i="41" s="1"/>
  <c r="B102" i="41"/>
  <c r="E102" i="41" s="1"/>
  <c r="H101" i="41"/>
  <c r="K101" i="41" s="1"/>
  <c r="B101" i="41"/>
  <c r="E101" i="41" s="1"/>
  <c r="H100" i="41"/>
  <c r="K100" i="41" s="1"/>
  <c r="B100" i="41"/>
  <c r="E100" i="41" s="1"/>
  <c r="H99" i="41"/>
  <c r="K99" i="41" s="1"/>
  <c r="B99" i="41"/>
  <c r="E99" i="41" s="1"/>
  <c r="H98" i="41"/>
  <c r="K98" i="41" s="1"/>
  <c r="B98" i="41"/>
  <c r="E98" i="41" s="1"/>
  <c r="H97" i="41"/>
  <c r="K97" i="41" s="1"/>
  <c r="B97" i="41"/>
  <c r="E97" i="41" s="1"/>
  <c r="H96" i="41"/>
  <c r="K96" i="41" s="1"/>
  <c r="B96" i="41"/>
  <c r="E96" i="41" s="1"/>
  <c r="K94" i="41"/>
  <c r="H94" i="41"/>
  <c r="K93" i="41"/>
  <c r="H93" i="41"/>
  <c r="E93" i="41"/>
  <c r="B93" i="41"/>
  <c r="K92" i="41"/>
  <c r="H92" i="41"/>
  <c r="E92" i="41"/>
  <c r="B92" i="41"/>
  <c r="K91" i="41"/>
  <c r="H91" i="41"/>
  <c r="E91" i="41"/>
  <c r="B91" i="41"/>
  <c r="K90" i="41"/>
  <c r="H90" i="41"/>
  <c r="E90" i="41"/>
  <c r="B90" i="41"/>
  <c r="K89" i="41"/>
  <c r="H89" i="41"/>
  <c r="E89" i="41"/>
  <c r="B89" i="41"/>
  <c r="K88" i="41"/>
  <c r="H88" i="41"/>
  <c r="E88" i="41"/>
  <c r="B88" i="41"/>
  <c r="K87" i="41"/>
  <c r="H87" i="41"/>
  <c r="E87" i="41"/>
  <c r="B87" i="41"/>
  <c r="K86" i="41"/>
  <c r="H86" i="41"/>
  <c r="E86" i="41"/>
  <c r="B86" i="41"/>
  <c r="K85" i="41"/>
  <c r="H85" i="41"/>
  <c r="E85" i="41"/>
  <c r="B85" i="41"/>
  <c r="K84" i="41"/>
  <c r="H83" i="41"/>
  <c r="K83" i="41" s="1"/>
  <c r="B82" i="41"/>
  <c r="H80" i="41"/>
  <c r="K80" i="41" s="1"/>
  <c r="H79" i="41"/>
  <c r="H78" i="41" s="1"/>
  <c r="G79" i="41"/>
  <c r="G78" i="41" s="1"/>
  <c r="F79" i="41"/>
  <c r="F78" i="41" s="1"/>
  <c r="E79" i="41"/>
  <c r="B79" i="41"/>
  <c r="B78" i="41" s="1"/>
  <c r="E78" i="41"/>
  <c r="H77" i="41"/>
  <c r="K77" i="41" s="1"/>
  <c r="B77" i="41"/>
  <c r="E77" i="41" s="1"/>
  <c r="B75" i="41"/>
  <c r="E75" i="41" s="1"/>
  <c r="F75" i="41" s="1"/>
  <c r="B74" i="41"/>
  <c r="E74" i="41" s="1"/>
  <c r="F74" i="41" s="1"/>
  <c r="H73" i="41"/>
  <c r="K73" i="41" s="1"/>
  <c r="L73" i="41" s="1"/>
  <c r="B73" i="41"/>
  <c r="E73" i="41" s="1"/>
  <c r="F73" i="41" s="1"/>
  <c r="H72" i="41"/>
  <c r="K72" i="41" s="1"/>
  <c r="L72" i="41" s="1"/>
  <c r="B72" i="41"/>
  <c r="E72" i="41" s="1"/>
  <c r="F72" i="41" s="1"/>
  <c r="H71" i="41"/>
  <c r="K71" i="41" s="1"/>
  <c r="L71" i="41" s="1"/>
  <c r="B71" i="41"/>
  <c r="E71" i="41" s="1"/>
  <c r="F71" i="41" s="1"/>
  <c r="H70" i="41"/>
  <c r="K70" i="41" s="1"/>
  <c r="L70" i="41" s="1"/>
  <c r="B70" i="41"/>
  <c r="E70" i="41" s="1"/>
  <c r="F70" i="41" s="1"/>
  <c r="H69" i="41"/>
  <c r="K69" i="41" s="1"/>
  <c r="B69" i="41"/>
  <c r="E69" i="41" s="1"/>
  <c r="K67" i="41"/>
  <c r="L67" i="41" s="1"/>
  <c r="F67" i="41"/>
  <c r="F66" i="41" s="1"/>
  <c r="E67" i="41"/>
  <c r="H66" i="41"/>
  <c r="E66" i="41"/>
  <c r="B66" i="41"/>
  <c r="E64" i="41"/>
  <c r="M63" i="41"/>
  <c r="M62" i="41" s="1"/>
  <c r="L63" i="41"/>
  <c r="L62" i="41" s="1"/>
  <c r="K63" i="41"/>
  <c r="H63" i="41"/>
  <c r="H62" i="41" s="1"/>
  <c r="B63" i="41"/>
  <c r="B62" i="41" s="1"/>
  <c r="K62" i="41"/>
  <c r="H61" i="41"/>
  <c r="K61" i="41" s="1"/>
  <c r="B61" i="41"/>
  <c r="E61" i="41" s="1"/>
  <c r="B60" i="41"/>
  <c r="B56" i="41" s="1"/>
  <c r="H59" i="41"/>
  <c r="K59" i="41" s="1"/>
  <c r="H58" i="41"/>
  <c r="H57" i="41" s="1"/>
  <c r="G57" i="41"/>
  <c r="F57" i="41"/>
  <c r="E57" i="41"/>
  <c r="B57" i="41"/>
  <c r="B55" i="41"/>
  <c r="B54" i="41" s="1"/>
  <c r="M54" i="41"/>
  <c r="L54" i="41"/>
  <c r="K54" i="41"/>
  <c r="H54" i="41"/>
  <c r="B53" i="41"/>
  <c r="E53" i="41" s="1"/>
  <c r="H52" i="41"/>
  <c r="K52" i="41" s="1"/>
  <c r="B52" i="41"/>
  <c r="B50" i="41"/>
  <c r="E50" i="41" s="1"/>
  <c r="K49" i="41"/>
  <c r="L49" i="41" s="1"/>
  <c r="H49" i="41"/>
  <c r="B49" i="41"/>
  <c r="E49" i="41" s="1"/>
  <c r="H48" i="41"/>
  <c r="H47" i="41" s="1"/>
  <c r="K46" i="41"/>
  <c r="K45" i="41" s="1"/>
  <c r="H46" i="41"/>
  <c r="E46" i="41"/>
  <c r="B46" i="41"/>
  <c r="B45" i="41" s="1"/>
  <c r="H45" i="41"/>
  <c r="H43" i="41"/>
  <c r="K43" i="41" s="1"/>
  <c r="H42" i="41"/>
  <c r="K42" i="41" s="1"/>
  <c r="H41" i="41"/>
  <c r="K41" i="41" s="1"/>
  <c r="H40" i="41"/>
  <c r="K40" i="41" s="1"/>
  <c r="H39" i="41"/>
  <c r="K39" i="41" s="1"/>
  <c r="H38" i="41"/>
  <c r="H37" i="41" s="1"/>
  <c r="G37" i="41"/>
  <c r="G18" i="41" s="1"/>
  <c r="F37" i="41"/>
  <c r="E37" i="41"/>
  <c r="B37" i="41"/>
  <c r="K36" i="41"/>
  <c r="H36" i="41"/>
  <c r="K35" i="41"/>
  <c r="H35" i="41"/>
  <c r="K34" i="41"/>
  <c r="H34" i="41"/>
  <c r="K33" i="41"/>
  <c r="H33" i="41"/>
  <c r="H32" i="41"/>
  <c r="G32" i="41"/>
  <c r="F32" i="41"/>
  <c r="E32" i="41"/>
  <c r="B32" i="41"/>
  <c r="H31" i="41"/>
  <c r="K31" i="41" s="1"/>
  <c r="H30" i="41"/>
  <c r="K30" i="41" s="1"/>
  <c r="H29" i="41"/>
  <c r="K29" i="41" s="1"/>
  <c r="H28" i="41"/>
  <c r="K28" i="41" s="1"/>
  <c r="H27" i="41"/>
  <c r="K27" i="41" s="1"/>
  <c r="H26" i="41"/>
  <c r="K26" i="41" s="1"/>
  <c r="H25" i="41"/>
  <c r="K25" i="41" s="1"/>
  <c r="H24" i="41"/>
  <c r="K24" i="41" s="1"/>
  <c r="H23" i="41"/>
  <c r="K23" i="41" s="1"/>
  <c r="H22" i="41"/>
  <c r="K22" i="41" s="1"/>
  <c r="H21" i="41"/>
  <c r="H20" i="41"/>
  <c r="K20" i="41" s="1"/>
  <c r="G19" i="41"/>
  <c r="F19" i="41"/>
  <c r="F18" i="41" s="1"/>
  <c r="E19" i="41"/>
  <c r="B19" i="41"/>
  <c r="B18" i="41" s="1"/>
  <c r="E18" i="41"/>
  <c r="H17" i="41"/>
  <c r="K17" i="41" s="1"/>
  <c r="H16" i="41"/>
  <c r="K16" i="41" s="1"/>
  <c r="H15" i="41"/>
  <c r="K15" i="41" s="1"/>
  <c r="G14" i="41"/>
  <c r="F14" i="41"/>
  <c r="F13" i="41" s="1"/>
  <c r="E14" i="41"/>
  <c r="E13" i="41" s="1"/>
  <c r="B14" i="41"/>
  <c r="B13" i="41" s="1"/>
  <c r="G13" i="41"/>
  <c r="E12" i="41"/>
  <c r="B12" i="41"/>
  <c r="M11" i="41"/>
  <c r="M10" i="41" s="1"/>
  <c r="L11" i="41"/>
  <c r="K11" i="41"/>
  <c r="K10" i="41" s="1"/>
  <c r="H11" i="41"/>
  <c r="B11" i="41"/>
  <c r="B10" i="41" s="1"/>
  <c r="L10" i="41"/>
  <c r="H10" i="41"/>
  <c r="H14" i="41" l="1"/>
  <c r="H13" i="41" s="1"/>
  <c r="K38" i="41"/>
  <c r="L155" i="41"/>
  <c r="M155" i="41" s="1"/>
  <c r="M160" i="41"/>
  <c r="G165" i="41"/>
  <c r="M230" i="41"/>
  <c r="G248" i="41"/>
  <c r="M255" i="41"/>
  <c r="G268" i="41"/>
  <c r="M376" i="41"/>
  <c r="K383" i="41"/>
  <c r="H436" i="41"/>
  <c r="H435" i="41" s="1"/>
  <c r="H440" i="41"/>
  <c r="H439" i="41" s="1"/>
  <c r="K95" i="41"/>
  <c r="H76" i="41"/>
  <c r="H19" i="41"/>
  <c r="H18" i="41" s="1"/>
  <c r="G67" i="41"/>
  <c r="G66" i="41" s="1"/>
  <c r="B114" i="41"/>
  <c r="M147" i="41"/>
  <c r="M180" i="41"/>
  <c r="M196" i="41"/>
  <c r="G206" i="41"/>
  <c r="G327" i="41"/>
  <c r="M398" i="41"/>
  <c r="L66" i="41"/>
  <c r="M67" i="41"/>
  <c r="M66" i="41" s="1"/>
  <c r="E95" i="41"/>
  <c r="K21" i="41"/>
  <c r="K19" i="41" s="1"/>
  <c r="K48" i="41"/>
  <c r="L48" i="41" s="1"/>
  <c r="L47" i="41" s="1"/>
  <c r="K66" i="41"/>
  <c r="H68" i="41"/>
  <c r="H65" i="41" s="1"/>
  <c r="H95" i="41"/>
  <c r="H110" i="41"/>
  <c r="L116" i="41"/>
  <c r="M116" i="41" s="1"/>
  <c r="L121" i="41"/>
  <c r="M121" i="41" s="1"/>
  <c r="M122" i="41"/>
  <c r="H131" i="41"/>
  <c r="H130" i="41" s="1"/>
  <c r="L214" i="41"/>
  <c r="M214" i="41" s="1"/>
  <c r="H203" i="41"/>
  <c r="M242" i="41"/>
  <c r="L341" i="41"/>
  <c r="M341" i="41" s="1"/>
  <c r="L357" i="41"/>
  <c r="M357" i="41" s="1"/>
  <c r="F362" i="41"/>
  <c r="G362" i="41" s="1"/>
  <c r="F375" i="41"/>
  <c r="G375" i="41" s="1"/>
  <c r="G402" i="41"/>
  <c r="L414" i="41"/>
  <c r="M414" i="41" s="1"/>
  <c r="G115" i="41"/>
  <c r="G114" i="41" s="1"/>
  <c r="M127" i="41"/>
  <c r="G140" i="41"/>
  <c r="B51" i="41"/>
  <c r="B76" i="41"/>
  <c r="K110" i="41"/>
  <c r="E114" i="41"/>
  <c r="H125" i="41"/>
  <c r="L140" i="41"/>
  <c r="M140" i="41" s="1"/>
  <c r="L152" i="41"/>
  <c r="M152" i="41"/>
  <c r="L163" i="41"/>
  <c r="M163" i="41" s="1"/>
  <c r="L188" i="41"/>
  <c r="M188" i="41"/>
  <c r="F354" i="41"/>
  <c r="G354" i="41" s="1"/>
  <c r="F371" i="41"/>
  <c r="G371" i="41" s="1"/>
  <c r="L429" i="41"/>
  <c r="M429" i="41" s="1"/>
  <c r="B95" i="41"/>
  <c r="B81" i="41" s="1"/>
  <c r="H119" i="41"/>
  <c r="G128" i="41"/>
  <c r="L135" i="41"/>
  <c r="G149" i="41"/>
  <c r="M167" i="41"/>
  <c r="F260" i="41"/>
  <c r="G260" i="41"/>
  <c r="F351" i="41"/>
  <c r="G351" i="41" s="1"/>
  <c r="L354" i="41"/>
  <c r="M354" i="41" s="1"/>
  <c r="L368" i="41"/>
  <c r="M368" i="41" s="1"/>
  <c r="F377" i="41"/>
  <c r="G377" i="41" s="1"/>
  <c r="F379" i="41"/>
  <c r="G379" i="41" s="1"/>
  <c r="L386" i="41"/>
  <c r="L385" i="41" s="1"/>
  <c r="L384" i="41" s="1"/>
  <c r="K385" i="41"/>
  <c r="K384" i="41" s="1"/>
  <c r="L389" i="41"/>
  <c r="M389" i="41" s="1"/>
  <c r="F455" i="41"/>
  <c r="G455" i="41" s="1"/>
  <c r="F338" i="41"/>
  <c r="G338" i="41" s="1"/>
  <c r="G370" i="41"/>
  <c r="F370" i="41"/>
  <c r="L377" i="41"/>
  <c r="M377" i="41" s="1"/>
  <c r="F383" i="41"/>
  <c r="G383" i="41" s="1"/>
  <c r="F403" i="41"/>
  <c r="G403" i="41" s="1"/>
  <c r="L406" i="41"/>
  <c r="M406" i="41" s="1"/>
  <c r="H201" i="41"/>
  <c r="H200" i="41" s="1"/>
  <c r="M263" i="41"/>
  <c r="M271" i="41"/>
  <c r="G323" i="41"/>
  <c r="M331" i="41"/>
  <c r="M337" i="41"/>
  <c r="L342" i="41"/>
  <c r="M342" i="41" s="1"/>
  <c r="M345" i="41"/>
  <c r="L350" i="41"/>
  <c r="M350" i="41" s="1"/>
  <c r="L358" i="41"/>
  <c r="M358" i="41" s="1"/>
  <c r="L365" i="41"/>
  <c r="M365" i="41" s="1"/>
  <c r="L369" i="41"/>
  <c r="M369" i="41" s="1"/>
  <c r="H385" i="41"/>
  <c r="H384" i="41" s="1"/>
  <c r="L390" i="41"/>
  <c r="M390" i="41" s="1"/>
  <c r="G399" i="41"/>
  <c r="L402" i="41"/>
  <c r="M402" i="41" s="1"/>
  <c r="G411" i="41"/>
  <c r="L421" i="41"/>
  <c r="M421" i="41" s="1"/>
  <c r="G152" i="41"/>
  <c r="B306" i="41"/>
  <c r="G342" i="41"/>
  <c r="G350" i="41"/>
  <c r="M353" i="41"/>
  <c r="G369" i="41"/>
  <c r="M374" i="41"/>
  <c r="G395" i="41"/>
  <c r="M405" i="41"/>
  <c r="L413" i="41"/>
  <c r="M413" i="41" s="1"/>
  <c r="M430" i="41"/>
  <c r="M454" i="41"/>
  <c r="F50" i="41"/>
  <c r="G50" i="41" s="1"/>
  <c r="F61" i="41"/>
  <c r="F60" i="41" s="1"/>
  <c r="F56" i="41" s="1"/>
  <c r="E60" i="41"/>
  <c r="E56" i="41" s="1"/>
  <c r="F53" i="41"/>
  <c r="G53" i="41" s="1"/>
  <c r="F49" i="41"/>
  <c r="E47" i="41"/>
  <c r="L61" i="41"/>
  <c r="L60" i="41" s="1"/>
  <c r="K60" i="41"/>
  <c r="L52" i="41"/>
  <c r="K51" i="41"/>
  <c r="L59" i="41"/>
  <c r="M59" i="41" s="1"/>
  <c r="L83" i="41"/>
  <c r="M83" i="41" s="1"/>
  <c r="K82" i="41"/>
  <c r="F87" i="41"/>
  <c r="G87" i="41" s="1"/>
  <c r="F90" i="41"/>
  <c r="G90" i="41" s="1"/>
  <c r="F93" i="41"/>
  <c r="G93" i="41" s="1"/>
  <c r="L97" i="41"/>
  <c r="M97" i="41" s="1"/>
  <c r="L98" i="41"/>
  <c r="M98" i="41" s="1"/>
  <c r="L101" i="41"/>
  <c r="M101" i="41" s="1"/>
  <c r="L104" i="41"/>
  <c r="M104" i="41" s="1"/>
  <c r="L108" i="41"/>
  <c r="M108" i="41" s="1"/>
  <c r="F141" i="41"/>
  <c r="G141" i="41" s="1"/>
  <c r="F225" i="41"/>
  <c r="G225" i="41" s="1"/>
  <c r="F269" i="41"/>
  <c r="G269" i="41" s="1"/>
  <c r="L273" i="41"/>
  <c r="M273" i="41" s="1"/>
  <c r="L295" i="41"/>
  <c r="M295" i="41" s="1"/>
  <c r="F310" i="41"/>
  <c r="G310" i="41" s="1"/>
  <c r="F331" i="41"/>
  <c r="G331" i="41" s="1"/>
  <c r="F359" i="41"/>
  <c r="G359" i="41" s="1"/>
  <c r="F12" i="41"/>
  <c r="F11" i="41" s="1"/>
  <c r="F10" i="41" s="1"/>
  <c r="L15" i="41"/>
  <c r="M15" i="41" s="1"/>
  <c r="L16" i="41"/>
  <c r="M16" i="41" s="1"/>
  <c r="L17" i="41"/>
  <c r="M17" i="41" s="1"/>
  <c r="L20" i="41"/>
  <c r="M20" i="41" s="1"/>
  <c r="L21" i="41"/>
  <c r="M21" i="41" s="1"/>
  <c r="L22" i="41"/>
  <c r="M22" i="41" s="1"/>
  <c r="L23" i="41"/>
  <c r="M23" i="41" s="1"/>
  <c r="L24" i="41"/>
  <c r="M24" i="41" s="1"/>
  <c r="L25" i="41"/>
  <c r="M25" i="41" s="1"/>
  <c r="L26" i="41"/>
  <c r="M26" i="41" s="1"/>
  <c r="L27" i="41"/>
  <c r="M27" i="41" s="1"/>
  <c r="L28" i="41"/>
  <c r="M28" i="41" s="1"/>
  <c r="L29" i="41"/>
  <c r="M29" i="41" s="1"/>
  <c r="L30" i="41"/>
  <c r="M30" i="41" s="1"/>
  <c r="L31" i="41"/>
  <c r="M31" i="41" s="1"/>
  <c r="L33" i="41"/>
  <c r="L34" i="41"/>
  <c r="M34" i="41" s="1"/>
  <c r="L35" i="41"/>
  <c r="M35" i="41" s="1"/>
  <c r="L36" i="41"/>
  <c r="M36" i="41" s="1"/>
  <c r="L39" i="41"/>
  <c r="M39" i="41" s="1"/>
  <c r="L40" i="41"/>
  <c r="M40" i="41" s="1"/>
  <c r="L41" i="41"/>
  <c r="M41" i="41" s="1"/>
  <c r="L42" i="41"/>
  <c r="M42" i="41" s="1"/>
  <c r="L43" i="41"/>
  <c r="M43" i="41" s="1"/>
  <c r="F46" i="41"/>
  <c r="F45" i="41" s="1"/>
  <c r="L46" i="41"/>
  <c r="L45" i="41" s="1"/>
  <c r="M48" i="41"/>
  <c r="E52" i="41"/>
  <c r="E55" i="41"/>
  <c r="K58" i="41"/>
  <c r="F64" i="41"/>
  <c r="F63" i="41" s="1"/>
  <c r="F62" i="41" s="1"/>
  <c r="M70" i="41"/>
  <c r="M71" i="41"/>
  <c r="M72" i="41"/>
  <c r="M73" i="41"/>
  <c r="G75" i="41"/>
  <c r="F114" i="41"/>
  <c r="G121" i="41"/>
  <c r="G144" i="41"/>
  <c r="F145" i="41"/>
  <c r="G145" i="41" s="1"/>
  <c r="F163" i="41"/>
  <c r="G163" i="41" s="1"/>
  <c r="L165" i="41"/>
  <c r="M165" i="41" s="1"/>
  <c r="L211" i="41"/>
  <c r="M211" i="41" s="1"/>
  <c r="F234" i="41"/>
  <c r="G234" i="41" s="1"/>
  <c r="F243" i="41"/>
  <c r="G243" i="41" s="1"/>
  <c r="F258" i="41"/>
  <c r="G258" i="41" s="1"/>
  <c r="E11" i="41"/>
  <c r="E10" i="41" s="1"/>
  <c r="K14" i="41"/>
  <c r="K13" i="41" s="1"/>
  <c r="F85" i="41"/>
  <c r="G85" i="41" s="1"/>
  <c r="E82" i="41"/>
  <c r="F88" i="41"/>
  <c r="G88" i="41" s="1"/>
  <c r="F91" i="41"/>
  <c r="G91" i="41" s="1"/>
  <c r="L94" i="41"/>
  <c r="M94" i="41" s="1"/>
  <c r="L100" i="41"/>
  <c r="M100" i="41" s="1"/>
  <c r="L103" i="41"/>
  <c r="M103" i="41" s="1"/>
  <c r="L106" i="41"/>
  <c r="M106" i="41" s="1"/>
  <c r="F111" i="41"/>
  <c r="F110" i="41" s="1"/>
  <c r="K117" i="41"/>
  <c r="H114" i="41"/>
  <c r="E138" i="41"/>
  <c r="E137" i="41" s="1"/>
  <c r="G146" i="41"/>
  <c r="F146" i="41"/>
  <c r="F153" i="41"/>
  <c r="G153" i="41" s="1"/>
  <c r="K201" i="41"/>
  <c r="K200" i="41" s="1"/>
  <c r="L202" i="41"/>
  <c r="L201" i="41" s="1"/>
  <c r="L200" i="41" s="1"/>
  <c r="F223" i="41"/>
  <c r="G223" i="41" s="1"/>
  <c r="F245" i="41"/>
  <c r="G245" i="41" s="1"/>
  <c r="F288" i="41"/>
  <c r="G288" i="41" s="1"/>
  <c r="H51" i="41"/>
  <c r="H44" i="41" s="1"/>
  <c r="H60" i="41"/>
  <c r="H56" i="41" s="1"/>
  <c r="F69" i="41"/>
  <c r="F68" i="41" s="1"/>
  <c r="E68" i="41"/>
  <c r="F77" i="41"/>
  <c r="F76" i="41" s="1"/>
  <c r="E76" i="41"/>
  <c r="L80" i="41"/>
  <c r="L79" i="41" s="1"/>
  <c r="L78" i="41" s="1"/>
  <c r="K79" i="41"/>
  <c r="K78" i="41" s="1"/>
  <c r="H82" i="41"/>
  <c r="L84" i="41"/>
  <c r="M84" i="41" s="1"/>
  <c r="L85" i="41"/>
  <c r="M85" i="41" s="1"/>
  <c r="L86" i="41"/>
  <c r="M86" i="41" s="1"/>
  <c r="L87" i="41"/>
  <c r="M87" i="41" s="1"/>
  <c r="L88" i="41"/>
  <c r="M88" i="41" s="1"/>
  <c r="L89" i="41"/>
  <c r="M89" i="41" s="1"/>
  <c r="L90" i="41"/>
  <c r="M90" i="41" s="1"/>
  <c r="L91" i="41"/>
  <c r="M91" i="41" s="1"/>
  <c r="L92" i="41"/>
  <c r="M92" i="41" s="1"/>
  <c r="L93" i="41"/>
  <c r="M93" i="41" s="1"/>
  <c r="F96" i="41"/>
  <c r="G96" i="41" s="1"/>
  <c r="F97" i="41"/>
  <c r="G97" i="41" s="1"/>
  <c r="F98" i="41"/>
  <c r="G98" i="41" s="1"/>
  <c r="F99" i="41"/>
  <c r="G99" i="41" s="1"/>
  <c r="F100" i="41"/>
  <c r="G100" i="41" s="1"/>
  <c r="F101" i="41"/>
  <c r="G101" i="41" s="1"/>
  <c r="F102" i="41"/>
  <c r="G102" i="41" s="1"/>
  <c r="F103" i="41"/>
  <c r="G103" i="41" s="1"/>
  <c r="F104" i="41"/>
  <c r="G104" i="41" s="1"/>
  <c r="F105" i="41"/>
  <c r="G105" i="41" s="1"/>
  <c r="F106" i="41"/>
  <c r="G106" i="41" s="1"/>
  <c r="L107" i="41"/>
  <c r="M107" i="41" s="1"/>
  <c r="L109" i="41"/>
  <c r="M109" i="41" s="1"/>
  <c r="L111" i="41"/>
  <c r="M111" i="41" s="1"/>
  <c r="L113" i="41"/>
  <c r="M113" i="41" s="1"/>
  <c r="G116" i="41"/>
  <c r="F155" i="41"/>
  <c r="G155" i="41" s="1"/>
  <c r="L157" i="41"/>
  <c r="M157" i="41" s="1"/>
  <c r="F162" i="41"/>
  <c r="G162" i="41" s="1"/>
  <c r="F166" i="41"/>
  <c r="G166" i="41" s="1"/>
  <c r="F210" i="41"/>
  <c r="G210" i="41" s="1"/>
  <c r="L219" i="41"/>
  <c r="M219" i="41" s="1"/>
  <c r="F231" i="41"/>
  <c r="G231" i="41" s="1"/>
  <c r="B239" i="41"/>
  <c r="G242" i="41"/>
  <c r="F242" i="41"/>
  <c r="F255" i="41"/>
  <c r="G255" i="41" s="1"/>
  <c r="K32" i="41"/>
  <c r="E45" i="41"/>
  <c r="L69" i="41"/>
  <c r="L68" i="41" s="1"/>
  <c r="K68" i="41"/>
  <c r="L77" i="41"/>
  <c r="L76" i="41" s="1"/>
  <c r="K76" i="41"/>
  <c r="F86" i="41"/>
  <c r="G86" i="41" s="1"/>
  <c r="G89" i="41"/>
  <c r="F89" i="41"/>
  <c r="F92" i="41"/>
  <c r="G92" i="41" s="1"/>
  <c r="M96" i="41"/>
  <c r="L96" i="41"/>
  <c r="L99" i="41"/>
  <c r="M99" i="41" s="1"/>
  <c r="M102" i="41"/>
  <c r="L102" i="41"/>
  <c r="L105" i="41"/>
  <c r="M105" i="41" s="1"/>
  <c r="E110" i="41"/>
  <c r="L112" i="41"/>
  <c r="M112" i="41" s="1"/>
  <c r="L128" i="41"/>
  <c r="M128" i="41" s="1"/>
  <c r="F150" i="41"/>
  <c r="G150" i="41" s="1"/>
  <c r="F235" i="41"/>
  <c r="G235" i="41" s="1"/>
  <c r="F265" i="41"/>
  <c r="G265" i="41" s="1"/>
  <c r="F275" i="41"/>
  <c r="G275" i="41" s="1"/>
  <c r="B68" i="41"/>
  <c r="B65" i="41" s="1"/>
  <c r="B47" i="41"/>
  <c r="B44" i="41" s="1"/>
  <c r="M49" i="41"/>
  <c r="E63" i="41"/>
  <c r="E62" i="41" s="1"/>
  <c r="G69" i="41"/>
  <c r="G70" i="41"/>
  <c r="G71" i="41"/>
  <c r="G72" i="41"/>
  <c r="G73" i="41"/>
  <c r="G74" i="41"/>
  <c r="G77" i="41"/>
  <c r="G76" i="41" s="1"/>
  <c r="M115" i="41"/>
  <c r="L129" i="41"/>
  <c r="M129" i="41" s="1"/>
  <c r="G147" i="41"/>
  <c r="F147" i="41"/>
  <c r="L149" i="41"/>
  <c r="M149" i="41" s="1"/>
  <c r="K138" i="41"/>
  <c r="K137" i="41" s="1"/>
  <c r="F154" i="41"/>
  <c r="G154" i="41" s="1"/>
  <c r="F158" i="41"/>
  <c r="G158" i="41" s="1"/>
  <c r="G160" i="41"/>
  <c r="F161" i="41"/>
  <c r="G161" i="41" s="1"/>
  <c r="F209" i="41"/>
  <c r="G209" i="41" s="1"/>
  <c r="F216" i="41"/>
  <c r="G216" i="41" s="1"/>
  <c r="F230" i="41"/>
  <c r="G230" i="41" s="1"/>
  <c r="L236" i="41"/>
  <c r="M236" i="41" s="1"/>
  <c r="F250" i="41"/>
  <c r="G250" i="41" s="1"/>
  <c r="K119" i="41"/>
  <c r="F123" i="41"/>
  <c r="G123" i="41" s="1"/>
  <c r="F126" i="41"/>
  <c r="G126" i="41" s="1"/>
  <c r="E125" i="41"/>
  <c r="L182" i="41"/>
  <c r="M182" i="41" s="1"/>
  <c r="L190" i="41"/>
  <c r="M190" i="41" s="1"/>
  <c r="L198" i="41"/>
  <c r="M198" i="41" s="1"/>
  <c r="F208" i="41"/>
  <c r="G208" i="41" s="1"/>
  <c r="L216" i="41"/>
  <c r="M216" i="41" s="1"/>
  <c r="F224" i="41"/>
  <c r="G224" i="41" s="1"/>
  <c r="F229" i="41"/>
  <c r="G229" i="41" s="1"/>
  <c r="F233" i="41"/>
  <c r="G233" i="41" s="1"/>
  <c r="F241" i="41"/>
  <c r="G241" i="41" s="1"/>
  <c r="L245" i="41"/>
  <c r="M245" i="41" s="1"/>
  <c r="F249" i="41"/>
  <c r="G249" i="41" s="1"/>
  <c r="F254" i="41"/>
  <c r="G254" i="41" s="1"/>
  <c r="F257" i="41"/>
  <c r="G257" i="41" s="1"/>
  <c r="F262" i="41"/>
  <c r="G262" i="41" s="1"/>
  <c r="L269" i="41"/>
  <c r="M269" i="41" s="1"/>
  <c r="F294" i="41"/>
  <c r="G294" i="41" s="1"/>
  <c r="F302" i="41"/>
  <c r="G302" i="41" s="1"/>
  <c r="L120" i="41"/>
  <c r="L119" i="41" s="1"/>
  <c r="M123" i="41"/>
  <c r="M126" i="41"/>
  <c r="K125" i="41"/>
  <c r="F129" i="41"/>
  <c r="G129" i="41" s="1"/>
  <c r="K131" i="41"/>
  <c r="K130" i="41" s="1"/>
  <c r="L132" i="41"/>
  <c r="M135" i="41"/>
  <c r="L136" i="41"/>
  <c r="L134" i="41" s="1"/>
  <c r="L133" i="41" s="1"/>
  <c r="G139" i="41"/>
  <c r="L141" i="41"/>
  <c r="G143" i="41"/>
  <c r="L145" i="41"/>
  <c r="M145" i="41" s="1"/>
  <c r="L146" i="41"/>
  <c r="M146" i="41" s="1"/>
  <c r="G151" i="41"/>
  <c r="L153" i="41"/>
  <c r="M153" i="41" s="1"/>
  <c r="L154" i="41"/>
  <c r="M154" i="41" s="1"/>
  <c r="G159" i="41"/>
  <c r="L161" i="41"/>
  <c r="M161" i="41" s="1"/>
  <c r="L162" i="41"/>
  <c r="M162" i="41" s="1"/>
  <c r="L169" i="41"/>
  <c r="M169" i="41" s="1"/>
  <c r="L173" i="41"/>
  <c r="M173" i="41" s="1"/>
  <c r="F207" i="41"/>
  <c r="G207" i="41" s="1"/>
  <c r="G212" i="41"/>
  <c r="F212" i="41"/>
  <c r="F214" i="41"/>
  <c r="G214" i="41" s="1"/>
  <c r="G215" i="41"/>
  <c r="G218" i="41"/>
  <c r="F220" i="41"/>
  <c r="G220" i="41" s="1"/>
  <c r="F221" i="41"/>
  <c r="G221" i="41" s="1"/>
  <c r="G222" i="41"/>
  <c r="L224" i="41"/>
  <c r="M224" i="41" s="1"/>
  <c r="F228" i="41"/>
  <c r="G228" i="41" s="1"/>
  <c r="F237" i="41"/>
  <c r="G237" i="41" s="1"/>
  <c r="F240" i="41"/>
  <c r="E239" i="41"/>
  <c r="G247" i="41"/>
  <c r="L249" i="41"/>
  <c r="M249" i="41" s="1"/>
  <c r="F253" i="41"/>
  <c r="G253" i="41" s="1"/>
  <c r="L257" i="41"/>
  <c r="M257" i="41" s="1"/>
  <c r="F261" i="41"/>
  <c r="G261" i="41" s="1"/>
  <c r="F279" i="41"/>
  <c r="G279" i="41" s="1"/>
  <c r="F299" i="41"/>
  <c r="G299" i="41" s="1"/>
  <c r="F309" i="41"/>
  <c r="G309" i="41" s="1"/>
  <c r="F314" i="41"/>
  <c r="G314" i="41" s="1"/>
  <c r="F120" i="41"/>
  <c r="E119" i="41"/>
  <c r="M142" i="41"/>
  <c r="M150" i="41"/>
  <c r="M158" i="41"/>
  <c r="M166" i="41"/>
  <c r="M170" i="41"/>
  <c r="M174" i="41"/>
  <c r="L178" i="41"/>
  <c r="M178" i="41" s="1"/>
  <c r="L186" i="41"/>
  <c r="M186" i="41" s="1"/>
  <c r="L194" i="41"/>
  <c r="M194" i="41" s="1"/>
  <c r="E204" i="41"/>
  <c r="G205" i="41"/>
  <c r="L207" i="41"/>
  <c r="M207" i="41" s="1"/>
  <c r="F211" i="41"/>
  <c r="G211" i="41" s="1"/>
  <c r="F217" i="41"/>
  <c r="G217" i="41" s="1"/>
  <c r="G226" i="41"/>
  <c r="L228" i="41"/>
  <c r="M228" i="41" s="1"/>
  <c r="L232" i="41"/>
  <c r="M232" i="41" s="1"/>
  <c r="F236" i="41"/>
  <c r="G236" i="41" s="1"/>
  <c r="L240" i="41"/>
  <c r="K239" i="41"/>
  <c r="G244" i="41"/>
  <c r="F244" i="41"/>
  <c r="F246" i="41"/>
  <c r="G246" i="41" s="1"/>
  <c r="G251" i="41"/>
  <c r="L253" i="41"/>
  <c r="M253" i="41" s="1"/>
  <c r="G259" i="41"/>
  <c r="L261" i="41"/>
  <c r="M261" i="41" s="1"/>
  <c r="F263" i="41"/>
  <c r="G263" i="41" s="1"/>
  <c r="F271" i="41"/>
  <c r="G271" i="41" s="1"/>
  <c r="F293" i="41"/>
  <c r="G293" i="41" s="1"/>
  <c r="L311" i="41"/>
  <c r="M311" i="41" s="1"/>
  <c r="M268" i="41"/>
  <c r="L268" i="41"/>
  <c r="L279" i="41"/>
  <c r="M279" i="41" s="1"/>
  <c r="M283" i="41"/>
  <c r="L283" i="41"/>
  <c r="F287" i="41"/>
  <c r="G287" i="41" s="1"/>
  <c r="F292" i="41"/>
  <c r="G292" i="41" s="1"/>
  <c r="L299" i="41"/>
  <c r="M299" i="41" s="1"/>
  <c r="G308" i="41"/>
  <c r="F308" i="41"/>
  <c r="F321" i="41"/>
  <c r="G321" i="41" s="1"/>
  <c r="F325" i="41"/>
  <c r="G325" i="41" s="1"/>
  <c r="F329" i="41"/>
  <c r="G329" i="41" s="1"/>
  <c r="F333" i="41"/>
  <c r="G333" i="41" s="1"/>
  <c r="L348" i="41"/>
  <c r="M348" i="41" s="1"/>
  <c r="F443" i="41"/>
  <c r="G443" i="41" s="1"/>
  <c r="L177" i="41"/>
  <c r="M177" i="41" s="1"/>
  <c r="L181" i="41"/>
  <c r="M181" i="41" s="1"/>
  <c r="L185" i="41"/>
  <c r="M185" i="41" s="1"/>
  <c r="L189" i="41"/>
  <c r="M189" i="41" s="1"/>
  <c r="L193" i="41"/>
  <c r="M193" i="41" s="1"/>
  <c r="L197" i="41"/>
  <c r="M197" i="41" s="1"/>
  <c r="B204" i="41"/>
  <c r="L206" i="41"/>
  <c r="M206" i="41" s="1"/>
  <c r="L210" i="41"/>
  <c r="M210" i="41" s="1"/>
  <c r="L215" i="41"/>
  <c r="M215" i="41" s="1"/>
  <c r="L222" i="41"/>
  <c r="M222" i="41" s="1"/>
  <c r="L227" i="41"/>
  <c r="M227" i="41" s="1"/>
  <c r="L231" i="41"/>
  <c r="M231" i="41" s="1"/>
  <c r="L235" i="41"/>
  <c r="M235" i="41" s="1"/>
  <c r="L238" i="41"/>
  <c r="M238" i="41" s="1"/>
  <c r="L243" i="41"/>
  <c r="M243" i="41" s="1"/>
  <c r="L248" i="41"/>
  <c r="M248" i="41" s="1"/>
  <c r="L252" i="41"/>
  <c r="M252" i="41" s="1"/>
  <c r="L256" i="41"/>
  <c r="M256" i="41" s="1"/>
  <c r="L260" i="41"/>
  <c r="M260" i="41" s="1"/>
  <c r="G264" i="41"/>
  <c r="F266" i="41"/>
  <c r="G266" i="41" s="1"/>
  <c r="G272" i="41"/>
  <c r="F274" i="41"/>
  <c r="G274" i="41" s="1"/>
  <c r="G278" i="41"/>
  <c r="L287" i="41"/>
  <c r="M287" i="41" s="1"/>
  <c r="F291" i="41"/>
  <c r="G291" i="41" s="1"/>
  <c r="F296" i="41"/>
  <c r="G296" i="41" s="1"/>
  <c r="F297" i="41"/>
  <c r="G297" i="41" s="1"/>
  <c r="G298" i="41"/>
  <c r="G307" i="41"/>
  <c r="F307" i="41"/>
  <c r="E306" i="41"/>
  <c r="F312" i="41"/>
  <c r="G312" i="41" s="1"/>
  <c r="F313" i="41"/>
  <c r="G313" i="41" s="1"/>
  <c r="F319" i="41"/>
  <c r="G319" i="41" s="1"/>
  <c r="L329" i="41"/>
  <c r="M329" i="41" s="1"/>
  <c r="F344" i="41"/>
  <c r="G344" i="41" s="1"/>
  <c r="F347" i="41"/>
  <c r="G347" i="41" s="1"/>
  <c r="L408" i="41"/>
  <c r="M408" i="41" s="1"/>
  <c r="B138" i="41"/>
  <c r="B137" i="41" s="1"/>
  <c r="K204" i="41"/>
  <c r="M264" i="41"/>
  <c r="L264" i="41"/>
  <c r="L265" i="41"/>
  <c r="M265" i="41" s="1"/>
  <c r="G270" i="41"/>
  <c r="G276" i="41"/>
  <c r="F280" i="41"/>
  <c r="G280" i="41" s="1"/>
  <c r="F281" i="41"/>
  <c r="G281" i="41" s="1"/>
  <c r="G282" i="41"/>
  <c r="F284" i="41"/>
  <c r="G284" i="41" s="1"/>
  <c r="F285" i="41"/>
  <c r="G285" i="41" s="1"/>
  <c r="G286" i="41"/>
  <c r="G289" i="41"/>
  <c r="L291" i="41"/>
  <c r="M291" i="41" s="1"/>
  <c r="F295" i="41"/>
  <c r="G295" i="41" s="1"/>
  <c r="F300" i="41"/>
  <c r="G300" i="41" s="1"/>
  <c r="F301" i="41"/>
  <c r="G301" i="41" s="1"/>
  <c r="F303" i="41"/>
  <c r="G303" i="41" s="1"/>
  <c r="F305" i="41"/>
  <c r="G305" i="41" s="1"/>
  <c r="L307" i="41"/>
  <c r="K306" i="41"/>
  <c r="F311" i="41"/>
  <c r="G311" i="41" s="1"/>
  <c r="M319" i="41"/>
  <c r="L319" i="41"/>
  <c r="F341" i="41"/>
  <c r="G341" i="41" s="1"/>
  <c r="M360" i="41"/>
  <c r="L360" i="41"/>
  <c r="F368" i="41"/>
  <c r="G368" i="41" s="1"/>
  <c r="L370" i="41"/>
  <c r="M370" i="41" s="1"/>
  <c r="L383" i="41"/>
  <c r="M383" i="41" s="1"/>
  <c r="L318" i="41"/>
  <c r="K317" i="41"/>
  <c r="L328" i="41"/>
  <c r="M328" i="41" s="1"/>
  <c r="F337" i="41"/>
  <c r="G337" i="41" s="1"/>
  <c r="F340" i="41"/>
  <c r="G340" i="41" s="1"/>
  <c r="L344" i="41"/>
  <c r="M344" i="41" s="1"/>
  <c r="F353" i="41"/>
  <c r="G353" i="41" s="1"/>
  <c r="L356" i="41"/>
  <c r="M356" i="41" s="1"/>
  <c r="F365" i="41"/>
  <c r="G365" i="41" s="1"/>
  <c r="F367" i="41"/>
  <c r="G367" i="41" s="1"/>
  <c r="L378" i="41"/>
  <c r="M378" i="41" s="1"/>
  <c r="L392" i="41"/>
  <c r="M392" i="41" s="1"/>
  <c r="K388" i="41"/>
  <c r="K387" i="41" s="1"/>
  <c r="F401" i="41"/>
  <c r="G401" i="41" s="1"/>
  <c r="F404" i="41"/>
  <c r="G404" i="41" s="1"/>
  <c r="F407" i="41"/>
  <c r="G407" i="41" s="1"/>
  <c r="L438" i="41"/>
  <c r="M438" i="41" s="1"/>
  <c r="F441" i="41"/>
  <c r="G441" i="41" s="1"/>
  <c r="G449" i="41"/>
  <c r="F453" i="41"/>
  <c r="G453" i="41" s="1"/>
  <c r="L272" i="41"/>
  <c r="M272" i="41" s="1"/>
  <c r="L278" i="41"/>
  <c r="M278" i="41" s="1"/>
  <c r="L282" i="41"/>
  <c r="M282" i="41" s="1"/>
  <c r="L286" i="41"/>
  <c r="M286" i="41" s="1"/>
  <c r="L290" i="41"/>
  <c r="M290" i="41" s="1"/>
  <c r="L294" i="41"/>
  <c r="M294" i="41" s="1"/>
  <c r="L298" i="41"/>
  <c r="M298" i="41" s="1"/>
  <c r="L304" i="41"/>
  <c r="M304" i="41" s="1"/>
  <c r="L310" i="41"/>
  <c r="M310" i="41" s="1"/>
  <c r="F315" i="41"/>
  <c r="G315" i="41" s="1"/>
  <c r="G322" i="41"/>
  <c r="G324" i="41"/>
  <c r="F326" i="41"/>
  <c r="G326" i="41" s="1"/>
  <c r="G332" i="41"/>
  <c r="M333" i="41"/>
  <c r="F334" i="41"/>
  <c r="G334" i="41" s="1"/>
  <c r="F336" i="41"/>
  <c r="G336" i="41" s="1"/>
  <c r="M340" i="41"/>
  <c r="L340" i="41"/>
  <c r="G343" i="41"/>
  <c r="F349" i="41"/>
  <c r="G349" i="41" s="1"/>
  <c r="F352" i="41"/>
  <c r="G352" i="41" s="1"/>
  <c r="F361" i="41"/>
  <c r="G361" i="41" s="1"/>
  <c r="F364" i="41"/>
  <c r="G364" i="41" s="1"/>
  <c r="F374" i="41"/>
  <c r="G374" i="41" s="1"/>
  <c r="F391" i="41"/>
  <c r="G391" i="41" s="1"/>
  <c r="L313" i="41"/>
  <c r="M313" i="41" s="1"/>
  <c r="L314" i="41"/>
  <c r="M314" i="41" s="1"/>
  <c r="B317" i="41"/>
  <c r="F318" i="41"/>
  <c r="E317" i="41"/>
  <c r="G320" i="41"/>
  <c r="M324" i="41"/>
  <c r="L324" i="41"/>
  <c r="L325" i="41"/>
  <c r="M325" i="41" s="1"/>
  <c r="G330" i="41"/>
  <c r="M332" i="41"/>
  <c r="L332" i="41"/>
  <c r="L333" i="41"/>
  <c r="L336" i="41"/>
  <c r="M336" i="41" s="1"/>
  <c r="G339" i="41"/>
  <c r="F345" i="41"/>
  <c r="G345" i="41" s="1"/>
  <c r="G346" i="41"/>
  <c r="F348" i="41"/>
  <c r="G348" i="41" s="1"/>
  <c r="M349" i="41"/>
  <c r="L352" i="41"/>
  <c r="M352" i="41" s="1"/>
  <c r="G355" i="41"/>
  <c r="F357" i="41"/>
  <c r="G357" i="41" s="1"/>
  <c r="G358" i="41"/>
  <c r="F360" i="41"/>
  <c r="G360" i="41" s="1"/>
  <c r="M361" i="41"/>
  <c r="L364" i="41"/>
  <c r="M364" i="41" s="1"/>
  <c r="F373" i="41"/>
  <c r="G373" i="41"/>
  <c r="L450" i="41"/>
  <c r="M450" i="41" s="1"/>
  <c r="M371" i="41"/>
  <c r="G376" i="41"/>
  <c r="G381" i="41"/>
  <c r="F397" i="41"/>
  <c r="G397" i="41" s="1"/>
  <c r="G398" i="41"/>
  <c r="F400" i="41"/>
  <c r="G400" i="41" s="1"/>
  <c r="M401" i="41"/>
  <c r="L404" i="41"/>
  <c r="M404" i="41" s="1"/>
  <c r="M416" i="41"/>
  <c r="L416" i="41"/>
  <c r="L424" i="41"/>
  <c r="M424" i="41" s="1"/>
  <c r="M432" i="41"/>
  <c r="L432" i="41"/>
  <c r="L443" i="41"/>
  <c r="M443" i="41" s="1"/>
  <c r="M444" i="41"/>
  <c r="L444" i="41"/>
  <c r="L445" i="41"/>
  <c r="M445" i="41" s="1"/>
  <c r="B448" i="41"/>
  <c r="B447" i="41" s="1"/>
  <c r="E452" i="41"/>
  <c r="M367" i="41"/>
  <c r="G378" i="41"/>
  <c r="F393" i="41"/>
  <c r="G393" i="41" s="1"/>
  <c r="G394" i="41"/>
  <c r="F396" i="41"/>
  <c r="G396" i="41" s="1"/>
  <c r="M397" i="41"/>
  <c r="L400" i="41"/>
  <c r="M400" i="41" s="1"/>
  <c r="F409" i="41"/>
  <c r="G409" i="41" s="1"/>
  <c r="G410" i="41"/>
  <c r="F412" i="41"/>
  <c r="G412" i="41" s="1"/>
  <c r="M417" i="41"/>
  <c r="M425" i="41"/>
  <c r="M433" i="41"/>
  <c r="L437" i="41"/>
  <c r="L436" i="41" s="1"/>
  <c r="L435" i="41" s="1"/>
  <c r="K436" i="41"/>
  <c r="K435" i="41" s="1"/>
  <c r="L449" i="41"/>
  <c r="K448" i="41"/>
  <c r="K447" i="41" s="1"/>
  <c r="M452" i="41"/>
  <c r="L452" i="41"/>
  <c r="L456" i="41"/>
  <c r="M456" i="41" s="1"/>
  <c r="G372" i="41"/>
  <c r="M375" i="41"/>
  <c r="G380" i="41"/>
  <c r="G382" i="41"/>
  <c r="G389" i="41"/>
  <c r="F389" i="41"/>
  <c r="G390" i="41"/>
  <c r="B388" i="41"/>
  <c r="B387" i="41" s="1"/>
  <c r="E392" i="41"/>
  <c r="M393" i="41"/>
  <c r="L396" i="41"/>
  <c r="M396" i="41" s="1"/>
  <c r="G405" i="41"/>
  <c r="F405" i="41"/>
  <c r="G406" i="41"/>
  <c r="F408" i="41"/>
  <c r="G408" i="41" s="1"/>
  <c r="M409" i="41"/>
  <c r="L412" i="41"/>
  <c r="M412" i="41" s="1"/>
  <c r="L420" i="41"/>
  <c r="M420" i="41" s="1"/>
  <c r="L428" i="41"/>
  <c r="M428" i="41" s="1"/>
  <c r="E442" i="41"/>
  <c r="E440" i="41" s="1"/>
  <c r="E439" i="41" s="1"/>
  <c r="B440" i="41"/>
  <c r="B439" i="41" s="1"/>
  <c r="F444" i="41"/>
  <c r="G444" i="41" s="1"/>
  <c r="F445" i="41"/>
  <c r="G445" i="41" s="1"/>
  <c r="F446" i="41"/>
  <c r="G446" i="41" s="1"/>
  <c r="G451" i="41"/>
  <c r="G454" i="41"/>
  <c r="L415" i="41"/>
  <c r="M415" i="41" s="1"/>
  <c r="L419" i="41"/>
  <c r="M419" i="41" s="1"/>
  <c r="L423" i="41"/>
  <c r="M423" i="41" s="1"/>
  <c r="L427" i="41"/>
  <c r="M427" i="41" s="1"/>
  <c r="L431" i="41"/>
  <c r="M431" i="41" s="1"/>
  <c r="K440" i="41"/>
  <c r="K439" i="41" s="1"/>
  <c r="L441" i="41"/>
  <c r="L451" i="41"/>
  <c r="M451" i="41" s="1"/>
  <c r="L455" i="41"/>
  <c r="M455" i="41" s="1"/>
  <c r="L459" i="41"/>
  <c r="M459" i="41" s="1"/>
  <c r="E448" i="41"/>
  <c r="E447" i="41" s="1"/>
  <c r="S454" i="40"/>
  <c r="T454" i="40" s="1"/>
  <c r="N454" i="40"/>
  <c r="L454" i="40"/>
  <c r="K454" i="40"/>
  <c r="F454" i="40"/>
  <c r="S453" i="40"/>
  <c r="T453" i="40" s="1"/>
  <c r="K453" i="40"/>
  <c r="L453" i="40" s="1"/>
  <c r="F453" i="40"/>
  <c r="S452" i="40"/>
  <c r="T452" i="40" s="1"/>
  <c r="N452" i="40"/>
  <c r="K452" i="40"/>
  <c r="L452" i="40" s="1"/>
  <c r="S451" i="40"/>
  <c r="T451" i="40" s="1"/>
  <c r="N451" i="40"/>
  <c r="L451" i="40"/>
  <c r="K451" i="40"/>
  <c r="S450" i="40"/>
  <c r="T450" i="40" s="1"/>
  <c r="L450" i="40"/>
  <c r="K450" i="40"/>
  <c r="F450" i="40"/>
  <c r="S449" i="40"/>
  <c r="T449" i="40" s="1"/>
  <c r="N449" i="40"/>
  <c r="K449" i="40"/>
  <c r="L449" i="40" s="1"/>
  <c r="T448" i="40"/>
  <c r="S448" i="40"/>
  <c r="N448" i="40"/>
  <c r="K448" i="40"/>
  <c r="L448" i="40" s="1"/>
  <c r="F448" i="40"/>
  <c r="T447" i="40"/>
  <c r="S447" i="40"/>
  <c r="K447" i="40"/>
  <c r="L447" i="40" s="1"/>
  <c r="F447" i="40"/>
  <c r="S446" i="40"/>
  <c r="T446" i="40" s="1"/>
  <c r="N446" i="40"/>
  <c r="L446" i="40"/>
  <c r="K446" i="40"/>
  <c r="S445" i="40"/>
  <c r="T445" i="40" s="1"/>
  <c r="L445" i="40"/>
  <c r="K445" i="40"/>
  <c r="F445" i="40"/>
  <c r="S444" i="40"/>
  <c r="T444" i="40" s="1"/>
  <c r="N444" i="40"/>
  <c r="L444" i="40"/>
  <c r="K444" i="40"/>
  <c r="S443" i="40"/>
  <c r="T443" i="40" s="1"/>
  <c r="L443" i="40"/>
  <c r="K443" i="40"/>
  <c r="F443" i="40"/>
  <c r="S442" i="40"/>
  <c r="T442" i="40" s="1"/>
  <c r="N442" i="40"/>
  <c r="K442" i="40"/>
  <c r="L442" i="40" s="1"/>
  <c r="T441" i="40"/>
  <c r="S441" i="40"/>
  <c r="K441" i="40"/>
  <c r="L441" i="40" s="1"/>
  <c r="F441" i="40"/>
  <c r="S440" i="40"/>
  <c r="T440" i="40" s="1"/>
  <c r="N440" i="40"/>
  <c r="K440" i="40"/>
  <c r="L440" i="40" s="1"/>
  <c r="T439" i="40"/>
  <c r="S439" i="40"/>
  <c r="K439" i="40"/>
  <c r="L439" i="40" s="1"/>
  <c r="F439" i="40"/>
  <c r="S438" i="40"/>
  <c r="T438" i="40" s="1"/>
  <c r="N438" i="40"/>
  <c r="L438" i="40"/>
  <c r="K438" i="40"/>
  <c r="S437" i="40"/>
  <c r="T437" i="40" s="1"/>
  <c r="L437" i="40"/>
  <c r="K437" i="40"/>
  <c r="F437" i="40"/>
  <c r="S436" i="40"/>
  <c r="T436" i="40" s="1"/>
  <c r="N436" i="40"/>
  <c r="L436" i="40"/>
  <c r="K436" i="40"/>
  <c r="S435" i="40"/>
  <c r="T435" i="40" s="1"/>
  <c r="N435" i="40"/>
  <c r="K435" i="40"/>
  <c r="L435" i="40" s="1"/>
  <c r="S434" i="40"/>
  <c r="T434" i="40" s="1"/>
  <c r="K434" i="40"/>
  <c r="L434" i="40" s="1"/>
  <c r="F434" i="40"/>
  <c r="S433" i="40"/>
  <c r="T433" i="40" s="1"/>
  <c r="N433" i="40"/>
  <c r="K433" i="40"/>
  <c r="L433" i="40" s="1"/>
  <c r="S432" i="40"/>
  <c r="T432" i="40" s="1"/>
  <c r="N432" i="40"/>
  <c r="L432" i="40"/>
  <c r="K432" i="40"/>
  <c r="S431" i="40"/>
  <c r="T431" i="40" s="1"/>
  <c r="L431" i="40"/>
  <c r="K431" i="40"/>
  <c r="F431" i="40"/>
  <c r="S430" i="40"/>
  <c r="T430" i="40" s="1"/>
  <c r="N430" i="40"/>
  <c r="L430" i="40"/>
  <c r="K430" i="40"/>
  <c r="S429" i="40"/>
  <c r="T429" i="40" s="1"/>
  <c r="N429" i="40"/>
  <c r="K429" i="40"/>
  <c r="L429" i="40" s="1"/>
  <c r="S428" i="40"/>
  <c r="T428" i="40" s="1"/>
  <c r="K428" i="40"/>
  <c r="L428" i="40" s="1"/>
  <c r="F428" i="40"/>
  <c r="S427" i="40"/>
  <c r="T427" i="40" s="1"/>
  <c r="N427" i="40"/>
  <c r="K427" i="40"/>
  <c r="L427" i="40" s="1"/>
  <c r="S426" i="40"/>
  <c r="T426" i="40" s="1"/>
  <c r="N426" i="40"/>
  <c r="L426" i="40"/>
  <c r="K426" i="40"/>
  <c r="F426" i="40"/>
  <c r="S425" i="40"/>
  <c r="T425" i="40" s="1"/>
  <c r="K425" i="40"/>
  <c r="L425" i="40" s="1"/>
  <c r="F425" i="40"/>
  <c r="S424" i="40"/>
  <c r="T424" i="40" s="1"/>
  <c r="N424" i="40"/>
  <c r="K424" i="40"/>
  <c r="L424" i="40" s="1"/>
  <c r="S423" i="40"/>
  <c r="T423" i="40" s="1"/>
  <c r="K423" i="40"/>
  <c r="L423" i="40" s="1"/>
  <c r="F423" i="40"/>
  <c r="T422" i="40"/>
  <c r="S422" i="40"/>
  <c r="K422" i="40"/>
  <c r="L422" i="40" s="1"/>
  <c r="F422" i="40"/>
  <c r="S421" i="40"/>
  <c r="T421" i="40" s="1"/>
  <c r="K421" i="40"/>
  <c r="L421" i="40" s="1"/>
  <c r="F421" i="40"/>
  <c r="T420" i="40"/>
  <c r="S420" i="40"/>
  <c r="N420" i="40"/>
  <c r="K420" i="40"/>
  <c r="L420" i="40" s="1"/>
  <c r="S419" i="40"/>
  <c r="T419" i="40" s="1"/>
  <c r="K419" i="40"/>
  <c r="L419" i="40" s="1"/>
  <c r="F419" i="40"/>
  <c r="T418" i="40"/>
  <c r="S418" i="40"/>
  <c r="N418" i="40"/>
  <c r="K418" i="40"/>
  <c r="L418" i="40" s="1"/>
  <c r="S417" i="40"/>
  <c r="T417" i="40" s="1"/>
  <c r="K417" i="40"/>
  <c r="L417" i="40" s="1"/>
  <c r="F417" i="40"/>
  <c r="S416" i="40"/>
  <c r="T416" i="40" s="1"/>
  <c r="N416" i="40"/>
  <c r="K416" i="40"/>
  <c r="L416" i="40" s="1"/>
  <c r="S415" i="40"/>
  <c r="T415" i="40" s="1"/>
  <c r="N415" i="40"/>
  <c r="L415" i="40"/>
  <c r="K415" i="40"/>
  <c r="F415" i="40"/>
  <c r="S414" i="40"/>
  <c r="T414" i="40" s="1"/>
  <c r="K414" i="40"/>
  <c r="L414" i="40" s="1"/>
  <c r="F414" i="40"/>
  <c r="S413" i="40"/>
  <c r="T413" i="40" s="1"/>
  <c r="N413" i="40"/>
  <c r="K413" i="40"/>
  <c r="L413" i="40" s="1"/>
  <c r="S412" i="40"/>
  <c r="T412" i="40" s="1"/>
  <c r="K412" i="40"/>
  <c r="L412" i="40" s="1"/>
  <c r="F412" i="40"/>
  <c r="S411" i="40"/>
  <c r="T411" i="40" s="1"/>
  <c r="N411" i="40"/>
  <c r="K411" i="40"/>
  <c r="L411" i="40" s="1"/>
  <c r="S410" i="40"/>
  <c r="T410" i="40" s="1"/>
  <c r="K410" i="40"/>
  <c r="L410" i="40" s="1"/>
  <c r="F410" i="40"/>
  <c r="T409" i="40"/>
  <c r="S409" i="40"/>
  <c r="K409" i="40"/>
  <c r="L409" i="40" s="1"/>
  <c r="F409" i="40"/>
  <c r="S408" i="40"/>
  <c r="T408" i="40" s="1"/>
  <c r="K408" i="40"/>
  <c r="L408" i="40" s="1"/>
  <c r="F408" i="40"/>
  <c r="T407" i="40"/>
  <c r="S407" i="40"/>
  <c r="K407" i="40"/>
  <c r="L407" i="40" s="1"/>
  <c r="F407" i="40"/>
  <c r="S406" i="40"/>
  <c r="T406" i="40" s="1"/>
  <c r="K406" i="40"/>
  <c r="L406" i="40" s="1"/>
  <c r="F406" i="40"/>
  <c r="T405" i="40"/>
  <c r="S405" i="40"/>
  <c r="K405" i="40"/>
  <c r="L405" i="40" s="1"/>
  <c r="F405" i="40"/>
  <c r="S404" i="40"/>
  <c r="T404" i="40" s="1"/>
  <c r="N404" i="40"/>
  <c r="L404" i="40"/>
  <c r="K404" i="40"/>
  <c r="S403" i="40"/>
  <c r="T403" i="40" s="1"/>
  <c r="L403" i="40"/>
  <c r="K403" i="40"/>
  <c r="F403" i="40"/>
  <c r="S402" i="40"/>
  <c r="T402" i="40" s="1"/>
  <c r="N402" i="40"/>
  <c r="L402" i="40"/>
  <c r="K402" i="40"/>
  <c r="S401" i="40"/>
  <c r="T401" i="40" s="1"/>
  <c r="L401" i="40"/>
  <c r="K401" i="40"/>
  <c r="F401" i="40"/>
  <c r="S400" i="40"/>
  <c r="T400" i="40" s="1"/>
  <c r="N400" i="40"/>
  <c r="K400" i="40"/>
  <c r="L400" i="40" s="1"/>
  <c r="T399" i="40"/>
  <c r="S399" i="40"/>
  <c r="N399" i="40"/>
  <c r="K399" i="40"/>
  <c r="L399" i="40" s="1"/>
  <c r="F399" i="40"/>
  <c r="T398" i="40"/>
  <c r="S398" i="40"/>
  <c r="K398" i="40"/>
  <c r="L398" i="40" s="1"/>
  <c r="F398" i="40"/>
  <c r="S397" i="40"/>
  <c r="T397" i="40" s="1"/>
  <c r="N397" i="40"/>
  <c r="L397" i="40"/>
  <c r="K397" i="40"/>
  <c r="S396" i="40"/>
  <c r="T396" i="40" s="1"/>
  <c r="L396" i="40"/>
  <c r="K396" i="40"/>
  <c r="F396" i="40"/>
  <c r="S395" i="40"/>
  <c r="T395" i="40" s="1"/>
  <c r="N395" i="40"/>
  <c r="L395" i="40"/>
  <c r="K395" i="40"/>
  <c r="S394" i="40"/>
  <c r="T394" i="40" s="1"/>
  <c r="L394" i="40"/>
  <c r="K394" i="40"/>
  <c r="F394" i="40"/>
  <c r="S393" i="40"/>
  <c r="T393" i="40" s="1"/>
  <c r="N393" i="40"/>
  <c r="K393" i="40"/>
  <c r="L393" i="40" s="1"/>
  <c r="T392" i="40"/>
  <c r="S392" i="40"/>
  <c r="N392" i="40"/>
  <c r="K392" i="40"/>
  <c r="L392" i="40" s="1"/>
  <c r="F392" i="40"/>
  <c r="T391" i="40"/>
  <c r="S391" i="40"/>
  <c r="N391" i="40"/>
  <c r="K391" i="40"/>
  <c r="L391" i="40" s="1"/>
  <c r="S390" i="40"/>
  <c r="T390" i="40" s="1"/>
  <c r="K390" i="40"/>
  <c r="L390" i="40" s="1"/>
  <c r="F390" i="40"/>
  <c r="T389" i="40"/>
  <c r="S389" i="40"/>
  <c r="N389" i="40"/>
  <c r="K389" i="40"/>
  <c r="L389" i="40" s="1"/>
  <c r="S388" i="40"/>
  <c r="T388" i="40" s="1"/>
  <c r="K388" i="40"/>
  <c r="L388" i="40" s="1"/>
  <c r="F388" i="40"/>
  <c r="S387" i="40"/>
  <c r="T387" i="40" s="1"/>
  <c r="N387" i="40"/>
  <c r="K387" i="40"/>
  <c r="L387" i="40" s="1"/>
  <c r="S386" i="40"/>
  <c r="T386" i="40" s="1"/>
  <c r="N386" i="40"/>
  <c r="L386" i="40"/>
  <c r="K386" i="40"/>
  <c r="S385" i="40"/>
  <c r="T385" i="40" s="1"/>
  <c r="L385" i="40"/>
  <c r="K385" i="40"/>
  <c r="F385" i="40"/>
  <c r="S384" i="40"/>
  <c r="T384" i="40" s="1"/>
  <c r="N384" i="40"/>
  <c r="K384" i="40"/>
  <c r="L384" i="40" s="1"/>
  <c r="T383" i="40"/>
  <c r="S383" i="40"/>
  <c r="K383" i="40"/>
  <c r="L383" i="40" s="1"/>
  <c r="F383" i="40"/>
  <c r="S382" i="40"/>
  <c r="T382" i="40" s="1"/>
  <c r="N382" i="40"/>
  <c r="K382" i="40"/>
  <c r="L382" i="40" s="1"/>
  <c r="T381" i="40"/>
  <c r="S381" i="40"/>
  <c r="K381" i="40"/>
  <c r="L381" i="40" s="1"/>
  <c r="F381" i="40"/>
  <c r="S380" i="40"/>
  <c r="T380" i="40" s="1"/>
  <c r="N380" i="40"/>
  <c r="L380" i="40"/>
  <c r="K380" i="40"/>
  <c r="S379" i="40"/>
  <c r="T379" i="40" s="1"/>
  <c r="L379" i="40"/>
  <c r="K379" i="40"/>
  <c r="F379" i="40"/>
  <c r="S378" i="40"/>
  <c r="T378" i="40" s="1"/>
  <c r="N378" i="40"/>
  <c r="L378" i="40"/>
  <c r="K378" i="40"/>
  <c r="S377" i="40"/>
  <c r="T377" i="40" s="1"/>
  <c r="L377" i="40"/>
  <c r="K377" i="40"/>
  <c r="F377" i="40"/>
  <c r="S376" i="40"/>
  <c r="T376" i="40" s="1"/>
  <c r="N376" i="40"/>
  <c r="K376" i="40"/>
  <c r="L376" i="40" s="1"/>
  <c r="T375" i="40"/>
  <c r="S375" i="40"/>
  <c r="K375" i="40"/>
  <c r="L375" i="40" s="1"/>
  <c r="F375" i="40"/>
  <c r="S374" i="40"/>
  <c r="T374" i="40" s="1"/>
  <c r="N374" i="40"/>
  <c r="K374" i="40"/>
  <c r="L374" i="40" s="1"/>
  <c r="T373" i="40"/>
  <c r="S373" i="40"/>
  <c r="N373" i="40"/>
  <c r="K373" i="40"/>
  <c r="L373" i="40" s="1"/>
  <c r="S372" i="40"/>
  <c r="T372" i="40" s="1"/>
  <c r="N372" i="40"/>
  <c r="K372" i="40"/>
  <c r="L372" i="40" s="1"/>
  <c r="T371" i="40"/>
  <c r="S371" i="40"/>
  <c r="N371" i="40"/>
  <c r="K371" i="40"/>
  <c r="L371" i="40" s="1"/>
  <c r="S370" i="40"/>
  <c r="T370" i="40" s="1"/>
  <c r="K370" i="40"/>
  <c r="L370" i="40" s="1"/>
  <c r="F370" i="40"/>
  <c r="T369" i="40"/>
  <c r="S369" i="40"/>
  <c r="N369" i="40"/>
  <c r="K369" i="40"/>
  <c r="L369" i="40" s="1"/>
  <c r="S368" i="40"/>
  <c r="T368" i="40" s="1"/>
  <c r="N368" i="40"/>
  <c r="K368" i="40"/>
  <c r="L368" i="40" s="1"/>
  <c r="T367" i="40"/>
  <c r="S367" i="40"/>
  <c r="N367" i="40"/>
  <c r="K367" i="40"/>
  <c r="L367" i="40" s="1"/>
  <c r="S366" i="40"/>
  <c r="T366" i="40" s="1"/>
  <c r="N366" i="40"/>
  <c r="K366" i="40"/>
  <c r="L366" i="40" s="1"/>
  <c r="T365" i="40"/>
  <c r="S365" i="40"/>
  <c r="K365" i="40"/>
  <c r="L365" i="40" s="1"/>
  <c r="F365" i="40"/>
  <c r="S364" i="40"/>
  <c r="T364" i="40" s="1"/>
  <c r="N364" i="40"/>
  <c r="K364" i="40"/>
  <c r="L364" i="40" s="1"/>
  <c r="T363" i="40"/>
  <c r="S363" i="40"/>
  <c r="N363" i="40"/>
  <c r="K363" i="40"/>
  <c r="L363" i="40" s="1"/>
  <c r="S362" i="40"/>
  <c r="T362" i="40" s="1"/>
  <c r="N362" i="40"/>
  <c r="K362" i="40"/>
  <c r="L362" i="40" s="1"/>
  <c r="T361" i="40"/>
  <c r="S361" i="40"/>
  <c r="N361" i="40"/>
  <c r="K361" i="40"/>
  <c r="L361" i="40" s="1"/>
  <c r="S360" i="40"/>
  <c r="T360" i="40" s="1"/>
  <c r="N360" i="40"/>
  <c r="K360" i="40"/>
  <c r="L360" i="40" s="1"/>
  <c r="T359" i="40"/>
  <c r="S359" i="40"/>
  <c r="N359" i="40"/>
  <c r="K359" i="40"/>
  <c r="L359" i="40" s="1"/>
  <c r="S358" i="40"/>
  <c r="T358" i="40" s="1"/>
  <c r="K358" i="40"/>
  <c r="L358" i="40" s="1"/>
  <c r="F358" i="40"/>
  <c r="T357" i="40"/>
  <c r="S357" i="40"/>
  <c r="N357" i="40"/>
  <c r="K357" i="40"/>
  <c r="L357" i="40" s="1"/>
  <c r="S356" i="40"/>
  <c r="T356" i="40" s="1"/>
  <c r="K356" i="40"/>
  <c r="L356" i="40" s="1"/>
  <c r="F356" i="40"/>
  <c r="S355" i="40"/>
  <c r="T355" i="40" s="1"/>
  <c r="K355" i="40"/>
  <c r="L355" i="40" s="1"/>
  <c r="F355" i="40"/>
  <c r="S354" i="40"/>
  <c r="T354" i="40" s="1"/>
  <c r="N354" i="40"/>
  <c r="L354" i="40"/>
  <c r="K354" i="40"/>
  <c r="T353" i="40"/>
  <c r="S353" i="40"/>
  <c r="L353" i="40"/>
  <c r="K353" i="40"/>
  <c r="F353" i="40"/>
  <c r="S352" i="40"/>
  <c r="T352" i="40" s="1"/>
  <c r="N352" i="40"/>
  <c r="K352" i="40"/>
  <c r="L352" i="40" s="1"/>
  <c r="S351" i="40"/>
  <c r="T351" i="40" s="1"/>
  <c r="N351" i="40"/>
  <c r="K351" i="40"/>
  <c r="L351" i="40" s="1"/>
  <c r="S350" i="40"/>
  <c r="T350" i="40" s="1"/>
  <c r="K350" i="40"/>
  <c r="L350" i="40" s="1"/>
  <c r="F350" i="40"/>
  <c r="T349" i="40"/>
  <c r="S349" i="40"/>
  <c r="N349" i="40"/>
  <c r="K349" i="40"/>
  <c r="L349" i="40" s="1"/>
  <c r="S348" i="40"/>
  <c r="T348" i="40" s="1"/>
  <c r="K348" i="40"/>
  <c r="L348" i="40" s="1"/>
  <c r="F348" i="40"/>
  <c r="S347" i="40"/>
  <c r="T347" i="40" s="1"/>
  <c r="N347" i="40"/>
  <c r="K347" i="40"/>
  <c r="L347" i="40" s="1"/>
  <c r="S346" i="40"/>
  <c r="T346" i="40" s="1"/>
  <c r="N346" i="40"/>
  <c r="K346" i="40"/>
  <c r="L346" i="40" s="1"/>
  <c r="S345" i="40"/>
  <c r="T345" i="40" s="1"/>
  <c r="K345" i="40"/>
  <c r="L345" i="40" s="1"/>
  <c r="F345" i="40"/>
  <c r="S344" i="40"/>
  <c r="T344" i="40" s="1"/>
  <c r="N344" i="40"/>
  <c r="L344" i="40"/>
  <c r="K344" i="40"/>
  <c r="T343" i="40"/>
  <c r="S343" i="40"/>
  <c r="N343" i="40"/>
  <c r="K343" i="40"/>
  <c r="L343" i="40" s="1"/>
  <c r="F343" i="40"/>
  <c r="S342" i="40"/>
  <c r="T342" i="40" s="1"/>
  <c r="K342" i="40"/>
  <c r="L342" i="40" s="1"/>
  <c r="F342" i="40"/>
  <c r="S341" i="40"/>
  <c r="T341" i="40" s="1"/>
  <c r="N341" i="40"/>
  <c r="L341" i="40"/>
  <c r="K341" i="40"/>
  <c r="T340" i="40"/>
  <c r="S340" i="40"/>
  <c r="L340" i="40"/>
  <c r="K340" i="40"/>
  <c r="F340" i="40"/>
  <c r="S339" i="40"/>
  <c r="T339" i="40" s="1"/>
  <c r="N339" i="40"/>
  <c r="K339" i="40"/>
  <c r="L339" i="40" s="1"/>
  <c r="S338" i="40"/>
  <c r="T338" i="40" s="1"/>
  <c r="K338" i="40"/>
  <c r="L338" i="40" s="1"/>
  <c r="F338" i="40"/>
  <c r="S337" i="40"/>
  <c r="T337" i="40" s="1"/>
  <c r="N337" i="40"/>
  <c r="L337" i="40"/>
  <c r="K337" i="40"/>
  <c r="T336" i="40"/>
  <c r="S336" i="40"/>
  <c r="N336" i="40"/>
  <c r="K336" i="40"/>
  <c r="L336" i="40" s="1"/>
  <c r="S335" i="40"/>
  <c r="T335" i="40" s="1"/>
  <c r="K335" i="40"/>
  <c r="L335" i="40" s="1"/>
  <c r="F335" i="40"/>
  <c r="S334" i="40"/>
  <c r="T334" i="40" s="1"/>
  <c r="N334" i="40"/>
  <c r="K334" i="40"/>
  <c r="L334" i="40" s="1"/>
  <c r="S333" i="40"/>
  <c r="T333" i="40" s="1"/>
  <c r="K333" i="40"/>
  <c r="L333" i="40" s="1"/>
  <c r="F333" i="40"/>
  <c r="T332" i="40"/>
  <c r="S332" i="40"/>
  <c r="N332" i="40"/>
  <c r="K332" i="40"/>
  <c r="L332" i="40" s="1"/>
  <c r="S331" i="40"/>
  <c r="T331" i="40" s="1"/>
  <c r="K331" i="40"/>
  <c r="L331" i="40" s="1"/>
  <c r="F331" i="40"/>
  <c r="S330" i="40"/>
  <c r="T330" i="40" s="1"/>
  <c r="N330" i="40"/>
  <c r="K330" i="40"/>
  <c r="L330" i="40" s="1"/>
  <c r="S329" i="40"/>
  <c r="T329" i="40" s="1"/>
  <c r="N329" i="40"/>
  <c r="K329" i="40"/>
  <c r="L329" i="40" s="1"/>
  <c r="S328" i="40"/>
  <c r="T328" i="40" s="1"/>
  <c r="K328" i="40"/>
  <c r="L328" i="40" s="1"/>
  <c r="F328" i="40"/>
  <c r="S327" i="40"/>
  <c r="T327" i="40" s="1"/>
  <c r="N327" i="40"/>
  <c r="L327" i="40"/>
  <c r="K327" i="40"/>
  <c r="T326" i="40"/>
  <c r="S326" i="40"/>
  <c r="L326" i="40"/>
  <c r="K326" i="40"/>
  <c r="F326" i="40"/>
  <c r="S325" i="40"/>
  <c r="T325" i="40" s="1"/>
  <c r="N325" i="40"/>
  <c r="K325" i="40"/>
  <c r="L325" i="40" s="1"/>
  <c r="S324" i="40"/>
  <c r="T324" i="40" s="1"/>
  <c r="K324" i="40"/>
  <c r="L324" i="40" s="1"/>
  <c r="F324" i="40"/>
  <c r="S323" i="40"/>
  <c r="T323" i="40" s="1"/>
  <c r="N323" i="40"/>
  <c r="L323" i="40"/>
  <c r="K323" i="40"/>
  <c r="T322" i="40"/>
  <c r="S322" i="40"/>
  <c r="L322" i="40"/>
  <c r="K322" i="40"/>
  <c r="F322" i="40"/>
  <c r="S321" i="40"/>
  <c r="T321" i="40" s="1"/>
  <c r="N321" i="40"/>
  <c r="K321" i="40"/>
  <c r="L321" i="40" s="1"/>
  <c r="S320" i="40"/>
  <c r="T320" i="40" s="1"/>
  <c r="K320" i="40"/>
  <c r="L320" i="40" s="1"/>
  <c r="F320" i="40"/>
  <c r="S319" i="40"/>
  <c r="T319" i="40" s="1"/>
  <c r="N319" i="40"/>
  <c r="L319" i="40"/>
  <c r="K319" i="40"/>
  <c r="T318" i="40"/>
  <c r="S318" i="40"/>
  <c r="L318" i="40"/>
  <c r="K318" i="40"/>
  <c r="F318" i="40"/>
  <c r="S317" i="40"/>
  <c r="T317" i="40" s="1"/>
  <c r="N317" i="40"/>
  <c r="K317" i="40"/>
  <c r="L317" i="40" s="1"/>
  <c r="S316" i="40"/>
  <c r="T316" i="40" s="1"/>
  <c r="N316" i="40"/>
  <c r="K316" i="40"/>
  <c r="L316" i="40" s="1"/>
  <c r="S315" i="40"/>
  <c r="T315" i="40" s="1"/>
  <c r="K315" i="40"/>
  <c r="L315" i="40" s="1"/>
  <c r="F315" i="40"/>
  <c r="T314" i="40"/>
  <c r="S314" i="40"/>
  <c r="N314" i="40"/>
  <c r="K314" i="40"/>
  <c r="L314" i="40" s="1"/>
  <c r="S313" i="40"/>
  <c r="T313" i="40" s="1"/>
  <c r="K313" i="40"/>
  <c r="L313" i="40" s="1"/>
  <c r="F313" i="40"/>
  <c r="S312" i="40"/>
  <c r="T312" i="40" s="1"/>
  <c r="N312" i="40"/>
  <c r="K312" i="40"/>
  <c r="L312" i="40" s="1"/>
  <c r="S311" i="40"/>
  <c r="T311" i="40" s="1"/>
  <c r="K311" i="40"/>
  <c r="L311" i="40" s="1"/>
  <c r="F311" i="40"/>
  <c r="T310" i="40"/>
  <c r="S310" i="40"/>
  <c r="N310" i="40"/>
  <c r="K310" i="40"/>
  <c r="L310" i="40" s="1"/>
  <c r="S309" i="40"/>
  <c r="T309" i="40" s="1"/>
  <c r="K309" i="40"/>
  <c r="L309" i="40" s="1"/>
  <c r="F309" i="40"/>
  <c r="S308" i="40"/>
  <c r="T308" i="40" s="1"/>
  <c r="N308" i="40"/>
  <c r="K308" i="40"/>
  <c r="L308" i="40" s="1"/>
  <c r="S307" i="40"/>
  <c r="T307" i="40" s="1"/>
  <c r="K307" i="40"/>
  <c r="L307" i="40" s="1"/>
  <c r="F307" i="40"/>
  <c r="T306" i="40"/>
  <c r="S306" i="40"/>
  <c r="N306" i="40"/>
  <c r="K306" i="40"/>
  <c r="L306" i="40" s="1"/>
  <c r="S305" i="40"/>
  <c r="T305" i="40" s="1"/>
  <c r="N305" i="40"/>
  <c r="L305" i="40"/>
  <c r="K305" i="40"/>
  <c r="T304" i="40"/>
  <c r="S304" i="40"/>
  <c r="L304" i="40"/>
  <c r="K304" i="40"/>
  <c r="F304" i="40"/>
  <c r="S303" i="40"/>
  <c r="T303" i="40" s="1"/>
  <c r="N303" i="40"/>
  <c r="L303" i="40"/>
  <c r="K303" i="40"/>
  <c r="S302" i="40"/>
  <c r="T302" i="40" s="1"/>
  <c r="L302" i="40"/>
  <c r="K302" i="40"/>
  <c r="F302" i="40"/>
  <c r="S301" i="40"/>
  <c r="T301" i="40" s="1"/>
  <c r="N301" i="40"/>
  <c r="L301" i="40"/>
  <c r="K301" i="40"/>
  <c r="T300" i="40"/>
  <c r="S300" i="40"/>
  <c r="L300" i="40"/>
  <c r="K300" i="40"/>
  <c r="F300" i="40"/>
  <c r="S299" i="40"/>
  <c r="T299" i="40" s="1"/>
  <c r="N299" i="40"/>
  <c r="K299" i="40"/>
  <c r="L299" i="40" s="1"/>
  <c r="T298" i="40"/>
  <c r="S298" i="40"/>
  <c r="K298" i="40"/>
  <c r="L298" i="40" s="1"/>
  <c r="F298" i="40"/>
  <c r="S297" i="40"/>
  <c r="T297" i="40" s="1"/>
  <c r="N297" i="40"/>
  <c r="L297" i="40"/>
  <c r="K297" i="40"/>
  <c r="T296" i="40"/>
  <c r="S296" i="40"/>
  <c r="N296" i="40"/>
  <c r="K296" i="40"/>
  <c r="L296" i="40" s="1"/>
  <c r="S295" i="40"/>
  <c r="T295" i="40" s="1"/>
  <c r="N295" i="40"/>
  <c r="L295" i="40"/>
  <c r="K295" i="40"/>
  <c r="T294" i="40"/>
  <c r="S294" i="40"/>
  <c r="N294" i="40"/>
  <c r="K294" i="40"/>
  <c r="L294" i="40" s="1"/>
  <c r="S293" i="40"/>
  <c r="T293" i="40" s="1"/>
  <c r="K293" i="40"/>
  <c r="L293" i="40" s="1"/>
  <c r="F293" i="40"/>
  <c r="T292" i="40"/>
  <c r="S292" i="40"/>
  <c r="N292" i="40"/>
  <c r="K292" i="40"/>
  <c r="L292" i="40" s="1"/>
  <c r="S291" i="40"/>
  <c r="T291" i="40" s="1"/>
  <c r="K291" i="40"/>
  <c r="L291" i="40" s="1"/>
  <c r="F291" i="40"/>
  <c r="T290" i="40"/>
  <c r="S290" i="40"/>
  <c r="L290" i="40"/>
  <c r="K290" i="40"/>
  <c r="F290" i="40"/>
  <c r="S289" i="40"/>
  <c r="T289" i="40" s="1"/>
  <c r="N289" i="40"/>
  <c r="K289" i="40"/>
  <c r="L289" i="40" s="1"/>
  <c r="T288" i="40"/>
  <c r="S288" i="40"/>
  <c r="K288" i="40"/>
  <c r="L288" i="40" s="1"/>
  <c r="F288" i="40"/>
  <c r="S287" i="40"/>
  <c r="T287" i="40" s="1"/>
  <c r="N287" i="40"/>
  <c r="L287" i="40"/>
  <c r="K287" i="40"/>
  <c r="T286" i="40"/>
  <c r="S286" i="40"/>
  <c r="L286" i="40"/>
  <c r="K286" i="40"/>
  <c r="F286" i="40"/>
  <c r="S285" i="40"/>
  <c r="T285" i="40" s="1"/>
  <c r="N285" i="40"/>
  <c r="L285" i="40"/>
  <c r="K285" i="40"/>
  <c r="S284" i="40"/>
  <c r="T284" i="40" s="1"/>
  <c r="L284" i="40"/>
  <c r="K284" i="40"/>
  <c r="F284" i="40"/>
  <c r="S283" i="40"/>
  <c r="T283" i="40" s="1"/>
  <c r="N283" i="40"/>
  <c r="L283" i="40"/>
  <c r="K283" i="40"/>
  <c r="T282" i="40"/>
  <c r="S282" i="40"/>
  <c r="L282" i="40"/>
  <c r="K282" i="40"/>
  <c r="F282" i="40"/>
  <c r="S281" i="40"/>
  <c r="T281" i="40" s="1"/>
  <c r="K281" i="40"/>
  <c r="L281" i="40" s="1"/>
  <c r="F281" i="40"/>
  <c r="T280" i="40"/>
  <c r="S280" i="40"/>
  <c r="N280" i="40"/>
  <c r="K280" i="40"/>
  <c r="L280" i="40" s="1"/>
  <c r="S279" i="40"/>
  <c r="T279" i="40" s="1"/>
  <c r="N279" i="40"/>
  <c r="L279" i="40"/>
  <c r="K279" i="40"/>
  <c r="T278" i="40"/>
  <c r="S278" i="40"/>
  <c r="L278" i="40"/>
  <c r="K278" i="40"/>
  <c r="F278" i="40"/>
  <c r="S277" i="40"/>
  <c r="T277" i="40" s="1"/>
  <c r="K277" i="40"/>
  <c r="L277" i="40" s="1"/>
  <c r="F277" i="40"/>
  <c r="T276" i="40"/>
  <c r="S276" i="40"/>
  <c r="N276" i="40"/>
  <c r="K276" i="40"/>
  <c r="L276" i="40" s="1"/>
  <c r="T275" i="40"/>
  <c r="S275" i="40"/>
  <c r="N275" i="40"/>
  <c r="K275" i="40"/>
  <c r="L275" i="40" s="1"/>
  <c r="T274" i="40"/>
  <c r="S274" i="40"/>
  <c r="K274" i="40"/>
  <c r="L274" i="40" s="1"/>
  <c r="F274" i="40"/>
  <c r="S273" i="40"/>
  <c r="T273" i="40" s="1"/>
  <c r="N273" i="40"/>
  <c r="L273" i="40"/>
  <c r="K273" i="40"/>
  <c r="S272" i="40"/>
  <c r="T272" i="40" s="1"/>
  <c r="L272" i="40"/>
  <c r="K272" i="40"/>
  <c r="F272" i="40"/>
  <c r="S271" i="40"/>
  <c r="T271" i="40" s="1"/>
  <c r="N271" i="40"/>
  <c r="K271" i="40"/>
  <c r="L271" i="40" s="1"/>
  <c r="T270" i="40"/>
  <c r="S270" i="40"/>
  <c r="K270" i="40"/>
  <c r="L270" i="40" s="1"/>
  <c r="F270" i="40"/>
  <c r="S269" i="40"/>
  <c r="T269" i="40" s="1"/>
  <c r="N269" i="40"/>
  <c r="L269" i="40"/>
  <c r="K269" i="40"/>
  <c r="T268" i="40"/>
  <c r="S268" i="40"/>
  <c r="L268" i="40"/>
  <c r="K268" i="40"/>
  <c r="F268" i="40"/>
  <c r="S267" i="40"/>
  <c r="T267" i="40" s="1"/>
  <c r="N267" i="40"/>
  <c r="L267" i="40"/>
  <c r="K267" i="40"/>
  <c r="S266" i="40"/>
  <c r="T266" i="40" s="1"/>
  <c r="L266" i="40"/>
  <c r="K266" i="40"/>
  <c r="F266" i="40"/>
  <c r="S265" i="40"/>
  <c r="T265" i="40" s="1"/>
  <c r="N265" i="40"/>
  <c r="L265" i="40"/>
  <c r="K265" i="40"/>
  <c r="S264" i="40"/>
  <c r="T264" i="40" s="1"/>
  <c r="L264" i="40"/>
  <c r="K264" i="40"/>
  <c r="F264" i="40"/>
  <c r="S263" i="40"/>
  <c r="T263" i="40" s="1"/>
  <c r="K263" i="40"/>
  <c r="L263" i="40" s="1"/>
  <c r="F263" i="40"/>
  <c r="S262" i="40"/>
  <c r="T262" i="40" s="1"/>
  <c r="N262" i="40"/>
  <c r="K262" i="40"/>
  <c r="L262" i="40" s="1"/>
  <c r="S261" i="40"/>
  <c r="T261" i="40" s="1"/>
  <c r="K261" i="40"/>
  <c r="L261" i="40" s="1"/>
  <c r="F261" i="40"/>
  <c r="S260" i="40"/>
  <c r="T260" i="40" s="1"/>
  <c r="N260" i="40"/>
  <c r="K260" i="40"/>
  <c r="L260" i="40" s="1"/>
  <c r="S259" i="40"/>
  <c r="T259" i="40" s="1"/>
  <c r="K259" i="40"/>
  <c r="L259" i="40" s="1"/>
  <c r="F259" i="40"/>
  <c r="T258" i="40"/>
  <c r="S258" i="40"/>
  <c r="N258" i="40"/>
  <c r="K258" i="40"/>
  <c r="L258" i="40" s="1"/>
  <c r="S257" i="40"/>
  <c r="T257" i="40" s="1"/>
  <c r="K257" i="40"/>
  <c r="L257" i="40" s="1"/>
  <c r="F257" i="40"/>
  <c r="T256" i="40"/>
  <c r="S256" i="40"/>
  <c r="N256" i="40"/>
  <c r="K256" i="40"/>
  <c r="L256" i="40" s="1"/>
  <c r="S255" i="40"/>
  <c r="T255" i="40" s="1"/>
  <c r="N255" i="40"/>
  <c r="K255" i="40"/>
  <c r="L255" i="40" s="1"/>
  <c r="T254" i="40"/>
  <c r="S254" i="40"/>
  <c r="K254" i="40"/>
  <c r="L254" i="40" s="1"/>
  <c r="F254" i="40"/>
  <c r="S253" i="40"/>
  <c r="T253" i="40" s="1"/>
  <c r="N253" i="40"/>
  <c r="L253" i="40"/>
  <c r="K253" i="40"/>
  <c r="T252" i="40"/>
  <c r="S252" i="40"/>
  <c r="L252" i="40"/>
  <c r="K252" i="40"/>
  <c r="F252" i="40"/>
  <c r="S251" i="40"/>
  <c r="T251" i="40" s="1"/>
  <c r="N251" i="40"/>
  <c r="L251" i="40"/>
  <c r="K251" i="40"/>
  <c r="S250" i="40"/>
  <c r="T250" i="40" s="1"/>
  <c r="N250" i="40"/>
  <c r="K250" i="40"/>
  <c r="L250" i="40" s="1"/>
  <c r="S249" i="40"/>
  <c r="T249" i="40" s="1"/>
  <c r="N249" i="40"/>
  <c r="L249" i="40"/>
  <c r="K249" i="40"/>
  <c r="S248" i="40"/>
  <c r="T248" i="40" s="1"/>
  <c r="N248" i="40"/>
  <c r="K248" i="40"/>
  <c r="L248" i="40" s="1"/>
  <c r="S247" i="40"/>
  <c r="T247" i="40" s="1"/>
  <c r="K247" i="40"/>
  <c r="L247" i="40" s="1"/>
  <c r="F247" i="40"/>
  <c r="T246" i="40"/>
  <c r="S246" i="40"/>
  <c r="N246" i="40"/>
  <c r="K246" i="40"/>
  <c r="L246" i="40" s="1"/>
  <c r="S245" i="40"/>
  <c r="T245" i="40" s="1"/>
  <c r="K245" i="40"/>
  <c r="L245" i="40" s="1"/>
  <c r="F245" i="40"/>
  <c r="T244" i="40"/>
  <c r="S244" i="40"/>
  <c r="N244" i="40"/>
  <c r="K244" i="40"/>
  <c r="L244" i="40" s="1"/>
  <c r="S243" i="40"/>
  <c r="T243" i="40" s="1"/>
  <c r="K243" i="40"/>
  <c r="L243" i="40" s="1"/>
  <c r="F243" i="40"/>
  <c r="S242" i="40"/>
  <c r="T242" i="40" s="1"/>
  <c r="N242" i="40"/>
  <c r="K242" i="40"/>
  <c r="L242" i="40" s="1"/>
  <c r="S241" i="40"/>
  <c r="T241" i="40" s="1"/>
  <c r="N241" i="40"/>
  <c r="L241" i="40"/>
  <c r="K241" i="40"/>
  <c r="S240" i="40"/>
  <c r="T240" i="40" s="1"/>
  <c r="N240" i="40"/>
  <c r="K240" i="40"/>
  <c r="L240" i="40" s="1"/>
  <c r="S239" i="40"/>
  <c r="T239" i="40" s="1"/>
  <c r="K239" i="40"/>
  <c r="L239" i="40" s="1"/>
  <c r="F239" i="40"/>
  <c r="S238" i="40"/>
  <c r="T238" i="40" s="1"/>
  <c r="N238" i="40"/>
  <c r="K238" i="40"/>
  <c r="L238" i="40" s="1"/>
  <c r="S237" i="40"/>
  <c r="T237" i="40" s="1"/>
  <c r="N237" i="40"/>
  <c r="K237" i="40"/>
  <c r="L237" i="40" s="1"/>
  <c r="S236" i="40"/>
  <c r="T236" i="40" s="1"/>
  <c r="K236" i="40"/>
  <c r="L236" i="40" s="1"/>
  <c r="F236" i="40"/>
  <c r="S235" i="40"/>
  <c r="T235" i="40" s="1"/>
  <c r="N235" i="40"/>
  <c r="L235" i="40"/>
  <c r="K235" i="40"/>
  <c r="T234" i="40"/>
  <c r="S234" i="40"/>
  <c r="L234" i="40"/>
  <c r="K234" i="40"/>
  <c r="F234" i="40"/>
  <c r="S233" i="40"/>
  <c r="T233" i="40" s="1"/>
  <c r="N233" i="40"/>
  <c r="K233" i="40"/>
  <c r="L233" i="40" s="1"/>
  <c r="T232" i="40"/>
  <c r="S232" i="40"/>
  <c r="N232" i="40"/>
  <c r="K232" i="40"/>
  <c r="L232" i="40" s="1"/>
  <c r="S231" i="40"/>
  <c r="T231" i="40" s="1"/>
  <c r="K231" i="40"/>
  <c r="L231" i="40" s="1"/>
  <c r="F231" i="40"/>
  <c r="S230" i="40"/>
  <c r="T230" i="40" s="1"/>
  <c r="N230" i="40"/>
  <c r="K230" i="40"/>
  <c r="L230" i="40" s="1"/>
  <c r="S229" i="40"/>
  <c r="T229" i="40" s="1"/>
  <c r="K229" i="40"/>
  <c r="L229" i="40" s="1"/>
  <c r="F229" i="40"/>
  <c r="S228" i="40"/>
  <c r="T228" i="40" s="1"/>
  <c r="N228" i="40"/>
  <c r="K228" i="40"/>
  <c r="L228" i="40" s="1"/>
  <c r="S227" i="40"/>
  <c r="T227" i="40" s="1"/>
  <c r="N227" i="40"/>
  <c r="K227" i="40"/>
  <c r="L227" i="40" s="1"/>
  <c r="S226" i="40"/>
  <c r="T226" i="40" s="1"/>
  <c r="K226" i="40"/>
  <c r="L226" i="40" s="1"/>
  <c r="F226" i="40"/>
  <c r="S225" i="40"/>
  <c r="T225" i="40" s="1"/>
  <c r="N225" i="40"/>
  <c r="L225" i="40"/>
  <c r="K225" i="40"/>
  <c r="S224" i="40"/>
  <c r="T224" i="40" s="1"/>
  <c r="N224" i="40"/>
  <c r="K224" i="40"/>
  <c r="L224" i="40" s="1"/>
  <c r="S223" i="40"/>
  <c r="T223" i="40" s="1"/>
  <c r="K223" i="40"/>
  <c r="L223" i="40" s="1"/>
  <c r="F223" i="40"/>
  <c r="S222" i="40"/>
  <c r="T222" i="40" s="1"/>
  <c r="N222" i="40"/>
  <c r="K222" i="40"/>
  <c r="L222" i="40" s="1"/>
  <c r="S221" i="40"/>
  <c r="T221" i="40" s="1"/>
  <c r="N221" i="40"/>
  <c r="K221" i="40"/>
  <c r="L221" i="40" s="1"/>
  <c r="S220" i="40"/>
  <c r="T220" i="40" s="1"/>
  <c r="N220" i="40"/>
  <c r="K220" i="40"/>
  <c r="L220" i="40" s="1"/>
  <c r="S219" i="40"/>
  <c r="T219" i="40" s="1"/>
  <c r="K219" i="40"/>
  <c r="L219" i="40" s="1"/>
  <c r="F219" i="40"/>
  <c r="S218" i="40"/>
  <c r="T218" i="40" s="1"/>
  <c r="N218" i="40"/>
  <c r="K218" i="40"/>
  <c r="L218" i="40" s="1"/>
  <c r="S217" i="40"/>
  <c r="T217" i="40" s="1"/>
  <c r="K217" i="40"/>
  <c r="L217" i="40" s="1"/>
  <c r="F217" i="40"/>
  <c r="T216" i="40"/>
  <c r="S216" i="40"/>
  <c r="N216" i="40"/>
  <c r="K216" i="40"/>
  <c r="L216" i="40" s="1"/>
  <c r="S215" i="40"/>
  <c r="T215" i="40" s="1"/>
  <c r="K215" i="40"/>
  <c r="L215" i="40" s="1"/>
  <c r="F215" i="40"/>
  <c r="S214" i="40"/>
  <c r="T214" i="40" s="1"/>
  <c r="N214" i="40"/>
  <c r="K214" i="40"/>
  <c r="L214" i="40" s="1"/>
  <c r="S213" i="40"/>
  <c r="T213" i="40" s="1"/>
  <c r="N213" i="40"/>
  <c r="K213" i="40"/>
  <c r="L213" i="40" s="1"/>
  <c r="S212" i="40"/>
  <c r="T212" i="40" s="1"/>
  <c r="K212" i="40"/>
  <c r="L212" i="40" s="1"/>
  <c r="F212" i="40"/>
  <c r="S211" i="40"/>
  <c r="T211" i="40" s="1"/>
  <c r="N211" i="40"/>
  <c r="K211" i="40"/>
  <c r="L211" i="40" s="1"/>
  <c r="T210" i="40"/>
  <c r="S210" i="40"/>
  <c r="N210" i="40"/>
  <c r="K210" i="40"/>
  <c r="L210" i="40" s="1"/>
  <c r="S209" i="40"/>
  <c r="T209" i="40" s="1"/>
  <c r="K209" i="40"/>
  <c r="L209" i="40" s="1"/>
  <c r="F209" i="40"/>
  <c r="S208" i="40"/>
  <c r="T208" i="40" s="1"/>
  <c r="N208" i="40"/>
  <c r="K208" i="40"/>
  <c r="L208" i="40" s="1"/>
  <c r="S207" i="40"/>
  <c r="T207" i="40" s="1"/>
  <c r="K207" i="40"/>
  <c r="L207" i="40" s="1"/>
  <c r="F207" i="40"/>
  <c r="S206" i="40"/>
  <c r="T206" i="40" s="1"/>
  <c r="N206" i="40"/>
  <c r="K206" i="40"/>
  <c r="L206" i="40" s="1"/>
  <c r="S205" i="40"/>
  <c r="T205" i="40" s="1"/>
  <c r="K205" i="40"/>
  <c r="L205" i="40" s="1"/>
  <c r="F205" i="40"/>
  <c r="S204" i="40"/>
  <c r="T204" i="40" s="1"/>
  <c r="N204" i="40"/>
  <c r="K204" i="40"/>
  <c r="L204" i="40" s="1"/>
  <c r="S203" i="40"/>
  <c r="T203" i="40" s="1"/>
  <c r="K203" i="40"/>
  <c r="L203" i="40" s="1"/>
  <c r="F203" i="40"/>
  <c r="T202" i="40"/>
  <c r="S202" i="40"/>
  <c r="N202" i="40"/>
  <c r="K202" i="40"/>
  <c r="L202" i="40" s="1"/>
  <c r="S201" i="40"/>
  <c r="T201" i="40" s="1"/>
  <c r="N201" i="40"/>
  <c r="K201" i="40"/>
  <c r="L201" i="40" s="1"/>
  <c r="T200" i="40"/>
  <c r="S200" i="40"/>
  <c r="N200" i="40"/>
  <c r="K200" i="40"/>
  <c r="L200" i="40" s="1"/>
  <c r="S199" i="40"/>
  <c r="T199" i="40" s="1"/>
  <c r="N199" i="40"/>
  <c r="K199" i="40"/>
  <c r="L199" i="40" s="1"/>
  <c r="T198" i="40"/>
  <c r="S198" i="40"/>
  <c r="N198" i="40"/>
  <c r="K198" i="40"/>
  <c r="L198" i="40" s="1"/>
  <c r="S197" i="40"/>
  <c r="T197" i="40" s="1"/>
  <c r="N197" i="40"/>
  <c r="K197" i="40"/>
  <c r="L197" i="40" s="1"/>
  <c r="T196" i="40"/>
  <c r="S196" i="40"/>
  <c r="N196" i="40"/>
  <c r="K196" i="40"/>
  <c r="L196" i="40" s="1"/>
  <c r="S195" i="40"/>
  <c r="T195" i="40" s="1"/>
  <c r="N195" i="40"/>
  <c r="K195" i="40"/>
  <c r="L195" i="40" s="1"/>
  <c r="T194" i="40"/>
  <c r="S194" i="40"/>
  <c r="N194" i="40"/>
  <c r="K194" i="40"/>
  <c r="L194" i="40" s="1"/>
  <c r="S193" i="40"/>
  <c r="T193" i="40" s="1"/>
  <c r="N193" i="40"/>
  <c r="K193" i="40"/>
  <c r="L193" i="40" s="1"/>
  <c r="T192" i="40"/>
  <c r="S192" i="40"/>
  <c r="N192" i="40"/>
  <c r="K192" i="40"/>
  <c r="L192" i="40" s="1"/>
  <c r="S191" i="40"/>
  <c r="T191" i="40" s="1"/>
  <c r="N191" i="40"/>
  <c r="K191" i="40"/>
  <c r="L191" i="40" s="1"/>
  <c r="T190" i="40"/>
  <c r="S190" i="40"/>
  <c r="N190" i="40"/>
  <c r="K190" i="40"/>
  <c r="L190" i="40" s="1"/>
  <c r="S189" i="40"/>
  <c r="T189" i="40" s="1"/>
  <c r="N189" i="40"/>
  <c r="K189" i="40"/>
  <c r="L189" i="40" s="1"/>
  <c r="T188" i="40"/>
  <c r="S188" i="40"/>
  <c r="N188" i="40"/>
  <c r="K188" i="40"/>
  <c r="L188" i="40" s="1"/>
  <c r="S187" i="40"/>
  <c r="T187" i="40" s="1"/>
  <c r="N187" i="40"/>
  <c r="K187" i="40"/>
  <c r="L187" i="40" s="1"/>
  <c r="F187" i="40"/>
  <c r="S186" i="40"/>
  <c r="T186" i="40" s="1"/>
  <c r="K186" i="40"/>
  <c r="L186" i="40" s="1"/>
  <c r="F186" i="40"/>
  <c r="T185" i="40"/>
  <c r="S185" i="40"/>
  <c r="N185" i="40"/>
  <c r="K185" i="40"/>
  <c r="L185" i="40" s="1"/>
  <c r="S184" i="40"/>
  <c r="T184" i="40" s="1"/>
  <c r="N184" i="40"/>
  <c r="K184" i="40"/>
  <c r="L184" i="40" s="1"/>
  <c r="F184" i="40"/>
  <c r="S183" i="40"/>
  <c r="T183" i="40" s="1"/>
  <c r="K183" i="40"/>
  <c r="L183" i="40" s="1"/>
  <c r="F183" i="40"/>
  <c r="T182" i="40"/>
  <c r="S182" i="40"/>
  <c r="N182" i="40"/>
  <c r="K182" i="40"/>
  <c r="L182" i="40" s="1"/>
  <c r="S181" i="40"/>
  <c r="T181" i="40" s="1"/>
  <c r="K181" i="40"/>
  <c r="L181" i="40" s="1"/>
  <c r="F181" i="40"/>
  <c r="S180" i="40"/>
  <c r="T180" i="40" s="1"/>
  <c r="N180" i="40"/>
  <c r="K180" i="40"/>
  <c r="L180" i="40" s="1"/>
  <c r="S179" i="40"/>
  <c r="T179" i="40" s="1"/>
  <c r="K179" i="40"/>
  <c r="L179" i="40" s="1"/>
  <c r="F179" i="40"/>
  <c r="S178" i="40"/>
  <c r="T178" i="40" s="1"/>
  <c r="L178" i="40"/>
  <c r="K178" i="40"/>
  <c r="F178" i="40"/>
  <c r="S177" i="40"/>
  <c r="T177" i="40" s="1"/>
  <c r="N177" i="40"/>
  <c r="K177" i="40"/>
  <c r="L177" i="40" s="1"/>
  <c r="S176" i="40"/>
  <c r="T176" i="40" s="1"/>
  <c r="K176" i="40"/>
  <c r="L176" i="40" s="1"/>
  <c r="F176" i="40"/>
  <c r="S175" i="40"/>
  <c r="T175" i="40" s="1"/>
  <c r="N175" i="40"/>
  <c r="K175" i="40"/>
  <c r="L175" i="40" s="1"/>
  <c r="T174" i="40"/>
  <c r="S174" i="40"/>
  <c r="K174" i="40"/>
  <c r="L174" i="40" s="1"/>
  <c r="F174" i="40"/>
  <c r="S173" i="40"/>
  <c r="T173" i="40" s="1"/>
  <c r="N173" i="40"/>
  <c r="K173" i="40"/>
  <c r="L173" i="40" s="1"/>
  <c r="S172" i="40"/>
  <c r="T172" i="40" s="1"/>
  <c r="K172" i="40"/>
  <c r="L172" i="40" s="1"/>
  <c r="F172" i="40"/>
  <c r="S171" i="40"/>
  <c r="T171" i="40" s="1"/>
  <c r="N171" i="40"/>
  <c r="L171" i="40"/>
  <c r="K171" i="40"/>
  <c r="S170" i="40"/>
  <c r="T170" i="40" s="1"/>
  <c r="L170" i="40"/>
  <c r="K170" i="40"/>
  <c r="F170" i="40"/>
  <c r="S169" i="40"/>
  <c r="T169" i="40" s="1"/>
  <c r="N169" i="40"/>
  <c r="K169" i="40"/>
  <c r="L169" i="40" s="1"/>
  <c r="S168" i="40"/>
  <c r="T168" i="40" s="1"/>
  <c r="K168" i="40"/>
  <c r="L168" i="40" s="1"/>
  <c r="F168" i="40"/>
  <c r="S167" i="40"/>
  <c r="T167" i="40" s="1"/>
  <c r="N167" i="40"/>
  <c r="K167" i="40"/>
  <c r="L167" i="40" s="1"/>
  <c r="T166" i="40"/>
  <c r="S166" i="40"/>
  <c r="K166" i="40"/>
  <c r="L166" i="40" s="1"/>
  <c r="F166" i="40"/>
  <c r="S165" i="40"/>
  <c r="T165" i="40" s="1"/>
  <c r="N165" i="40"/>
  <c r="K165" i="40"/>
  <c r="L165" i="40" s="1"/>
  <c r="S164" i="40"/>
  <c r="T164" i="40" s="1"/>
  <c r="K164" i="40"/>
  <c r="L164" i="40" s="1"/>
  <c r="F164" i="40"/>
  <c r="S163" i="40"/>
  <c r="T163" i="40" s="1"/>
  <c r="N163" i="40"/>
  <c r="L163" i="40"/>
  <c r="K163" i="40"/>
  <c r="S162" i="40"/>
  <c r="T162" i="40" s="1"/>
  <c r="L162" i="40"/>
  <c r="K162" i="40"/>
  <c r="F162" i="40"/>
  <c r="S161" i="40"/>
  <c r="T161" i="40" s="1"/>
  <c r="N161" i="40"/>
  <c r="K161" i="40"/>
  <c r="L161" i="40" s="1"/>
  <c r="S160" i="40"/>
  <c r="T160" i="40" s="1"/>
  <c r="K160" i="40"/>
  <c r="L160" i="40" s="1"/>
  <c r="F160" i="40"/>
  <c r="S159" i="40"/>
  <c r="T159" i="40" s="1"/>
  <c r="N159" i="40"/>
  <c r="K159" i="40"/>
  <c r="L159" i="40" s="1"/>
  <c r="T158" i="40"/>
  <c r="S158" i="40"/>
  <c r="K158" i="40"/>
  <c r="L158" i="40" s="1"/>
  <c r="F158" i="40"/>
  <c r="S157" i="40"/>
  <c r="T157" i="40" s="1"/>
  <c r="N157" i="40"/>
  <c r="K157" i="40"/>
  <c r="L157" i="40" s="1"/>
  <c r="S156" i="40"/>
  <c r="T156" i="40" s="1"/>
  <c r="K156" i="40"/>
  <c r="L156" i="40" s="1"/>
  <c r="F156" i="40"/>
  <c r="S155" i="40"/>
  <c r="T155" i="40" s="1"/>
  <c r="N155" i="40"/>
  <c r="L155" i="40"/>
  <c r="K155" i="40"/>
  <c r="S154" i="40"/>
  <c r="T154" i="40" s="1"/>
  <c r="N154" i="40"/>
  <c r="K154" i="40"/>
  <c r="L154" i="40" s="1"/>
  <c r="S153" i="40"/>
  <c r="T153" i="40" s="1"/>
  <c r="K153" i="40"/>
  <c r="L153" i="40" s="1"/>
  <c r="F153" i="40"/>
  <c r="S152" i="40"/>
  <c r="T152" i="40" s="1"/>
  <c r="K152" i="40"/>
  <c r="L152" i="40" s="1"/>
  <c r="F152" i="40"/>
  <c r="S151" i="40"/>
  <c r="T151" i="40" s="1"/>
  <c r="N151" i="40"/>
  <c r="L151" i="40"/>
  <c r="K151" i="40"/>
  <c r="S150" i="40"/>
  <c r="T150" i="40" s="1"/>
  <c r="N150" i="40"/>
  <c r="K150" i="40"/>
  <c r="L150" i="40" s="1"/>
  <c r="S149" i="40"/>
  <c r="T149" i="40" s="1"/>
  <c r="K149" i="40"/>
  <c r="L149" i="40" s="1"/>
  <c r="F149" i="40"/>
  <c r="S148" i="40"/>
  <c r="T148" i="40" s="1"/>
  <c r="N148" i="40"/>
  <c r="K148" i="40"/>
  <c r="L148" i="40" s="1"/>
  <c r="F148" i="40"/>
  <c r="S147" i="40"/>
  <c r="T147" i="40" s="1"/>
  <c r="L147" i="40"/>
  <c r="K147" i="40"/>
  <c r="F147" i="40"/>
  <c r="S146" i="40"/>
  <c r="T146" i="40" s="1"/>
  <c r="N146" i="40"/>
  <c r="K146" i="40"/>
  <c r="L146" i="40" s="1"/>
  <c r="S145" i="40"/>
  <c r="T145" i="40" s="1"/>
  <c r="N145" i="40"/>
  <c r="K145" i="40"/>
  <c r="L145" i="40" s="1"/>
  <c r="F145" i="40"/>
  <c r="T144" i="40"/>
  <c r="S144" i="40"/>
  <c r="K144" i="40"/>
  <c r="L144" i="40" s="1"/>
  <c r="F144" i="40"/>
  <c r="S143" i="40"/>
  <c r="T143" i="40" s="1"/>
  <c r="N143" i="40"/>
  <c r="K143" i="40"/>
  <c r="L143" i="40" s="1"/>
  <c r="S142" i="40"/>
  <c r="T142" i="40" s="1"/>
  <c r="N142" i="40"/>
  <c r="K142" i="40"/>
  <c r="L142" i="40" s="1"/>
  <c r="F142" i="40"/>
  <c r="S141" i="40"/>
  <c r="T141" i="40" s="1"/>
  <c r="L141" i="40"/>
  <c r="K141" i="40"/>
  <c r="F141" i="40"/>
  <c r="S140" i="40"/>
  <c r="T140" i="40" s="1"/>
  <c r="K140" i="40"/>
  <c r="L140" i="40" s="1"/>
  <c r="F140" i="40"/>
  <c r="S139" i="40"/>
  <c r="T139" i="40" s="1"/>
  <c r="N139" i="40"/>
  <c r="K139" i="40"/>
  <c r="L139" i="40" s="1"/>
  <c r="S138" i="40"/>
  <c r="T138" i="40" s="1"/>
  <c r="K138" i="40"/>
  <c r="L138" i="40" s="1"/>
  <c r="F138" i="40"/>
  <c r="S137" i="40"/>
  <c r="T137" i="40" s="1"/>
  <c r="K137" i="40"/>
  <c r="L137" i="40" s="1"/>
  <c r="F137" i="40"/>
  <c r="S136" i="40"/>
  <c r="T136" i="40" s="1"/>
  <c r="N136" i="40"/>
  <c r="L136" i="40"/>
  <c r="K136" i="40"/>
  <c r="F136" i="40"/>
  <c r="S135" i="40"/>
  <c r="T135" i="40" s="1"/>
  <c r="K135" i="40"/>
  <c r="L135" i="40" s="1"/>
  <c r="F135" i="40"/>
  <c r="S134" i="40"/>
  <c r="T134" i="40" s="1"/>
  <c r="N134" i="40"/>
  <c r="K134" i="40"/>
  <c r="L134" i="40" s="1"/>
  <c r="S133" i="40"/>
  <c r="T133" i="40" s="1"/>
  <c r="K133" i="40"/>
  <c r="L133" i="40" s="1"/>
  <c r="F133" i="40"/>
  <c r="S132" i="40"/>
  <c r="T132" i="40" s="1"/>
  <c r="N132" i="40"/>
  <c r="K132" i="40"/>
  <c r="L132" i="40" s="1"/>
  <c r="S131" i="40"/>
  <c r="T131" i="40" s="1"/>
  <c r="K131" i="40"/>
  <c r="L131" i="40" s="1"/>
  <c r="F131" i="40"/>
  <c r="T130" i="40"/>
  <c r="S130" i="40"/>
  <c r="N130" i="40"/>
  <c r="K130" i="40"/>
  <c r="L130" i="40" s="1"/>
  <c r="S129" i="40"/>
  <c r="T129" i="40" s="1"/>
  <c r="N129" i="40"/>
  <c r="K129" i="40"/>
  <c r="L129" i="40" s="1"/>
  <c r="T128" i="40"/>
  <c r="S128" i="40"/>
  <c r="K128" i="40"/>
  <c r="L128" i="40" s="1"/>
  <c r="F128" i="40"/>
  <c r="S127" i="40"/>
  <c r="T127" i="40" s="1"/>
  <c r="N127" i="40"/>
  <c r="K127" i="40"/>
  <c r="L127" i="40" s="1"/>
  <c r="S126" i="40"/>
  <c r="T126" i="40" s="1"/>
  <c r="K126" i="40"/>
  <c r="L126" i="40" s="1"/>
  <c r="F126" i="40"/>
  <c r="S125" i="40"/>
  <c r="T125" i="40" s="1"/>
  <c r="N125" i="40"/>
  <c r="L125" i="40"/>
  <c r="K125" i="40"/>
  <c r="S124" i="40"/>
  <c r="T124" i="40" s="1"/>
  <c r="L124" i="40"/>
  <c r="K124" i="40"/>
  <c r="F124" i="40"/>
  <c r="S123" i="40"/>
  <c r="T123" i="40" s="1"/>
  <c r="N123" i="40"/>
  <c r="K123" i="40"/>
  <c r="L123" i="40" s="1"/>
  <c r="F123" i="40"/>
  <c r="S122" i="40"/>
  <c r="T122" i="40" s="1"/>
  <c r="K122" i="40"/>
  <c r="L122" i="40" s="1"/>
  <c r="F122" i="40"/>
  <c r="S121" i="40"/>
  <c r="T121" i="40" s="1"/>
  <c r="N121" i="40"/>
  <c r="K121" i="40"/>
  <c r="L121" i="40" s="1"/>
  <c r="S120" i="40"/>
  <c r="T120" i="40" s="1"/>
  <c r="N120" i="40"/>
  <c r="K120" i="40"/>
  <c r="L120" i="40" s="1"/>
  <c r="S119" i="40"/>
  <c r="T119" i="40" s="1"/>
  <c r="N119" i="40"/>
  <c r="K119" i="40"/>
  <c r="L119" i="40" s="1"/>
  <c r="F119" i="40"/>
  <c r="T118" i="40"/>
  <c r="S118" i="40"/>
  <c r="K118" i="40"/>
  <c r="L118" i="40" s="1"/>
  <c r="F118" i="40"/>
  <c r="S117" i="40"/>
  <c r="T117" i="40" s="1"/>
  <c r="N117" i="40"/>
  <c r="K117" i="40"/>
  <c r="L117" i="40" s="1"/>
  <c r="S116" i="40"/>
  <c r="T116" i="40" s="1"/>
  <c r="N116" i="40"/>
  <c r="K116" i="40"/>
  <c r="L116" i="40" s="1"/>
  <c r="F116" i="40"/>
  <c r="S115" i="40"/>
  <c r="T115" i="40" s="1"/>
  <c r="L115" i="40"/>
  <c r="K115" i="40"/>
  <c r="F115" i="40"/>
  <c r="S114" i="40"/>
  <c r="T114" i="40" s="1"/>
  <c r="N114" i="40"/>
  <c r="K114" i="40"/>
  <c r="L114" i="40" s="1"/>
  <c r="S113" i="40"/>
  <c r="T113" i="40" s="1"/>
  <c r="N113" i="40"/>
  <c r="K113" i="40"/>
  <c r="L113" i="40" s="1"/>
  <c r="F113" i="40"/>
  <c r="T112" i="40"/>
  <c r="S112" i="40"/>
  <c r="K112" i="40"/>
  <c r="L112" i="40" s="1"/>
  <c r="F112" i="40"/>
  <c r="S111" i="40"/>
  <c r="T111" i="40" s="1"/>
  <c r="N111" i="40"/>
  <c r="K111" i="40"/>
  <c r="L111" i="40" s="1"/>
  <c r="S110" i="40"/>
  <c r="T110" i="40" s="1"/>
  <c r="N110" i="40"/>
  <c r="K110" i="40"/>
  <c r="L110" i="40" s="1"/>
  <c r="F110" i="40"/>
  <c r="S109" i="40"/>
  <c r="T109" i="40" s="1"/>
  <c r="L109" i="40"/>
  <c r="K109" i="40"/>
  <c r="F109" i="40"/>
  <c r="S108" i="40"/>
  <c r="T108" i="40" s="1"/>
  <c r="N108" i="40"/>
  <c r="K108" i="40"/>
  <c r="L108" i="40" s="1"/>
  <c r="S107" i="40"/>
  <c r="T107" i="40" s="1"/>
  <c r="K107" i="40"/>
  <c r="L107" i="40" s="1"/>
  <c r="F107" i="40"/>
  <c r="S106" i="40"/>
  <c r="T106" i="40" s="1"/>
  <c r="N106" i="40"/>
  <c r="K106" i="40"/>
  <c r="L106" i="40" s="1"/>
  <c r="T105" i="40"/>
  <c r="S105" i="40"/>
  <c r="K105" i="40"/>
  <c r="L105" i="40" s="1"/>
  <c r="F105" i="40"/>
  <c r="S104" i="40"/>
  <c r="T104" i="40" s="1"/>
  <c r="N104" i="40"/>
  <c r="K104" i="40"/>
  <c r="L104" i="40" s="1"/>
  <c r="S103" i="40"/>
  <c r="T103" i="40" s="1"/>
  <c r="N103" i="40"/>
  <c r="K103" i="40"/>
  <c r="L103" i="40" s="1"/>
  <c r="S102" i="40"/>
  <c r="T102" i="40" s="1"/>
  <c r="K102" i="40"/>
  <c r="L102" i="40" s="1"/>
  <c r="F102" i="40"/>
  <c r="T101" i="40"/>
  <c r="S101" i="40"/>
  <c r="K101" i="40"/>
  <c r="L101" i="40" s="1"/>
  <c r="F101" i="40"/>
  <c r="S100" i="40"/>
  <c r="T100" i="40" s="1"/>
  <c r="N100" i="40"/>
  <c r="K100" i="40"/>
  <c r="L100" i="40" s="1"/>
  <c r="S99" i="40"/>
  <c r="T99" i="40" s="1"/>
  <c r="K99" i="40"/>
  <c r="L99" i="40" s="1"/>
  <c r="F99" i="40"/>
  <c r="S98" i="40"/>
  <c r="T98" i="40" s="1"/>
  <c r="N98" i="40"/>
  <c r="L98" i="40"/>
  <c r="K98" i="40"/>
  <c r="S97" i="40"/>
  <c r="T97" i="40" s="1"/>
  <c r="N97" i="40"/>
  <c r="K97" i="40"/>
  <c r="L97" i="40" s="1"/>
  <c r="F97" i="40"/>
  <c r="S96" i="40"/>
  <c r="T96" i="40" s="1"/>
  <c r="K96" i="40"/>
  <c r="L96" i="40" s="1"/>
  <c r="F96" i="40"/>
  <c r="S95" i="40"/>
  <c r="T95" i="40" s="1"/>
  <c r="N95" i="40"/>
  <c r="K95" i="40"/>
  <c r="L95" i="40" s="1"/>
  <c r="T94" i="40"/>
  <c r="S94" i="40"/>
  <c r="N94" i="40"/>
  <c r="K94" i="40"/>
  <c r="L94" i="40" s="1"/>
  <c r="S93" i="40"/>
  <c r="T93" i="40" s="1"/>
  <c r="K93" i="40"/>
  <c r="L93" i="40" s="1"/>
  <c r="F93" i="40"/>
  <c r="S92" i="40"/>
  <c r="T92" i="40" s="1"/>
  <c r="N92" i="40"/>
  <c r="K92" i="40"/>
  <c r="L92" i="40" s="1"/>
  <c r="S91" i="40"/>
  <c r="T91" i="40" s="1"/>
  <c r="K91" i="40"/>
  <c r="L91" i="40" s="1"/>
  <c r="F91" i="40"/>
  <c r="S90" i="40"/>
  <c r="T90" i="40" s="1"/>
  <c r="L90" i="40"/>
  <c r="K90" i="40"/>
  <c r="F90" i="40"/>
  <c r="S89" i="40"/>
  <c r="T89" i="40" s="1"/>
  <c r="K89" i="40"/>
  <c r="L89" i="40" s="1"/>
  <c r="F89" i="40"/>
  <c r="S88" i="40"/>
  <c r="T88" i="40" s="1"/>
  <c r="N88" i="40"/>
  <c r="K88" i="40"/>
  <c r="L88" i="40" s="1"/>
  <c r="S87" i="40"/>
  <c r="T87" i="40" s="1"/>
  <c r="N87" i="40"/>
  <c r="N9" i="40" s="1"/>
  <c r="L87" i="40"/>
  <c r="K87" i="40"/>
  <c r="F87" i="40"/>
  <c r="S86" i="40"/>
  <c r="T86" i="40" s="1"/>
  <c r="K86" i="40"/>
  <c r="L86" i="40" s="1"/>
  <c r="F86" i="40"/>
  <c r="S85" i="40"/>
  <c r="T85" i="40" s="1"/>
  <c r="N85" i="40"/>
  <c r="K85" i="40"/>
  <c r="L85" i="40" s="1"/>
  <c r="S84" i="40"/>
  <c r="T84" i="40" s="1"/>
  <c r="K84" i="40"/>
  <c r="L84" i="40" s="1"/>
  <c r="F84" i="40"/>
  <c r="S83" i="40"/>
  <c r="T83" i="40" s="1"/>
  <c r="N83" i="40"/>
  <c r="K83" i="40"/>
  <c r="L83" i="40" s="1"/>
  <c r="S82" i="40"/>
  <c r="T82" i="40" s="1"/>
  <c r="N82" i="40"/>
  <c r="K82" i="40"/>
  <c r="L82" i="40" s="1"/>
  <c r="F82" i="40"/>
  <c r="S81" i="40"/>
  <c r="T81" i="40" s="1"/>
  <c r="K81" i="40"/>
  <c r="L81" i="40" s="1"/>
  <c r="F81" i="40"/>
  <c r="S80" i="40"/>
  <c r="T80" i="40" s="1"/>
  <c r="N80" i="40"/>
  <c r="K80" i="40"/>
  <c r="L80" i="40" s="1"/>
  <c r="S79" i="40"/>
  <c r="T79" i="40" s="1"/>
  <c r="N79" i="40"/>
  <c r="K79" i="40"/>
  <c r="L79" i="40" s="1"/>
  <c r="F79" i="40"/>
  <c r="S78" i="40"/>
  <c r="T78" i="40" s="1"/>
  <c r="K78" i="40"/>
  <c r="L78" i="40" s="1"/>
  <c r="F78" i="40"/>
  <c r="S77" i="40"/>
  <c r="T77" i="40" s="1"/>
  <c r="N77" i="40"/>
  <c r="K77" i="40"/>
  <c r="L77" i="40" s="1"/>
  <c r="S76" i="40"/>
  <c r="T76" i="40" s="1"/>
  <c r="K76" i="40"/>
  <c r="L76" i="40" s="1"/>
  <c r="F76" i="40"/>
  <c r="T75" i="40"/>
  <c r="S75" i="40"/>
  <c r="N75" i="40"/>
  <c r="K75" i="40"/>
  <c r="L75" i="40" s="1"/>
  <c r="S74" i="40"/>
  <c r="T74" i="40" s="1"/>
  <c r="N74" i="40"/>
  <c r="K74" i="40"/>
  <c r="L74" i="40" s="1"/>
  <c r="F74" i="40"/>
  <c r="S73" i="40"/>
  <c r="T73" i="40" s="1"/>
  <c r="K73" i="40"/>
  <c r="L73" i="40" s="1"/>
  <c r="F73" i="40"/>
  <c r="T72" i="40"/>
  <c r="S72" i="40"/>
  <c r="N72" i="40"/>
  <c r="K72" i="40"/>
  <c r="L72" i="40" s="1"/>
  <c r="S71" i="40"/>
  <c r="T71" i="40" s="1"/>
  <c r="K71" i="40"/>
  <c r="L71" i="40" s="1"/>
  <c r="F71" i="40"/>
  <c r="S70" i="40"/>
  <c r="T70" i="40" s="1"/>
  <c r="N70" i="40"/>
  <c r="K70" i="40"/>
  <c r="L70" i="40" s="1"/>
  <c r="S69" i="40"/>
  <c r="T69" i="40" s="1"/>
  <c r="K69" i="40"/>
  <c r="L69" i="40" s="1"/>
  <c r="F69" i="40"/>
  <c r="S68" i="40"/>
  <c r="T68" i="40" s="1"/>
  <c r="N68" i="40"/>
  <c r="K68" i="40"/>
  <c r="L68" i="40" s="1"/>
  <c r="S67" i="40"/>
  <c r="T67" i="40" s="1"/>
  <c r="K67" i="40"/>
  <c r="L67" i="40" s="1"/>
  <c r="F67" i="40"/>
  <c r="S66" i="40"/>
  <c r="T66" i="40" s="1"/>
  <c r="N66" i="40"/>
  <c r="K66" i="40"/>
  <c r="L66" i="40" s="1"/>
  <c r="S65" i="40"/>
  <c r="T65" i="40" s="1"/>
  <c r="N65" i="40"/>
  <c r="K65" i="40"/>
  <c r="L65" i="40" s="1"/>
  <c r="F65" i="40"/>
  <c r="S64" i="40"/>
  <c r="T64" i="40" s="1"/>
  <c r="K64" i="40"/>
  <c r="L64" i="40" s="1"/>
  <c r="F64" i="40"/>
  <c r="S63" i="40"/>
  <c r="T63" i="40" s="1"/>
  <c r="N63" i="40"/>
  <c r="K63" i="40"/>
  <c r="L63" i="40" s="1"/>
  <c r="S62" i="40"/>
  <c r="N62" i="40"/>
  <c r="K62" i="40"/>
  <c r="K9" i="40" s="1"/>
  <c r="F10" i="3" s="1"/>
  <c r="F62" i="40"/>
  <c r="S61" i="40"/>
  <c r="T61" i="40" s="1"/>
  <c r="K61" i="40"/>
  <c r="L61" i="40" s="1"/>
  <c r="F61" i="40"/>
  <c r="S60" i="40"/>
  <c r="T60" i="40" s="1"/>
  <c r="N60" i="40"/>
  <c r="K60" i="40"/>
  <c r="L60" i="40" s="1"/>
  <c r="S59" i="40"/>
  <c r="T59" i="40" s="1"/>
  <c r="K59" i="40"/>
  <c r="L59" i="40" s="1"/>
  <c r="F59" i="40"/>
  <c r="T58" i="40"/>
  <c r="S58" i="40"/>
  <c r="N58" i="40"/>
  <c r="K58" i="40"/>
  <c r="L58" i="40" s="1"/>
  <c r="S57" i="40"/>
  <c r="T57" i="40" s="1"/>
  <c r="N57" i="40"/>
  <c r="K57" i="40"/>
  <c r="L57" i="40" s="1"/>
  <c r="T56" i="40"/>
  <c r="S56" i="40"/>
  <c r="N56" i="40"/>
  <c r="K56" i="40"/>
  <c r="L56" i="40" s="1"/>
  <c r="S55" i="40"/>
  <c r="T55" i="40" s="1"/>
  <c r="K55" i="40"/>
  <c r="L55" i="40" s="1"/>
  <c r="F55" i="40"/>
  <c r="S54" i="40"/>
  <c r="T54" i="40" s="1"/>
  <c r="N54" i="40"/>
  <c r="K54" i="40"/>
  <c r="L54" i="40" s="1"/>
  <c r="S53" i="40"/>
  <c r="T53" i="40" s="1"/>
  <c r="K53" i="40"/>
  <c r="L53" i="40" s="1"/>
  <c r="F53" i="40"/>
  <c r="S52" i="40"/>
  <c r="T52" i="40" s="1"/>
  <c r="N52" i="40"/>
  <c r="K52" i="40"/>
  <c r="L52" i="40" s="1"/>
  <c r="S51" i="40"/>
  <c r="T51" i="40" s="1"/>
  <c r="K51" i="40"/>
  <c r="L51" i="40" s="1"/>
  <c r="F51" i="40"/>
  <c r="S50" i="40"/>
  <c r="T50" i="40" s="1"/>
  <c r="N50" i="40"/>
  <c r="K50" i="40"/>
  <c r="L50" i="40" s="1"/>
  <c r="S49" i="40"/>
  <c r="T49" i="40" s="1"/>
  <c r="K49" i="40"/>
  <c r="L49" i="40" s="1"/>
  <c r="F49" i="40"/>
  <c r="T48" i="40"/>
  <c r="S48" i="40"/>
  <c r="N48" i="40"/>
  <c r="K48" i="40"/>
  <c r="L48" i="40" s="1"/>
  <c r="S47" i="40"/>
  <c r="T47" i="40" s="1"/>
  <c r="K47" i="40"/>
  <c r="L47" i="40" s="1"/>
  <c r="F47" i="40"/>
  <c r="S46" i="40"/>
  <c r="T46" i="40" s="1"/>
  <c r="N46" i="40"/>
  <c r="K46" i="40"/>
  <c r="L46" i="40" s="1"/>
  <c r="S45" i="40"/>
  <c r="T45" i="40" s="1"/>
  <c r="K45" i="40"/>
  <c r="L45" i="40" s="1"/>
  <c r="F45" i="40"/>
  <c r="S44" i="40"/>
  <c r="T44" i="40" s="1"/>
  <c r="N44" i="40"/>
  <c r="K44" i="40"/>
  <c r="L44" i="40" s="1"/>
  <c r="S43" i="40"/>
  <c r="T43" i="40" s="1"/>
  <c r="K43" i="40"/>
  <c r="L43" i="40" s="1"/>
  <c r="F43" i="40"/>
  <c r="S42" i="40"/>
  <c r="T42" i="40" s="1"/>
  <c r="N42" i="40"/>
  <c r="K42" i="40"/>
  <c r="L42" i="40" s="1"/>
  <c r="S41" i="40"/>
  <c r="T41" i="40" s="1"/>
  <c r="K41" i="40"/>
  <c r="L41" i="40" s="1"/>
  <c r="F41" i="40"/>
  <c r="T40" i="40"/>
  <c r="S40" i="40"/>
  <c r="N40" i="40"/>
  <c r="K40" i="40"/>
  <c r="L40" i="40" s="1"/>
  <c r="S39" i="40"/>
  <c r="T39" i="40" s="1"/>
  <c r="K39" i="40"/>
  <c r="L39" i="40" s="1"/>
  <c r="F39" i="40"/>
  <c r="S38" i="40"/>
  <c r="T38" i="40" s="1"/>
  <c r="N38" i="40"/>
  <c r="K38" i="40"/>
  <c r="L38" i="40" s="1"/>
  <c r="S37" i="40"/>
  <c r="T37" i="40" s="1"/>
  <c r="K37" i="40"/>
  <c r="L37" i="40" s="1"/>
  <c r="F37" i="40"/>
  <c r="S36" i="40"/>
  <c r="T36" i="40" s="1"/>
  <c r="N36" i="40"/>
  <c r="K36" i="40"/>
  <c r="L36" i="40" s="1"/>
  <c r="S35" i="40"/>
  <c r="T35" i="40" s="1"/>
  <c r="K35" i="40"/>
  <c r="L35" i="40" s="1"/>
  <c r="F35" i="40"/>
  <c r="S34" i="40"/>
  <c r="T34" i="40" s="1"/>
  <c r="N34" i="40"/>
  <c r="K34" i="40"/>
  <c r="L34" i="40" s="1"/>
  <c r="S33" i="40"/>
  <c r="T33" i="40" s="1"/>
  <c r="K33" i="40"/>
  <c r="L33" i="40" s="1"/>
  <c r="F33" i="40"/>
  <c r="T32" i="40"/>
  <c r="S32" i="40"/>
  <c r="N32" i="40"/>
  <c r="K32" i="40"/>
  <c r="L32" i="40" s="1"/>
  <c r="S31" i="40"/>
  <c r="T31" i="40" s="1"/>
  <c r="K31" i="40"/>
  <c r="L31" i="40" s="1"/>
  <c r="F31" i="40"/>
  <c r="S30" i="40"/>
  <c r="T30" i="40" s="1"/>
  <c r="N30" i="40"/>
  <c r="K30" i="40"/>
  <c r="L30" i="40" s="1"/>
  <c r="S29" i="40"/>
  <c r="T29" i="40" s="1"/>
  <c r="K29" i="40"/>
  <c r="L29" i="40" s="1"/>
  <c r="F29" i="40"/>
  <c r="S28" i="40"/>
  <c r="T28" i="40" s="1"/>
  <c r="N28" i="40"/>
  <c r="K28" i="40"/>
  <c r="L28" i="40" s="1"/>
  <c r="S27" i="40"/>
  <c r="T27" i="40" s="1"/>
  <c r="K27" i="40"/>
  <c r="L27" i="40" s="1"/>
  <c r="F27" i="40"/>
  <c r="S26" i="40"/>
  <c r="T26" i="40" s="1"/>
  <c r="N26" i="40"/>
  <c r="K26" i="40"/>
  <c r="L26" i="40" s="1"/>
  <c r="S25" i="40"/>
  <c r="T25" i="40" s="1"/>
  <c r="K25" i="40"/>
  <c r="L25" i="40" s="1"/>
  <c r="F25" i="40"/>
  <c r="T24" i="40"/>
  <c r="S24" i="40"/>
  <c r="N24" i="40"/>
  <c r="K24" i="40"/>
  <c r="L24" i="40" s="1"/>
  <c r="S23" i="40"/>
  <c r="T23" i="40" s="1"/>
  <c r="K23" i="40"/>
  <c r="L23" i="40" s="1"/>
  <c r="F23" i="40"/>
  <c r="S22" i="40"/>
  <c r="T22" i="40" s="1"/>
  <c r="N22" i="40"/>
  <c r="K22" i="40"/>
  <c r="L22" i="40" s="1"/>
  <c r="S21" i="40"/>
  <c r="T21" i="40" s="1"/>
  <c r="K21" i="40"/>
  <c r="L21" i="40" s="1"/>
  <c r="F21" i="40"/>
  <c r="S20" i="40"/>
  <c r="T20" i="40" s="1"/>
  <c r="N20" i="40"/>
  <c r="K20" i="40"/>
  <c r="L20" i="40" s="1"/>
  <c r="S19" i="40"/>
  <c r="T19" i="40" s="1"/>
  <c r="K19" i="40"/>
  <c r="L19" i="40" s="1"/>
  <c r="F19" i="40"/>
  <c r="S18" i="40"/>
  <c r="T18" i="40" s="1"/>
  <c r="N18" i="40"/>
  <c r="K18" i="40"/>
  <c r="L18" i="40" s="1"/>
  <c r="S17" i="40"/>
  <c r="T17" i="40" s="1"/>
  <c r="K17" i="40"/>
  <c r="L17" i="40" s="1"/>
  <c r="F17" i="40"/>
  <c r="T16" i="40"/>
  <c r="S16" i="40"/>
  <c r="N16" i="40"/>
  <c r="K16" i="40"/>
  <c r="L16" i="40" s="1"/>
  <c r="S15" i="40"/>
  <c r="T15" i="40" s="1"/>
  <c r="K15" i="40"/>
  <c r="L15" i="40" s="1"/>
  <c r="F15" i="40"/>
  <c r="S14" i="40"/>
  <c r="T14" i="40" s="1"/>
  <c r="N14" i="40"/>
  <c r="K14" i="40"/>
  <c r="L14" i="40" s="1"/>
  <c r="S13" i="40"/>
  <c r="T13" i="40" s="1"/>
  <c r="K13" i="40"/>
  <c r="L13" i="40" s="1"/>
  <c r="F13" i="40"/>
  <c r="S12" i="40"/>
  <c r="T12" i="40" s="1"/>
  <c r="N12" i="40"/>
  <c r="K12" i="40"/>
  <c r="L12" i="40" s="1"/>
  <c r="S11" i="40"/>
  <c r="T11" i="40" s="1"/>
  <c r="K11" i="40"/>
  <c r="L11" i="40" s="1"/>
  <c r="F11" i="40"/>
  <c r="S10" i="40"/>
  <c r="T10" i="40" s="1"/>
  <c r="N10" i="40"/>
  <c r="K10" i="40"/>
  <c r="L10" i="40" s="1"/>
  <c r="R9" i="40"/>
  <c r="K10" i="3" s="1"/>
  <c r="M9" i="40"/>
  <c r="J9" i="40"/>
  <c r="E10" i="3" s="1"/>
  <c r="E9" i="40"/>
  <c r="G95" i="41" l="1"/>
  <c r="L62" i="40"/>
  <c r="L131" i="41"/>
  <c r="L130" i="41" s="1"/>
  <c r="M132" i="41"/>
  <c r="M131" i="41" s="1"/>
  <c r="M130" i="41" s="1"/>
  <c r="L51" i="41"/>
  <c r="M52" i="41"/>
  <c r="M51" i="41" s="1"/>
  <c r="K37" i="41"/>
  <c r="L38" i="41"/>
  <c r="M38" i="41" s="1"/>
  <c r="F9" i="40"/>
  <c r="S9" i="40"/>
  <c r="L10" i="3" s="1"/>
  <c r="F65" i="41"/>
  <c r="L440" i="41"/>
  <c r="L439" i="41" s="1"/>
  <c r="K18" i="41"/>
  <c r="G82" i="41"/>
  <c r="H118" i="41"/>
  <c r="M77" i="41"/>
  <c r="M76" i="41" s="1"/>
  <c r="M80" i="41"/>
  <c r="M79" i="41" s="1"/>
  <c r="M78" i="41" s="1"/>
  <c r="L44" i="41"/>
  <c r="G64" i="41"/>
  <c r="G63" i="41" s="1"/>
  <c r="G62" i="41" s="1"/>
  <c r="F47" i="41"/>
  <c r="M386" i="41"/>
  <c r="M385" i="41" s="1"/>
  <c r="M384" i="41" s="1"/>
  <c r="L65" i="41"/>
  <c r="H81" i="41"/>
  <c r="K47" i="41"/>
  <c r="K44" i="41" s="1"/>
  <c r="L306" i="41"/>
  <c r="M437" i="41"/>
  <c r="M436" i="41" s="1"/>
  <c r="M435" i="41" s="1"/>
  <c r="L388" i="41"/>
  <c r="L387" i="41" s="1"/>
  <c r="L125" i="41"/>
  <c r="M120" i="41"/>
  <c r="M119" i="41" s="1"/>
  <c r="M61" i="41"/>
  <c r="M60" i="41" s="1"/>
  <c r="M19" i="41"/>
  <c r="M388" i="41"/>
  <c r="M387" i="41" s="1"/>
  <c r="M204" i="41"/>
  <c r="F392" i="41"/>
  <c r="G392" i="41" s="1"/>
  <c r="G388" i="41" s="1"/>
  <c r="G387" i="41" s="1"/>
  <c r="L239" i="41"/>
  <c r="L204" i="41"/>
  <c r="L138" i="41"/>
  <c r="L137" i="41" s="1"/>
  <c r="G125" i="41"/>
  <c r="G68" i="41"/>
  <c r="G65" i="41" s="1"/>
  <c r="M82" i="41"/>
  <c r="L58" i="41"/>
  <c r="L57" i="41" s="1"/>
  <c r="L56" i="41" s="1"/>
  <c r="K57" i="41"/>
  <c r="K56" i="41" s="1"/>
  <c r="M14" i="41"/>
  <c r="M13" i="41" s="1"/>
  <c r="F204" i="41"/>
  <c r="M37" i="41"/>
  <c r="G306" i="41"/>
  <c r="E388" i="41"/>
  <c r="E387" i="41" s="1"/>
  <c r="M307" i="41"/>
  <c r="M306" i="41" s="1"/>
  <c r="K203" i="41"/>
  <c r="M240" i="41"/>
  <c r="M239" i="41" s="1"/>
  <c r="E118" i="41"/>
  <c r="M141" i="41"/>
  <c r="M138" i="41" s="1"/>
  <c r="M137" i="41" s="1"/>
  <c r="M125" i="41"/>
  <c r="M118" i="41" s="1"/>
  <c r="L95" i="41"/>
  <c r="L110" i="41"/>
  <c r="G111" i="41"/>
  <c r="G110" i="41" s="1"/>
  <c r="F138" i="41"/>
  <c r="F137" i="41" s="1"/>
  <c r="F55" i="41"/>
  <c r="F54" i="41" s="1"/>
  <c r="E54" i="41"/>
  <c r="G46" i="41"/>
  <c r="G45" i="41" s="1"/>
  <c r="L448" i="41"/>
  <c r="L447" i="41" s="1"/>
  <c r="L317" i="41"/>
  <c r="G204" i="41"/>
  <c r="F119" i="41"/>
  <c r="G120" i="41"/>
  <c r="G119" i="41" s="1"/>
  <c r="G118" i="41" s="1"/>
  <c r="F239" i="41"/>
  <c r="G138" i="41"/>
  <c r="G137" i="41" s="1"/>
  <c r="M95" i="41"/>
  <c r="M110" i="41"/>
  <c r="E65" i="41"/>
  <c r="H9" i="41"/>
  <c r="E81" i="41"/>
  <c r="F52" i="41"/>
  <c r="F51" i="41" s="1"/>
  <c r="F44" i="41" s="1"/>
  <c r="E51" i="41"/>
  <c r="E44" i="41" s="1"/>
  <c r="L14" i="41"/>
  <c r="L13" i="41" s="1"/>
  <c r="M69" i="41"/>
  <c r="M68" i="41" s="1"/>
  <c r="M65" i="41" s="1"/>
  <c r="M449" i="41"/>
  <c r="M448" i="41" s="1"/>
  <c r="M447" i="41" s="1"/>
  <c r="F442" i="41"/>
  <c r="F440" i="41" s="1"/>
  <c r="F439" i="41" s="1"/>
  <c r="F388" i="41"/>
  <c r="F387" i="41" s="1"/>
  <c r="M441" i="41"/>
  <c r="M440" i="41" s="1"/>
  <c r="M439" i="41" s="1"/>
  <c r="F452" i="41"/>
  <c r="F448" i="41" s="1"/>
  <c r="F447" i="41" s="1"/>
  <c r="F317" i="41"/>
  <c r="G318" i="41"/>
  <c r="G317" i="41" s="1"/>
  <c r="M318" i="41"/>
  <c r="M317" i="41" s="1"/>
  <c r="F306" i="41"/>
  <c r="B203" i="41"/>
  <c r="E203" i="41"/>
  <c r="G240" i="41"/>
  <c r="G239" i="41" s="1"/>
  <c r="L118" i="41"/>
  <c r="M136" i="41"/>
  <c r="M134" i="41" s="1"/>
  <c r="M133" i="41" s="1"/>
  <c r="F125" i="41"/>
  <c r="K118" i="41"/>
  <c r="B9" i="41"/>
  <c r="K65" i="41"/>
  <c r="F95" i="41"/>
  <c r="M46" i="41"/>
  <c r="M45" i="41" s="1"/>
  <c r="M202" i="41"/>
  <c r="M201" i="41" s="1"/>
  <c r="M200" i="41" s="1"/>
  <c r="L117" i="41"/>
  <c r="L114" i="41" s="1"/>
  <c r="K114" i="41"/>
  <c r="K81" i="41" s="1"/>
  <c r="F82" i="41"/>
  <c r="M47" i="41"/>
  <c r="L37" i="41"/>
  <c r="L32" i="41"/>
  <c r="L19" i="41"/>
  <c r="L82" i="41"/>
  <c r="G49" i="41"/>
  <c r="G47" i="41" s="1"/>
  <c r="G12" i="41"/>
  <c r="G11" i="41" s="1"/>
  <c r="G10" i="41" s="1"/>
  <c r="G61" i="41"/>
  <c r="G60" i="41" s="1"/>
  <c r="G56" i="41" s="1"/>
  <c r="M33" i="41"/>
  <c r="M32" i="41" s="1"/>
  <c r="L9" i="40"/>
  <c r="G10" i="3" s="1"/>
  <c r="T62" i="40"/>
  <c r="T9" i="40" s="1"/>
  <c r="M10" i="3" s="1"/>
  <c r="H171" i="37"/>
  <c r="H142" i="37"/>
  <c r="H49" i="37"/>
  <c r="H10" i="37"/>
  <c r="I10" i="37"/>
  <c r="I9" i="37" s="1"/>
  <c r="L10" i="37"/>
  <c r="L9" i="37"/>
  <c r="H168" i="23"/>
  <c r="H164" i="23"/>
  <c r="H156" i="23"/>
  <c r="H152" i="23"/>
  <c r="I152" i="23"/>
  <c r="J152" i="23"/>
  <c r="H150" i="23"/>
  <c r="H145" i="23"/>
  <c r="H133" i="23"/>
  <c r="H124" i="23"/>
  <c r="H123" i="23" s="1"/>
  <c r="H115" i="23"/>
  <c r="H110" i="23"/>
  <c r="H93" i="23"/>
  <c r="H80" i="23"/>
  <c r="H81" i="23"/>
  <c r="H73" i="23"/>
  <c r="H70" i="23"/>
  <c r="H54" i="23"/>
  <c r="H39" i="23" s="1"/>
  <c r="H40" i="23"/>
  <c r="H14" i="23"/>
  <c r="H13" i="23" s="1"/>
  <c r="I14" i="23"/>
  <c r="I13" i="23" s="1"/>
  <c r="J14" i="23"/>
  <c r="J13" i="23"/>
  <c r="H43" i="21"/>
  <c r="H34" i="21"/>
  <c r="H10" i="18"/>
  <c r="H9" i="18" s="1"/>
  <c r="I10" i="18"/>
  <c r="I9" i="18" s="1"/>
  <c r="J10" i="18"/>
  <c r="J9" i="18"/>
  <c r="H35" i="17"/>
  <c r="H80" i="17"/>
  <c r="H77" i="17"/>
  <c r="H76" i="17"/>
  <c r="H9" i="17" s="1"/>
  <c r="H24" i="3" s="1"/>
  <c r="H66" i="17"/>
  <c r="H10" i="17"/>
  <c r="I10" i="17"/>
  <c r="J10" i="17"/>
  <c r="J9" i="17" s="1"/>
  <c r="I9" i="17"/>
  <c r="H23" i="14"/>
  <c r="H10" i="14"/>
  <c r="H9" i="14" s="1"/>
  <c r="I10" i="26"/>
  <c r="I9" i="26" s="1"/>
  <c r="J10" i="26"/>
  <c r="J9" i="26" s="1"/>
  <c r="H48" i="13"/>
  <c r="I44" i="13"/>
  <c r="J44" i="13"/>
  <c r="H44" i="13"/>
  <c r="H35" i="13"/>
  <c r="H27" i="13"/>
  <c r="H19" i="13"/>
  <c r="H11" i="13"/>
  <c r="H43" i="24"/>
  <c r="H40" i="24"/>
  <c r="H30" i="24"/>
  <c r="H11" i="24"/>
  <c r="I10" i="25"/>
  <c r="I9" i="25" s="1"/>
  <c r="J10" i="25"/>
  <c r="J9" i="25"/>
  <c r="H50" i="27"/>
  <c r="H46" i="27" s="1"/>
  <c r="H36" i="27"/>
  <c r="H28" i="27"/>
  <c r="H11" i="27"/>
  <c r="H345" i="31"/>
  <c r="H333" i="31"/>
  <c r="H328" i="31"/>
  <c r="H307" i="31"/>
  <c r="H290" i="31"/>
  <c r="H284" i="31"/>
  <c r="H161" i="31"/>
  <c r="H101" i="31"/>
  <c r="H74" i="31"/>
  <c r="C9" i="39"/>
  <c r="D9" i="39"/>
  <c r="E9" i="39"/>
  <c r="E11" i="28"/>
  <c r="E10" i="28" s="1"/>
  <c r="E20" i="3" s="1"/>
  <c r="F11" i="28"/>
  <c r="F10" i="28" s="1"/>
  <c r="F20" i="3" s="1"/>
  <c r="G11" i="28"/>
  <c r="G10" i="28" s="1"/>
  <c r="G20" i="3" s="1"/>
  <c r="B11" i="28"/>
  <c r="B10" i="28" s="1"/>
  <c r="J12" i="23" l="1"/>
  <c r="I12" i="23"/>
  <c r="M44" i="41"/>
  <c r="G81" i="41"/>
  <c r="H9" i="37"/>
  <c r="H31" i="3" s="1"/>
  <c r="H10" i="13"/>
  <c r="L18" i="41"/>
  <c r="F81" i="41"/>
  <c r="F118" i="41"/>
  <c r="G55" i="41"/>
  <c r="G54" i="41" s="1"/>
  <c r="L81" i="41"/>
  <c r="M117" i="41"/>
  <c r="M114" i="41" s="1"/>
  <c r="M81" i="41" s="1"/>
  <c r="K9" i="41"/>
  <c r="K11" i="3" s="1"/>
  <c r="E9" i="41"/>
  <c r="E11" i="3" s="1"/>
  <c r="M58" i="41"/>
  <c r="M57" i="41" s="1"/>
  <c r="M56" i="41" s="1"/>
  <c r="F203" i="41"/>
  <c r="G203" i="41"/>
  <c r="L203" i="41"/>
  <c r="L9" i="41" s="1"/>
  <c r="L11" i="3" s="1"/>
  <c r="M203" i="41"/>
  <c r="G52" i="41"/>
  <c r="G51" i="41" s="1"/>
  <c r="G44" i="41" s="1"/>
  <c r="G452" i="41"/>
  <c r="G448" i="41" s="1"/>
  <c r="G447" i="41" s="1"/>
  <c r="G442" i="41"/>
  <c r="G440" i="41" s="1"/>
  <c r="G439" i="41" s="1"/>
  <c r="M18" i="41"/>
  <c r="H12" i="23"/>
  <c r="H29" i="3" s="1"/>
  <c r="H9" i="13"/>
  <c r="H10" i="27"/>
  <c r="H147" i="39"/>
  <c r="F147" i="39"/>
  <c r="G147" i="39"/>
  <c r="F186" i="39"/>
  <c r="G186" i="39"/>
  <c r="H186" i="39"/>
  <c r="F193" i="39"/>
  <c r="G193" i="39"/>
  <c r="H193" i="39"/>
  <c r="B193" i="39"/>
  <c r="L221" i="39"/>
  <c r="I218" i="39"/>
  <c r="L218" i="39" s="1"/>
  <c r="I217" i="39"/>
  <c r="L217" i="39" s="1"/>
  <c r="M217" i="39" s="1"/>
  <c r="I216" i="39"/>
  <c r="L216" i="39" s="1"/>
  <c r="I215" i="39"/>
  <c r="L215" i="39" s="1"/>
  <c r="M215" i="39" s="1"/>
  <c r="I214" i="39"/>
  <c r="L214" i="39" s="1"/>
  <c r="I213" i="39"/>
  <c r="L213" i="39" s="1"/>
  <c r="M213" i="39" s="1"/>
  <c r="L212" i="39"/>
  <c r="M212" i="39" s="1"/>
  <c r="N212" i="39" s="1"/>
  <c r="I209" i="39"/>
  <c r="L209" i="39" s="1"/>
  <c r="M209" i="39" s="1"/>
  <c r="I208" i="39"/>
  <c r="L208" i="39" s="1"/>
  <c r="I207" i="39"/>
  <c r="L207" i="39" s="1"/>
  <c r="M207" i="39" s="1"/>
  <c r="I206" i="39"/>
  <c r="L206" i="39" s="1"/>
  <c r="I205" i="39"/>
  <c r="L205" i="39" s="1"/>
  <c r="M205" i="39" s="1"/>
  <c r="I204" i="39"/>
  <c r="L204" i="39" s="1"/>
  <c r="I203" i="39"/>
  <c r="L203" i="39" s="1"/>
  <c r="M203" i="39" s="1"/>
  <c r="I202" i="39"/>
  <c r="L202" i="39" s="1"/>
  <c r="I201" i="39"/>
  <c r="L201" i="39" s="1"/>
  <c r="M201" i="39" s="1"/>
  <c r="I200" i="39"/>
  <c r="L200" i="39" s="1"/>
  <c r="M199" i="39"/>
  <c r="L199" i="39"/>
  <c r="L197" i="39"/>
  <c r="L196" i="39"/>
  <c r="M196" i="39" s="1"/>
  <c r="N196" i="39" s="1"/>
  <c r="L195" i="39"/>
  <c r="M195" i="39" s="1"/>
  <c r="N195" i="39" s="1"/>
  <c r="L191" i="39"/>
  <c r="M191" i="39" s="1"/>
  <c r="L190" i="39"/>
  <c r="L189" i="39"/>
  <c r="M189" i="39" s="1"/>
  <c r="N189" i="39" s="1"/>
  <c r="L188" i="39"/>
  <c r="M188" i="39" s="1"/>
  <c r="N188" i="39" s="1"/>
  <c r="I186" i="39"/>
  <c r="L184" i="39"/>
  <c r="M184" i="39" s="1"/>
  <c r="I182" i="39"/>
  <c r="L182" i="39" s="1"/>
  <c r="I181" i="39"/>
  <c r="L181" i="39" s="1"/>
  <c r="I180" i="39"/>
  <c r="L180" i="39" s="1"/>
  <c r="I179" i="39"/>
  <c r="L179" i="39" s="1"/>
  <c r="I178" i="39"/>
  <c r="L178" i="39" s="1"/>
  <c r="L177" i="39"/>
  <c r="I177" i="39"/>
  <c r="I176" i="39"/>
  <c r="L176" i="39" s="1"/>
  <c r="I175" i="39"/>
  <c r="L175" i="39" s="1"/>
  <c r="I174" i="39"/>
  <c r="L174" i="39" s="1"/>
  <c r="L173" i="39"/>
  <c r="I173" i="39"/>
  <c r="I172" i="39"/>
  <c r="L172" i="39" s="1"/>
  <c r="L171" i="39"/>
  <c r="I171" i="39"/>
  <c r="I169" i="39"/>
  <c r="L169" i="39" s="1"/>
  <c r="L168" i="39"/>
  <c r="I168" i="39"/>
  <c r="I167" i="39"/>
  <c r="L167" i="39" s="1"/>
  <c r="I166" i="39"/>
  <c r="L166" i="39" s="1"/>
  <c r="I165" i="39"/>
  <c r="L165" i="39" s="1"/>
  <c r="L164" i="39"/>
  <c r="I164" i="39"/>
  <c r="I163" i="39"/>
  <c r="L163" i="39" s="1"/>
  <c r="L162" i="39"/>
  <c r="I162" i="39"/>
  <c r="I161" i="39"/>
  <c r="L161" i="39" s="1"/>
  <c r="L160" i="39"/>
  <c r="I160" i="39"/>
  <c r="I159" i="39"/>
  <c r="L159" i="39" s="1"/>
  <c r="I158" i="39"/>
  <c r="L158" i="39" s="1"/>
  <c r="I157" i="39"/>
  <c r="L157" i="39" s="1"/>
  <c r="L156" i="39"/>
  <c r="I156" i="39"/>
  <c r="I155" i="39"/>
  <c r="L155" i="39" s="1"/>
  <c r="L154" i="39"/>
  <c r="I154" i="39"/>
  <c r="I147" i="39" s="1"/>
  <c r="I153" i="39"/>
  <c r="L153" i="39" s="1"/>
  <c r="L152" i="39"/>
  <c r="L150" i="39"/>
  <c r="L149" i="39"/>
  <c r="M149" i="39" s="1"/>
  <c r="I142" i="39"/>
  <c r="L142" i="39" s="1"/>
  <c r="M142" i="39" s="1"/>
  <c r="I141" i="39"/>
  <c r="L141" i="39" s="1"/>
  <c r="I140" i="39"/>
  <c r="L140" i="39" s="1"/>
  <c r="M140" i="39" s="1"/>
  <c r="I139" i="39"/>
  <c r="L139" i="39" s="1"/>
  <c r="I138" i="39"/>
  <c r="L138" i="39" s="1"/>
  <c r="M138" i="39" s="1"/>
  <c r="I137" i="39"/>
  <c r="L137" i="39" s="1"/>
  <c r="M137" i="39" s="1"/>
  <c r="M136" i="39"/>
  <c r="I136" i="39"/>
  <c r="L136" i="39" s="1"/>
  <c r="I134" i="39"/>
  <c r="L134" i="39" s="1"/>
  <c r="I133" i="39"/>
  <c r="L133" i="39" s="1"/>
  <c r="M133" i="39" s="1"/>
  <c r="I132" i="39"/>
  <c r="L132" i="39" s="1"/>
  <c r="I131" i="39"/>
  <c r="L131" i="39" s="1"/>
  <c r="M131" i="39" s="1"/>
  <c r="I130" i="39"/>
  <c r="L130" i="39" s="1"/>
  <c r="M130" i="39" s="1"/>
  <c r="I129" i="39"/>
  <c r="L129" i="39" s="1"/>
  <c r="M129" i="39" s="1"/>
  <c r="I128" i="39"/>
  <c r="L128" i="39" s="1"/>
  <c r="L127" i="39"/>
  <c r="M127" i="39" s="1"/>
  <c r="L126" i="39"/>
  <c r="I126" i="39"/>
  <c r="I125" i="39"/>
  <c r="L125" i="39" s="1"/>
  <c r="L123" i="39"/>
  <c r="I122" i="39"/>
  <c r="L116" i="39"/>
  <c r="L115" i="39"/>
  <c r="M115" i="39" s="1"/>
  <c r="N115" i="39" s="1"/>
  <c r="L114" i="39"/>
  <c r="M114" i="39" s="1"/>
  <c r="L113" i="39"/>
  <c r="L112" i="39"/>
  <c r="L111" i="39"/>
  <c r="M111" i="39" s="1"/>
  <c r="L110" i="39"/>
  <c r="M110" i="39" s="1"/>
  <c r="L109" i="39"/>
  <c r="L108" i="39"/>
  <c r="L107" i="39"/>
  <c r="L106" i="39"/>
  <c r="L105" i="39"/>
  <c r="L104" i="39"/>
  <c r="L103" i="39"/>
  <c r="M103" i="39" s="1"/>
  <c r="N103" i="39" s="1"/>
  <c r="L102" i="39"/>
  <c r="M102" i="39" s="1"/>
  <c r="L101" i="39"/>
  <c r="L100" i="39"/>
  <c r="L99" i="39"/>
  <c r="M99" i="39" s="1"/>
  <c r="L98" i="39"/>
  <c r="L97" i="39"/>
  <c r="L96" i="39"/>
  <c r="L95" i="39"/>
  <c r="L94" i="39"/>
  <c r="L93" i="39"/>
  <c r="M93" i="39" s="1"/>
  <c r="I91" i="39"/>
  <c r="I89" i="39"/>
  <c r="L89" i="39" s="1"/>
  <c r="M89" i="39" s="1"/>
  <c r="I88" i="39"/>
  <c r="L88" i="39" s="1"/>
  <c r="I87" i="39"/>
  <c r="L87" i="39" s="1"/>
  <c r="M87" i="39" s="1"/>
  <c r="I86" i="39"/>
  <c r="L86" i="39" s="1"/>
  <c r="I85" i="39"/>
  <c r="L85" i="39" s="1"/>
  <c r="M85" i="39" s="1"/>
  <c r="I84" i="39"/>
  <c r="L84" i="39" s="1"/>
  <c r="L83" i="39"/>
  <c r="I81" i="39"/>
  <c r="L81" i="39" s="1"/>
  <c r="M81" i="39" s="1"/>
  <c r="I80" i="39"/>
  <c r="L80" i="39" s="1"/>
  <c r="M80" i="39" s="1"/>
  <c r="I79" i="39"/>
  <c r="L79" i="39" s="1"/>
  <c r="M79" i="39" s="1"/>
  <c r="I78" i="39"/>
  <c r="L78" i="39" s="1"/>
  <c r="M78" i="39" s="1"/>
  <c r="I77" i="39"/>
  <c r="L77" i="39" s="1"/>
  <c r="M77" i="39" s="1"/>
  <c r="I75" i="39"/>
  <c r="L75" i="39" s="1"/>
  <c r="M75" i="39" s="1"/>
  <c r="I74" i="39"/>
  <c r="L74" i="39" s="1"/>
  <c r="M74" i="39" s="1"/>
  <c r="I73" i="39"/>
  <c r="L73" i="39" s="1"/>
  <c r="M73" i="39" s="1"/>
  <c r="I72" i="39"/>
  <c r="L72" i="39" s="1"/>
  <c r="M72" i="39" s="1"/>
  <c r="I71" i="39"/>
  <c r="L71" i="39" s="1"/>
  <c r="M71" i="39" s="1"/>
  <c r="I70" i="39"/>
  <c r="L70" i="39" s="1"/>
  <c r="M70" i="39" s="1"/>
  <c r="I69" i="39"/>
  <c r="L69" i="39" s="1"/>
  <c r="M69" i="39" s="1"/>
  <c r="I66" i="39"/>
  <c r="L66" i="39" s="1"/>
  <c r="M66" i="39" s="1"/>
  <c r="I65" i="39"/>
  <c r="L65" i="39" s="1"/>
  <c r="M65" i="39" s="1"/>
  <c r="I64" i="39"/>
  <c r="L64" i="39" s="1"/>
  <c r="M64" i="39" s="1"/>
  <c r="I63" i="39"/>
  <c r="L63" i="39" s="1"/>
  <c r="M63" i="39" s="1"/>
  <c r="I62" i="39"/>
  <c r="L62" i="39" s="1"/>
  <c r="M62" i="39" s="1"/>
  <c r="I61" i="39"/>
  <c r="L61" i="39" s="1"/>
  <c r="M61" i="39" s="1"/>
  <c r="I60" i="39"/>
  <c r="L60" i="39" s="1"/>
  <c r="M60" i="39" s="1"/>
  <c r="I59" i="39"/>
  <c r="L59" i="39" s="1"/>
  <c r="M59" i="39" s="1"/>
  <c r="I58" i="39"/>
  <c r="L58" i="39" s="1"/>
  <c r="M58" i="39" s="1"/>
  <c r="I57" i="39"/>
  <c r="L57" i="39" s="1"/>
  <c r="M57" i="39" s="1"/>
  <c r="I56" i="39"/>
  <c r="L56" i="39" s="1"/>
  <c r="M56" i="39" s="1"/>
  <c r="I55" i="39"/>
  <c r="L55" i="39" s="1"/>
  <c r="M55" i="39" s="1"/>
  <c r="I54" i="39"/>
  <c r="L54" i="39" s="1"/>
  <c r="M54" i="39" s="1"/>
  <c r="I53" i="39"/>
  <c r="L53" i="39" s="1"/>
  <c r="M53" i="39" s="1"/>
  <c r="L52" i="39"/>
  <c r="M52" i="39" s="1"/>
  <c r="L51" i="39"/>
  <c r="L50" i="39"/>
  <c r="I49" i="39"/>
  <c r="L49" i="39" s="1"/>
  <c r="I48" i="39"/>
  <c r="L48" i="39" s="1"/>
  <c r="I47" i="39"/>
  <c r="L47" i="39" s="1"/>
  <c r="I46" i="39"/>
  <c r="L46" i="39" s="1"/>
  <c r="I45" i="39"/>
  <c r="L45" i="39" s="1"/>
  <c r="I44" i="39"/>
  <c r="L44" i="39" s="1"/>
  <c r="I43" i="39"/>
  <c r="L43" i="39" s="1"/>
  <c r="I42" i="39"/>
  <c r="L42" i="39" s="1"/>
  <c r="I41" i="39"/>
  <c r="L41" i="39" s="1"/>
  <c r="I39" i="39"/>
  <c r="L39" i="39" s="1"/>
  <c r="I38" i="39"/>
  <c r="L38" i="39" s="1"/>
  <c r="I37" i="39"/>
  <c r="L37" i="39" s="1"/>
  <c r="I36" i="39"/>
  <c r="L36" i="39" s="1"/>
  <c r="I35" i="39"/>
  <c r="L35" i="39" s="1"/>
  <c r="I34" i="39"/>
  <c r="L34" i="39" s="1"/>
  <c r="I32" i="39"/>
  <c r="L32" i="39" s="1"/>
  <c r="I31" i="39"/>
  <c r="L31" i="39" s="1"/>
  <c r="I30" i="39"/>
  <c r="L30" i="39" s="1"/>
  <c r="I29" i="39"/>
  <c r="L29" i="39" s="1"/>
  <c r="I28" i="39"/>
  <c r="L28" i="39" s="1"/>
  <c r="I27" i="39"/>
  <c r="L27" i="39" s="1"/>
  <c r="I26" i="39"/>
  <c r="L26" i="39" s="1"/>
  <c r="I25" i="39"/>
  <c r="L25" i="39" s="1"/>
  <c r="I24" i="39"/>
  <c r="L24" i="39" s="1"/>
  <c r="I23" i="39"/>
  <c r="L23" i="39" s="1"/>
  <c r="I22" i="39"/>
  <c r="L22" i="39" s="1"/>
  <c r="I21" i="39"/>
  <c r="L21" i="39" s="1"/>
  <c r="I20" i="39"/>
  <c r="L20" i="39" s="1"/>
  <c r="I19" i="39"/>
  <c r="L19" i="39" s="1"/>
  <c r="I18" i="39"/>
  <c r="L18" i="39" s="1"/>
  <c r="M18" i="39" s="1"/>
  <c r="I17" i="39"/>
  <c r="L17" i="39" s="1"/>
  <c r="I16" i="39"/>
  <c r="L16" i="39" s="1"/>
  <c r="I15" i="39"/>
  <c r="L15" i="39" s="1"/>
  <c r="I14" i="39"/>
  <c r="L14" i="39" s="1"/>
  <c r="L12" i="39"/>
  <c r="M9" i="41" l="1"/>
  <c r="M11" i="3" s="1"/>
  <c r="F9" i="41"/>
  <c r="F11" i="3" s="1"/>
  <c r="N111" i="39"/>
  <c r="G9" i="41"/>
  <c r="G11" i="3" s="1"/>
  <c r="N149" i="39"/>
  <c r="N52" i="39"/>
  <c r="N213" i="39"/>
  <c r="N93" i="39"/>
  <c r="N99" i="39"/>
  <c r="N110" i="39"/>
  <c r="I193" i="39"/>
  <c r="N217" i="39"/>
  <c r="L91" i="39"/>
  <c r="M98" i="39"/>
  <c r="N98" i="39" s="1"/>
  <c r="N184" i="39"/>
  <c r="N191" i="39"/>
  <c r="M200" i="39"/>
  <c r="N200" i="39" s="1"/>
  <c r="N215" i="39"/>
  <c r="M14" i="39"/>
  <c r="N14" i="39" s="1"/>
  <c r="M29" i="39"/>
  <c r="N29" i="39" s="1"/>
  <c r="M47" i="39"/>
  <c r="N47" i="39" s="1"/>
  <c r="M27" i="39"/>
  <c r="N27" i="39" s="1"/>
  <c r="M36" i="39"/>
  <c r="N36" i="39" s="1"/>
  <c r="M19" i="39"/>
  <c r="N19" i="39"/>
  <c r="M34" i="39"/>
  <c r="N34" i="39" s="1"/>
  <c r="M43" i="39"/>
  <c r="N43" i="39" s="1"/>
  <c r="M21" i="39"/>
  <c r="N21" i="39"/>
  <c r="M38" i="39"/>
  <c r="N38" i="39" s="1"/>
  <c r="M15" i="39"/>
  <c r="N15" i="39" s="1"/>
  <c r="M45" i="39"/>
  <c r="N45" i="39" s="1"/>
  <c r="M16" i="39"/>
  <c r="N16" i="39" s="1"/>
  <c r="M25" i="39"/>
  <c r="N25" i="39" s="1"/>
  <c r="M17" i="39"/>
  <c r="N17" i="39" s="1"/>
  <c r="M20" i="39"/>
  <c r="N20" i="39" s="1"/>
  <c r="M23" i="39"/>
  <c r="N23" i="39" s="1"/>
  <c r="N31" i="39"/>
  <c r="M31" i="39"/>
  <c r="M41" i="39"/>
  <c r="N41" i="39" s="1"/>
  <c r="M49" i="39"/>
  <c r="N49" i="39" s="1"/>
  <c r="M24" i="39"/>
  <c r="N24" i="39" s="1"/>
  <c r="N28" i="39"/>
  <c r="M28" i="39"/>
  <c r="M32" i="39"/>
  <c r="N32" i="39" s="1"/>
  <c r="M37" i="39"/>
  <c r="N37" i="39" s="1"/>
  <c r="M42" i="39"/>
  <c r="N42" i="39" s="1"/>
  <c r="M46" i="39"/>
  <c r="N46" i="39" s="1"/>
  <c r="M83" i="39"/>
  <c r="N83" i="39" s="1"/>
  <c r="L186" i="39"/>
  <c r="M190" i="39"/>
  <c r="M186" i="39" s="1"/>
  <c r="M214" i="39"/>
  <c r="N214" i="39"/>
  <c r="I10" i="39"/>
  <c r="N55" i="39"/>
  <c r="N59" i="39"/>
  <c r="N63" i="39"/>
  <c r="N69" i="39"/>
  <c r="N73" i="39"/>
  <c r="N75" i="39"/>
  <c r="N80" i="39"/>
  <c r="L193" i="39"/>
  <c r="M197" i="39"/>
  <c r="N197" i="39" s="1"/>
  <c r="M202" i="39"/>
  <c r="N202" i="39" s="1"/>
  <c r="L10" i="39"/>
  <c r="M12" i="39"/>
  <c r="M123" i="39"/>
  <c r="N123" i="39" s="1"/>
  <c r="M126" i="39"/>
  <c r="N126" i="39" s="1"/>
  <c r="M128" i="39"/>
  <c r="N128" i="39" s="1"/>
  <c r="M132" i="39"/>
  <c r="N132" i="39" s="1"/>
  <c r="M134" i="39"/>
  <c r="N134" i="39" s="1"/>
  <c r="M139" i="39"/>
  <c r="N139" i="39" s="1"/>
  <c r="M141" i="39"/>
  <c r="N141" i="39" s="1"/>
  <c r="M152" i="39"/>
  <c r="N152" i="39" s="1"/>
  <c r="M154" i="39"/>
  <c r="N154" i="39" s="1"/>
  <c r="M156" i="39"/>
  <c r="N156" i="39" s="1"/>
  <c r="M158" i="39"/>
  <c r="N158" i="39" s="1"/>
  <c r="M160" i="39"/>
  <c r="N160" i="39" s="1"/>
  <c r="M162" i="39"/>
  <c r="N162" i="39" s="1"/>
  <c r="M164" i="39"/>
  <c r="N164" i="39" s="1"/>
  <c r="M166" i="39"/>
  <c r="N166" i="39" s="1"/>
  <c r="N168" i="39"/>
  <c r="M168" i="39"/>
  <c r="M171" i="39"/>
  <c r="N171" i="39" s="1"/>
  <c r="M173" i="39"/>
  <c r="N173" i="39" s="1"/>
  <c r="M175" i="39"/>
  <c r="N175" i="39" s="1"/>
  <c r="N177" i="39"/>
  <c r="M177" i="39"/>
  <c r="M179" i="39"/>
  <c r="N179" i="39" s="1"/>
  <c r="M181" i="39"/>
  <c r="N181" i="39" s="1"/>
  <c r="M208" i="39"/>
  <c r="N208" i="39" s="1"/>
  <c r="M218" i="39"/>
  <c r="N218" i="39" s="1"/>
  <c r="M22" i="39"/>
  <c r="N22" i="39" s="1"/>
  <c r="N26" i="39"/>
  <c r="M26" i="39"/>
  <c r="M30" i="39"/>
  <c r="N30" i="39" s="1"/>
  <c r="M35" i="39"/>
  <c r="N35" i="39" s="1"/>
  <c r="M39" i="39"/>
  <c r="N39" i="39" s="1"/>
  <c r="N44" i="39"/>
  <c r="M44" i="39"/>
  <c r="M48" i="39"/>
  <c r="N48" i="39" s="1"/>
  <c r="M204" i="39"/>
  <c r="N204" i="39" s="1"/>
  <c r="N18" i="39"/>
  <c r="N53" i="39"/>
  <c r="N57" i="39"/>
  <c r="N61" i="39"/>
  <c r="N65" i="39"/>
  <c r="N71" i="39"/>
  <c r="N78" i="39"/>
  <c r="L122" i="39"/>
  <c r="I120" i="39"/>
  <c r="N130" i="39"/>
  <c r="N137" i="39"/>
  <c r="N54" i="39"/>
  <c r="N56" i="39"/>
  <c r="N58" i="39"/>
  <c r="N60" i="39"/>
  <c r="N62" i="39"/>
  <c r="N64" i="39"/>
  <c r="N66" i="39"/>
  <c r="N70" i="39"/>
  <c r="N72" i="39"/>
  <c r="N74" i="39"/>
  <c r="N77" i="39"/>
  <c r="N79" i="39"/>
  <c r="N81" i="39"/>
  <c r="M84" i="39"/>
  <c r="N84" i="39" s="1"/>
  <c r="M86" i="39"/>
  <c r="N86" i="39" s="1"/>
  <c r="M88" i="39"/>
  <c r="N88" i="39" s="1"/>
  <c r="M101" i="39"/>
  <c r="N101" i="39" s="1"/>
  <c r="M113" i="39"/>
  <c r="N113" i="39" s="1"/>
  <c r="M206" i="39"/>
  <c r="N206" i="39" s="1"/>
  <c r="M216" i="39"/>
  <c r="N216" i="39" s="1"/>
  <c r="N85" i="39"/>
  <c r="N87" i="39"/>
  <c r="N89" i="39"/>
  <c r="N102" i="39"/>
  <c r="N114" i="39"/>
  <c r="N127" i="39"/>
  <c r="N129" i="39"/>
  <c r="N131" i="39"/>
  <c r="N133" i="39"/>
  <c r="N136" i="39"/>
  <c r="N138" i="39"/>
  <c r="N140" i="39"/>
  <c r="N142" i="39"/>
  <c r="N199" i="39"/>
  <c r="M97" i="39"/>
  <c r="N97" i="39" s="1"/>
  <c r="M105" i="39"/>
  <c r="N105" i="39" s="1"/>
  <c r="M109" i="39"/>
  <c r="N109" i="39" s="1"/>
  <c r="M125" i="39"/>
  <c r="N125" i="39" s="1"/>
  <c r="M153" i="39"/>
  <c r="N153" i="39" s="1"/>
  <c r="M155" i="39"/>
  <c r="N155" i="39" s="1"/>
  <c r="M157" i="39"/>
  <c r="N157" i="39" s="1"/>
  <c r="M159" i="39"/>
  <c r="N159" i="39" s="1"/>
  <c r="M161" i="39"/>
  <c r="N161" i="39" s="1"/>
  <c r="N163" i="39"/>
  <c r="M163" i="39"/>
  <c r="M165" i="39"/>
  <c r="N165" i="39" s="1"/>
  <c r="M167" i="39"/>
  <c r="N167" i="39" s="1"/>
  <c r="M169" i="39"/>
  <c r="N169" i="39" s="1"/>
  <c r="M172" i="39"/>
  <c r="N172" i="39" s="1"/>
  <c r="M174" i="39"/>
  <c r="N174" i="39" s="1"/>
  <c r="M176" i="39"/>
  <c r="N176" i="39" s="1"/>
  <c r="M178" i="39"/>
  <c r="N178" i="39" s="1"/>
  <c r="M180" i="39"/>
  <c r="N180" i="39" s="1"/>
  <c r="M182" i="39"/>
  <c r="N182" i="39" s="1"/>
  <c r="N201" i="39"/>
  <c r="N203" i="39"/>
  <c r="N205" i="39"/>
  <c r="N207" i="39"/>
  <c r="N209" i="39"/>
  <c r="M94" i="39"/>
  <c r="M96" i="39"/>
  <c r="N96" i="39" s="1"/>
  <c r="M100" i="39"/>
  <c r="N100" i="39" s="1"/>
  <c r="M104" i="39"/>
  <c r="N104" i="39" s="1"/>
  <c r="M108" i="39"/>
  <c r="N108" i="39" s="1"/>
  <c r="M112" i="39"/>
  <c r="N112" i="39" s="1"/>
  <c r="M116" i="39"/>
  <c r="N116" i="39" s="1"/>
  <c r="M150" i="39"/>
  <c r="M221" i="39"/>
  <c r="N221" i="39" s="1"/>
  <c r="L147" i="39"/>
  <c r="I9" i="39" l="1"/>
  <c r="M91" i="39"/>
  <c r="N193" i="39"/>
  <c r="N94" i="39"/>
  <c r="N91" i="39" s="1"/>
  <c r="M147" i="39"/>
  <c r="N150" i="39"/>
  <c r="N147" i="39" s="1"/>
  <c r="M122" i="39"/>
  <c r="M120" i="39" s="1"/>
  <c r="L120" i="39"/>
  <c r="L9" i="39" s="1"/>
  <c r="K13" i="3" s="1"/>
  <c r="M10" i="39"/>
  <c r="M193" i="39"/>
  <c r="N190" i="39"/>
  <c r="N186" i="39" s="1"/>
  <c r="N12" i="39"/>
  <c r="N10" i="39" s="1"/>
  <c r="M9" i="39" l="1"/>
  <c r="L13" i="3" s="1"/>
  <c r="N122" i="39"/>
  <c r="N120" i="39" s="1"/>
  <c r="N9" i="39" s="1"/>
  <c r="M13" i="3" s="1"/>
  <c r="B186" i="39" l="1"/>
  <c r="B184" i="39"/>
  <c r="B181" i="39"/>
  <c r="B180" i="39"/>
  <c r="B179" i="39"/>
  <c r="B178" i="39"/>
  <c r="B177" i="39"/>
  <c r="B176" i="39"/>
  <c r="B175" i="39"/>
  <c r="B174" i="39"/>
  <c r="B173" i="39"/>
  <c r="B172" i="39"/>
  <c r="B171" i="39"/>
  <c r="B166" i="39"/>
  <c r="B165" i="39"/>
  <c r="B164" i="39"/>
  <c r="B163" i="39"/>
  <c r="B162" i="39"/>
  <c r="B161" i="39"/>
  <c r="B160" i="39"/>
  <c r="B159" i="39"/>
  <c r="B158" i="39"/>
  <c r="B157" i="39"/>
  <c r="B156" i="39"/>
  <c r="B155" i="39"/>
  <c r="B154" i="39"/>
  <c r="B153" i="39"/>
  <c r="B152" i="39"/>
  <c r="B150" i="39"/>
  <c r="B147" i="39" l="1"/>
  <c r="C9" i="37"/>
  <c r="D9" i="37"/>
  <c r="B9" i="37"/>
  <c r="E10" i="37"/>
  <c r="E9" i="37" s="1"/>
  <c r="E31" i="3" s="1"/>
  <c r="F10" i="37"/>
  <c r="G10" i="37"/>
  <c r="F49" i="37"/>
  <c r="G49" i="37"/>
  <c r="F142" i="37"/>
  <c r="G142" i="37"/>
  <c r="F171" i="37"/>
  <c r="G171" i="37"/>
  <c r="E14" i="23"/>
  <c r="E13" i="23" s="1"/>
  <c r="F14" i="23"/>
  <c r="G14" i="23"/>
  <c r="B14" i="23"/>
  <c r="B13" i="23" s="1"/>
  <c r="F22" i="23"/>
  <c r="G22" i="23"/>
  <c r="B22" i="23"/>
  <c r="F30" i="23"/>
  <c r="G30" i="23"/>
  <c r="B30" i="23"/>
  <c r="E40" i="23"/>
  <c r="F40" i="23"/>
  <c r="G40" i="23"/>
  <c r="B40" i="23"/>
  <c r="B39" i="23" s="1"/>
  <c r="E54" i="23"/>
  <c r="F54" i="23"/>
  <c r="G54" i="23"/>
  <c r="B54" i="23"/>
  <c r="E70" i="23"/>
  <c r="F70" i="23"/>
  <c r="G70" i="23"/>
  <c r="B70" i="23"/>
  <c r="E11" i="17"/>
  <c r="E10" i="17" s="1"/>
  <c r="F11" i="17"/>
  <c r="F10" i="17" s="1"/>
  <c r="G11" i="17"/>
  <c r="G10" i="17" s="1"/>
  <c r="B11" i="17"/>
  <c r="B10" i="17" s="1"/>
  <c r="B9" i="17" s="1"/>
  <c r="F14" i="17"/>
  <c r="G14" i="17"/>
  <c r="B14" i="17"/>
  <c r="F25" i="17"/>
  <c r="G25" i="17"/>
  <c r="B25" i="17"/>
  <c r="E77" i="17"/>
  <c r="F77" i="17"/>
  <c r="F76" i="17" s="1"/>
  <c r="G77" i="17"/>
  <c r="G76" i="17" s="1"/>
  <c r="B77" i="17"/>
  <c r="B76" i="17" s="1"/>
  <c r="E80" i="17"/>
  <c r="F80" i="17"/>
  <c r="G80" i="17"/>
  <c r="B80" i="17"/>
  <c r="E84" i="17"/>
  <c r="F84" i="17"/>
  <c r="G84" i="17"/>
  <c r="B84" i="17"/>
  <c r="B142" i="39"/>
  <c r="F142" i="39" s="1"/>
  <c r="G142" i="39" s="1"/>
  <c r="B141" i="39"/>
  <c r="F141" i="39" s="1"/>
  <c r="B140" i="39"/>
  <c r="F140" i="39" s="1"/>
  <c r="B139" i="39"/>
  <c r="F139" i="39" s="1"/>
  <c r="B138" i="39"/>
  <c r="F138" i="39" s="1"/>
  <c r="F137" i="39"/>
  <c r="B137" i="39"/>
  <c r="B136" i="39"/>
  <c r="F136" i="39" s="1"/>
  <c r="B125" i="39"/>
  <c r="F125" i="39" s="1"/>
  <c r="B122" i="39"/>
  <c r="B116" i="39"/>
  <c r="F116" i="39" s="1"/>
  <c r="B115" i="39"/>
  <c r="F115" i="39" s="1"/>
  <c r="G115" i="39" s="1"/>
  <c r="B114" i="39"/>
  <c r="F114" i="39" s="1"/>
  <c r="G114" i="39" s="1"/>
  <c r="B113" i="39"/>
  <c r="F113" i="39" s="1"/>
  <c r="B112" i="39"/>
  <c r="F112" i="39" s="1"/>
  <c r="B111" i="39"/>
  <c r="F111" i="39" s="1"/>
  <c r="G111" i="39" s="1"/>
  <c r="B110" i="39"/>
  <c r="F110" i="39" s="1"/>
  <c r="B109" i="39"/>
  <c r="F109" i="39" s="1"/>
  <c r="G109" i="39" s="1"/>
  <c r="H109" i="39" s="1"/>
  <c r="B108" i="39"/>
  <c r="F108" i="39" s="1"/>
  <c r="G108" i="39" s="1"/>
  <c r="B105" i="39"/>
  <c r="F105" i="39" s="1"/>
  <c r="B104" i="39"/>
  <c r="F104" i="39" s="1"/>
  <c r="B103" i="39"/>
  <c r="F103" i="39" s="1"/>
  <c r="B102" i="39"/>
  <c r="F102" i="39" s="1"/>
  <c r="B101" i="39"/>
  <c r="F101" i="39" s="1"/>
  <c r="G101" i="39" s="1"/>
  <c r="B100" i="39"/>
  <c r="F100" i="39" s="1"/>
  <c r="G100" i="39" s="1"/>
  <c r="B99" i="39"/>
  <c r="F99" i="39" s="1"/>
  <c r="B98" i="39"/>
  <c r="B97" i="39"/>
  <c r="F97" i="39" s="1"/>
  <c r="G97" i="39" s="1"/>
  <c r="H97" i="39" s="1"/>
  <c r="B96" i="39"/>
  <c r="F96" i="39" s="1"/>
  <c r="G96" i="39" s="1"/>
  <c r="B94" i="39"/>
  <c r="F94" i="39" s="1"/>
  <c r="G94" i="39" s="1"/>
  <c r="B93" i="39"/>
  <c r="B89" i="39"/>
  <c r="F89" i="39" s="1"/>
  <c r="B88" i="39"/>
  <c r="F88" i="39" s="1"/>
  <c r="B87" i="39"/>
  <c r="F87" i="39" s="1"/>
  <c r="G87" i="39" s="1"/>
  <c r="H87" i="39" s="1"/>
  <c r="B86" i="39"/>
  <c r="F86" i="39" s="1"/>
  <c r="G86" i="39" s="1"/>
  <c r="B85" i="39"/>
  <c r="F85" i="39" s="1"/>
  <c r="B84" i="39"/>
  <c r="F84" i="39" s="1"/>
  <c r="B83" i="39"/>
  <c r="F83" i="39" s="1"/>
  <c r="G83" i="39" s="1"/>
  <c r="H83" i="39" s="1"/>
  <c r="B81" i="39"/>
  <c r="F81" i="39" s="1"/>
  <c r="G81" i="39" s="1"/>
  <c r="B80" i="39"/>
  <c r="F80" i="39" s="1"/>
  <c r="G80" i="39" s="1"/>
  <c r="B79" i="39"/>
  <c r="F79" i="39" s="1"/>
  <c r="B78" i="39"/>
  <c r="F78" i="39" s="1"/>
  <c r="B77" i="39"/>
  <c r="F77" i="39" s="1"/>
  <c r="G77" i="39" s="1"/>
  <c r="H77" i="39" s="1"/>
  <c r="B74" i="39"/>
  <c r="F74" i="39" s="1"/>
  <c r="B73" i="39"/>
  <c r="F73" i="39" s="1"/>
  <c r="B72" i="39"/>
  <c r="F72" i="39" s="1"/>
  <c r="B71" i="39"/>
  <c r="F71" i="39" s="1"/>
  <c r="G71" i="39" s="1"/>
  <c r="B70" i="39"/>
  <c r="F70" i="39" s="1"/>
  <c r="B69" i="39"/>
  <c r="F69" i="39" s="1"/>
  <c r="F66" i="39"/>
  <c r="B66" i="39"/>
  <c r="B65" i="39"/>
  <c r="F65" i="39" s="1"/>
  <c r="B64" i="39"/>
  <c r="F64" i="39" s="1"/>
  <c r="G64" i="39" s="1"/>
  <c r="H64" i="39" s="1"/>
  <c r="B63" i="39"/>
  <c r="F63" i="39" s="1"/>
  <c r="G63" i="39" s="1"/>
  <c r="B62" i="39"/>
  <c r="F62" i="39" s="1"/>
  <c r="B61" i="39"/>
  <c r="F61" i="39" s="1"/>
  <c r="B59" i="39"/>
  <c r="F59" i="39" s="1"/>
  <c r="G59" i="39" s="1"/>
  <c r="H59" i="39" s="1"/>
  <c r="F57" i="39"/>
  <c r="B57" i="39"/>
  <c r="B56" i="39"/>
  <c r="F56" i="39" s="1"/>
  <c r="B55" i="39"/>
  <c r="F55" i="39" s="1"/>
  <c r="G55" i="39" s="1"/>
  <c r="H55" i="39" s="1"/>
  <c r="B54" i="39"/>
  <c r="F54" i="39" s="1"/>
  <c r="G54" i="39" s="1"/>
  <c r="B53" i="39"/>
  <c r="F53" i="39" s="1"/>
  <c r="B52" i="39"/>
  <c r="F52" i="39" s="1"/>
  <c r="B49" i="39"/>
  <c r="F49" i="39" s="1"/>
  <c r="B48" i="39"/>
  <c r="F48" i="39" s="1"/>
  <c r="B47" i="39"/>
  <c r="F47" i="39" s="1"/>
  <c r="G47" i="39" s="1"/>
  <c r="H47" i="39" s="1"/>
  <c r="B46" i="39"/>
  <c r="F46" i="39" s="1"/>
  <c r="F45" i="39"/>
  <c r="B45" i="39"/>
  <c r="B44" i="39"/>
  <c r="F44" i="39" s="1"/>
  <c r="B43" i="39"/>
  <c r="F43" i="39" s="1"/>
  <c r="G43" i="39" s="1"/>
  <c r="B42" i="39"/>
  <c r="F42" i="39" s="1"/>
  <c r="B41" i="39"/>
  <c r="F41" i="39" s="1"/>
  <c r="G41" i="39" s="1"/>
  <c r="B37" i="39"/>
  <c r="F37" i="39" s="1"/>
  <c r="G37" i="39" s="1"/>
  <c r="F36" i="39"/>
  <c r="G36" i="39" s="1"/>
  <c r="B36" i="39"/>
  <c r="B35" i="39"/>
  <c r="F35" i="39" s="1"/>
  <c r="B34" i="39"/>
  <c r="F34" i="39" s="1"/>
  <c r="B32" i="39"/>
  <c r="F32" i="39" s="1"/>
  <c r="B31" i="39"/>
  <c r="F31" i="39" s="1"/>
  <c r="B30" i="39"/>
  <c r="F30" i="39" s="1"/>
  <c r="B29" i="39"/>
  <c r="F29" i="39" s="1"/>
  <c r="G29" i="39" s="1"/>
  <c r="H29" i="39" s="1"/>
  <c r="B28" i="39"/>
  <c r="F28" i="39" s="1"/>
  <c r="B27" i="39"/>
  <c r="F27" i="39" s="1"/>
  <c r="B26" i="39"/>
  <c r="F26" i="39" s="1"/>
  <c r="B24" i="39"/>
  <c r="F24" i="39" s="1"/>
  <c r="B23" i="39"/>
  <c r="F23" i="39" s="1"/>
  <c r="G23" i="39" s="1"/>
  <c r="H23" i="39" s="1"/>
  <c r="B22" i="39"/>
  <c r="F22" i="39" s="1"/>
  <c r="B21" i="39"/>
  <c r="F21" i="39" s="1"/>
  <c r="B20" i="39"/>
  <c r="F20" i="39" s="1"/>
  <c r="B19" i="39"/>
  <c r="F19" i="39" s="1"/>
  <c r="G19" i="39" s="1"/>
  <c r="H19" i="39" s="1"/>
  <c r="B18" i="39"/>
  <c r="F18" i="39" s="1"/>
  <c r="B17" i="39"/>
  <c r="F17" i="39" s="1"/>
  <c r="B15" i="39"/>
  <c r="F15" i="39" s="1"/>
  <c r="B14" i="39"/>
  <c r="F14" i="39" s="1"/>
  <c r="G14" i="39" s="1"/>
  <c r="H14" i="39" s="1"/>
  <c r="B13" i="39"/>
  <c r="F13" i="39" s="1"/>
  <c r="B12" i="39"/>
  <c r="G9" i="17" l="1"/>
  <c r="G24" i="3" s="1"/>
  <c r="F9" i="17"/>
  <c r="F24" i="3" s="1"/>
  <c r="B12" i="23"/>
  <c r="E76" i="17"/>
  <c r="E9" i="17" s="1"/>
  <c r="E24" i="3" s="1"/>
  <c r="G9" i="37"/>
  <c r="G31" i="3" s="1"/>
  <c r="F9" i="37"/>
  <c r="F31" i="3" s="1"/>
  <c r="G39" i="23"/>
  <c r="F39" i="23"/>
  <c r="E39" i="23"/>
  <c r="E12" i="23" s="1"/>
  <c r="E29" i="3" s="1"/>
  <c r="G13" i="23"/>
  <c r="F13" i="23"/>
  <c r="G72" i="39"/>
  <c r="H72" i="39"/>
  <c r="G105" i="39"/>
  <c r="H105" i="39"/>
  <c r="G139" i="39"/>
  <c r="H139" i="39"/>
  <c r="H43" i="39"/>
  <c r="H81" i="39"/>
  <c r="H101" i="39"/>
  <c r="G138" i="39"/>
  <c r="H138" i="39" s="1"/>
  <c r="B10" i="39"/>
  <c r="B91" i="39"/>
  <c r="B120" i="39"/>
  <c r="F93" i="39"/>
  <c r="G30" i="39"/>
  <c r="H30" i="39" s="1"/>
  <c r="G17" i="39"/>
  <c r="H17" i="39" s="1"/>
  <c r="G20" i="39"/>
  <c r="H20" i="39" s="1"/>
  <c r="G35" i="39"/>
  <c r="H35" i="39" s="1"/>
  <c r="G27" i="39"/>
  <c r="H27" i="39" s="1"/>
  <c r="G26" i="39"/>
  <c r="H26" i="39" s="1"/>
  <c r="G31" i="39"/>
  <c r="H31" i="39" s="1"/>
  <c r="G15" i="39"/>
  <c r="H15" i="39" s="1"/>
  <c r="G21" i="39"/>
  <c r="H21" i="39" s="1"/>
  <c r="G24" i="39"/>
  <c r="H24" i="39" s="1"/>
  <c r="G53" i="39"/>
  <c r="H53" i="39" s="1"/>
  <c r="G69" i="39"/>
  <c r="H69" i="39" s="1"/>
  <c r="G78" i="39"/>
  <c r="H78" i="39" s="1"/>
  <c r="G85" i="39"/>
  <c r="H85" i="39" s="1"/>
  <c r="F98" i="39"/>
  <c r="F12" i="39"/>
  <c r="F10" i="39" s="1"/>
  <c r="G13" i="39"/>
  <c r="H13" i="39" s="1"/>
  <c r="G18" i="39"/>
  <c r="H18" i="39" s="1"/>
  <c r="G22" i="39"/>
  <c r="H22" i="39" s="1"/>
  <c r="G28" i="39"/>
  <c r="H28" i="39" s="1"/>
  <c r="G32" i="39"/>
  <c r="H32" i="39" s="1"/>
  <c r="G34" i="39"/>
  <c r="H34" i="39" s="1"/>
  <c r="H36" i="39"/>
  <c r="G45" i="39"/>
  <c r="H45" i="39" s="1"/>
  <c r="G46" i="39"/>
  <c r="H46" i="39" s="1"/>
  <c r="G48" i="39"/>
  <c r="H48" i="39" s="1"/>
  <c r="G52" i="39"/>
  <c r="H52" i="39" s="1"/>
  <c r="G61" i="39"/>
  <c r="H61" i="39" s="1"/>
  <c r="G84" i="39"/>
  <c r="H84" i="39" s="1"/>
  <c r="G110" i="39"/>
  <c r="H110" i="39" s="1"/>
  <c r="G49" i="39"/>
  <c r="H49" i="39" s="1"/>
  <c r="G56" i="39"/>
  <c r="H56" i="39" s="1"/>
  <c r="G62" i="39"/>
  <c r="H62" i="39" s="1"/>
  <c r="H108" i="39"/>
  <c r="G113" i="39"/>
  <c r="H113" i="39" s="1"/>
  <c r="H41" i="39"/>
  <c r="G42" i="39"/>
  <c r="H42" i="39" s="1"/>
  <c r="G44" i="39"/>
  <c r="H44" i="39" s="1"/>
  <c r="H71" i="39"/>
  <c r="G74" i="39"/>
  <c r="H74" i="39" s="1"/>
  <c r="H80" i="39"/>
  <c r="H94" i="39"/>
  <c r="H100" i="39"/>
  <c r="G103" i="39"/>
  <c r="H103" i="39" s="1"/>
  <c r="G104" i="39"/>
  <c r="H104" i="39" s="1"/>
  <c r="G112" i="39"/>
  <c r="H112" i="39"/>
  <c r="H37" i="39"/>
  <c r="G65" i="39"/>
  <c r="H65" i="39" s="1"/>
  <c r="G88" i="39"/>
  <c r="H88" i="39" s="1"/>
  <c r="H54" i="39"/>
  <c r="G57" i="39"/>
  <c r="H57" i="39" s="1"/>
  <c r="H63" i="39"/>
  <c r="G66" i="39"/>
  <c r="H66" i="39" s="1"/>
  <c r="G70" i="39"/>
  <c r="H70" i="39" s="1"/>
  <c r="G73" i="39"/>
  <c r="H73" i="39" s="1"/>
  <c r="G79" i="39"/>
  <c r="H79" i="39" s="1"/>
  <c r="H86" i="39"/>
  <c r="G89" i="39"/>
  <c r="H89" i="39" s="1"/>
  <c r="G93" i="39"/>
  <c r="H96" i="39"/>
  <c r="G99" i="39"/>
  <c r="H99" i="39" s="1"/>
  <c r="G102" i="39"/>
  <c r="H102" i="39" s="1"/>
  <c r="H111" i="39"/>
  <c r="H114" i="39"/>
  <c r="G116" i="39"/>
  <c r="H116" i="39" s="1"/>
  <c r="F122" i="39"/>
  <c r="F120" i="39" s="1"/>
  <c r="G141" i="39"/>
  <c r="H141" i="39" s="1"/>
  <c r="H142" i="39"/>
  <c r="G125" i="39"/>
  <c r="H125" i="39" s="1"/>
  <c r="G137" i="39"/>
  <c r="H137" i="39" s="1"/>
  <c r="G140" i="39"/>
  <c r="H140" i="39" s="1"/>
  <c r="H115" i="39"/>
  <c r="G136" i="39"/>
  <c r="H136" i="39" s="1"/>
  <c r="G12" i="23" l="1"/>
  <c r="G29" i="3" s="1"/>
  <c r="F12" i="23"/>
  <c r="F29" i="3" s="1"/>
  <c r="B9" i="39"/>
  <c r="F91" i="39"/>
  <c r="F9" i="39" s="1"/>
  <c r="E13" i="3" s="1"/>
  <c r="E9" i="3" s="1"/>
  <c r="E8" i="3" s="1"/>
  <c r="G122" i="39"/>
  <c r="G120" i="39" s="1"/>
  <c r="G12" i="39"/>
  <c r="G10" i="39" s="1"/>
  <c r="H93" i="39"/>
  <c r="G98" i="39"/>
  <c r="G91" i="39" s="1"/>
  <c r="G9" i="39" l="1"/>
  <c r="F13" i="3" s="1"/>
  <c r="F9" i="3" s="1"/>
  <c r="F8" i="3" s="1"/>
  <c r="H98" i="39"/>
  <c r="H91" i="39" s="1"/>
  <c r="H12" i="39"/>
  <c r="H10" i="39" s="1"/>
  <c r="H122" i="39"/>
  <c r="H120" i="39" s="1"/>
  <c r="H9" i="39" l="1"/>
  <c r="G13" i="3" s="1"/>
  <c r="G9" i="3" s="1"/>
  <c r="G8" i="3" s="1"/>
  <c r="Y71" i="37" l="1"/>
  <c r="K13" i="28" l="1"/>
  <c r="X90" i="37" l="1"/>
  <c r="X91" i="37" s="1"/>
  <c r="K12" i="34"/>
  <c r="K15" i="23"/>
  <c r="L15" i="23" l="1"/>
  <c r="L173" i="23"/>
  <c r="K173" i="23"/>
  <c r="K172" i="23"/>
  <c r="L172" i="23" s="1"/>
  <c r="K171" i="23"/>
  <c r="K170" i="23"/>
  <c r="L170" i="23" s="1"/>
  <c r="K169" i="23"/>
  <c r="K163" i="23"/>
  <c r="L163" i="23" s="1"/>
  <c r="K162" i="23"/>
  <c r="L162" i="23" s="1"/>
  <c r="K161" i="23"/>
  <c r="K160" i="23"/>
  <c r="L160" i="23" s="1"/>
  <c r="L159" i="23"/>
  <c r="K159" i="23"/>
  <c r="K158" i="23"/>
  <c r="L158" i="23" s="1"/>
  <c r="K157" i="23"/>
  <c r="K151" i="23"/>
  <c r="L151" i="23" s="1"/>
  <c r="K149" i="23"/>
  <c r="L149" i="23" s="1"/>
  <c r="K148" i="23"/>
  <c r="L148" i="23" s="1"/>
  <c r="K147" i="23"/>
  <c r="K146" i="23"/>
  <c r="K144" i="23"/>
  <c r="L144" i="23" s="1"/>
  <c r="K143" i="23"/>
  <c r="L143" i="23" s="1"/>
  <c r="K142" i="23"/>
  <c r="K141" i="23"/>
  <c r="L141" i="23" s="1"/>
  <c r="K140" i="23"/>
  <c r="L140" i="23" s="1"/>
  <c r="K139" i="23"/>
  <c r="L139" i="23" s="1"/>
  <c r="K138" i="23"/>
  <c r="K137" i="23"/>
  <c r="L137" i="23" s="1"/>
  <c r="L136" i="23"/>
  <c r="K136" i="23"/>
  <c r="K135" i="23"/>
  <c r="L135" i="23" s="1"/>
  <c r="K134" i="23"/>
  <c r="K132" i="23"/>
  <c r="K131" i="23"/>
  <c r="L131" i="23" s="1"/>
  <c r="K130" i="23"/>
  <c r="L130" i="23" s="1"/>
  <c r="K129" i="23"/>
  <c r="L129" i="23" s="1"/>
  <c r="K128" i="23"/>
  <c r="K127" i="23"/>
  <c r="L127" i="23" s="1"/>
  <c r="K126" i="23"/>
  <c r="L126" i="23" s="1"/>
  <c r="K125" i="23"/>
  <c r="K122" i="23"/>
  <c r="K121" i="23"/>
  <c r="L121" i="23" s="1"/>
  <c r="L120" i="23"/>
  <c r="K120" i="23"/>
  <c r="K119" i="23"/>
  <c r="L119" i="23" s="1"/>
  <c r="K118" i="23"/>
  <c r="K117" i="23"/>
  <c r="L117" i="23" s="1"/>
  <c r="K116" i="23"/>
  <c r="K114" i="23"/>
  <c r="L114" i="23" s="1"/>
  <c r="K113" i="23"/>
  <c r="L113" i="23" s="1"/>
  <c r="K112" i="23"/>
  <c r="K111" i="23"/>
  <c r="K109" i="23"/>
  <c r="L109" i="23" s="1"/>
  <c r="K108" i="23"/>
  <c r="K107" i="23"/>
  <c r="L107" i="23" s="1"/>
  <c r="K106" i="23"/>
  <c r="L106" i="23" s="1"/>
  <c r="K105" i="23"/>
  <c r="L105" i="23" s="1"/>
  <c r="K104" i="23"/>
  <c r="K103" i="23"/>
  <c r="L103" i="23" s="1"/>
  <c r="L102" i="23"/>
  <c r="K102" i="23"/>
  <c r="K101" i="23"/>
  <c r="L101" i="23" s="1"/>
  <c r="K100" i="23"/>
  <c r="K99" i="23"/>
  <c r="L99" i="23" s="1"/>
  <c r="K98" i="23"/>
  <c r="L98" i="23" s="1"/>
  <c r="K97" i="23"/>
  <c r="L97" i="23" s="1"/>
  <c r="K96" i="23"/>
  <c r="K95" i="23"/>
  <c r="L95" i="23" s="1"/>
  <c r="K94" i="23"/>
  <c r="L92" i="23"/>
  <c r="K92" i="23"/>
  <c r="K91" i="23"/>
  <c r="L91" i="23" s="1"/>
  <c r="K90" i="23"/>
  <c r="K89" i="23"/>
  <c r="L89" i="23" s="1"/>
  <c r="K88" i="23"/>
  <c r="L88" i="23" s="1"/>
  <c r="K87" i="23"/>
  <c r="L87" i="23" s="1"/>
  <c r="K86" i="23"/>
  <c r="K85" i="23"/>
  <c r="L85" i="23" s="1"/>
  <c r="K84" i="23"/>
  <c r="L84" i="23" s="1"/>
  <c r="K83" i="23"/>
  <c r="L83" i="23" s="1"/>
  <c r="K82" i="23"/>
  <c r="K79" i="23"/>
  <c r="K78" i="23"/>
  <c r="L78" i="23" s="1"/>
  <c r="L77" i="23"/>
  <c r="K77" i="23"/>
  <c r="K76" i="23"/>
  <c r="L76" i="23" s="1"/>
  <c r="K75" i="23"/>
  <c r="K74" i="23"/>
  <c r="K72" i="23"/>
  <c r="L72" i="23" s="1"/>
  <c r="K71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 s="1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36" i="23"/>
  <c r="K35" i="23"/>
  <c r="K34" i="23"/>
  <c r="K33" i="23"/>
  <c r="K32" i="23"/>
  <c r="K31" i="23"/>
  <c r="K29" i="23"/>
  <c r="K28" i="23"/>
  <c r="K27" i="23"/>
  <c r="K26" i="23"/>
  <c r="K25" i="23"/>
  <c r="K24" i="23"/>
  <c r="K23" i="23"/>
  <c r="K21" i="23"/>
  <c r="K20" i="23"/>
  <c r="K19" i="23"/>
  <c r="K18" i="23"/>
  <c r="K17" i="23"/>
  <c r="K16" i="23"/>
  <c r="K14" i="23" s="1"/>
  <c r="K93" i="23" l="1"/>
  <c r="L111" i="23"/>
  <c r="K110" i="23"/>
  <c r="K133" i="23"/>
  <c r="K156" i="23"/>
  <c r="L74" i="23"/>
  <c r="K73" i="23"/>
  <c r="K30" i="23"/>
  <c r="L71" i="23"/>
  <c r="K70" i="23"/>
  <c r="K22" i="23"/>
  <c r="L94" i="23"/>
  <c r="M94" i="23" s="1"/>
  <c r="K115" i="23"/>
  <c r="K168" i="23"/>
  <c r="K40" i="23"/>
  <c r="K81" i="23"/>
  <c r="L116" i="23"/>
  <c r="L125" i="23"/>
  <c r="K124" i="23"/>
  <c r="L146" i="23"/>
  <c r="M146" i="23" s="1"/>
  <c r="K145" i="23"/>
  <c r="L169" i="23"/>
  <c r="L35" i="23"/>
  <c r="L20" i="23"/>
  <c r="M20" i="23" s="1"/>
  <c r="L32" i="23"/>
  <c r="M32" i="23" s="1"/>
  <c r="L46" i="23"/>
  <c r="L52" i="23"/>
  <c r="M52" i="23" s="1"/>
  <c r="L60" i="23"/>
  <c r="M60" i="23" s="1"/>
  <c r="L66" i="23"/>
  <c r="M66" i="23" s="1"/>
  <c r="L17" i="23"/>
  <c r="L36" i="23"/>
  <c r="L43" i="23"/>
  <c r="M43" i="23" s="1"/>
  <c r="L50" i="23"/>
  <c r="L57" i="23"/>
  <c r="M57" i="23" s="1"/>
  <c r="L64" i="23"/>
  <c r="M64" i="23" s="1"/>
  <c r="L18" i="23"/>
  <c r="L26" i="23"/>
  <c r="M26" i="23" s="1"/>
  <c r="L34" i="23"/>
  <c r="L44" i="23"/>
  <c r="M44" i="23" s="1"/>
  <c r="L47" i="23"/>
  <c r="M47" i="23" s="1"/>
  <c r="L58" i="23"/>
  <c r="L61" i="23"/>
  <c r="M61" i="23" s="1"/>
  <c r="L16" i="23"/>
  <c r="L31" i="23"/>
  <c r="M31" i="23" s="1"/>
  <c r="L42" i="23"/>
  <c r="M42" i="23" s="1"/>
  <c r="L48" i="23"/>
  <c r="L51" i="23"/>
  <c r="M51" i="23" s="1"/>
  <c r="L56" i="23"/>
  <c r="M56" i="23" s="1"/>
  <c r="L62" i="23"/>
  <c r="M62" i="23" s="1"/>
  <c r="L65" i="23"/>
  <c r="M108" i="23"/>
  <c r="M17" i="23"/>
  <c r="L24" i="23"/>
  <c r="M24" i="23" s="1"/>
  <c r="L33" i="23"/>
  <c r="M33" i="23" s="1"/>
  <c r="L45" i="23"/>
  <c r="M45" i="23" s="1"/>
  <c r="L53" i="23"/>
  <c r="M53" i="23" s="1"/>
  <c r="L59" i="23"/>
  <c r="M59" i="23" s="1"/>
  <c r="M65" i="23"/>
  <c r="L67" i="23"/>
  <c r="M67" i="23" s="1"/>
  <c r="M77" i="23"/>
  <c r="L79" i="23"/>
  <c r="M79" i="23" s="1"/>
  <c r="M84" i="23"/>
  <c r="L86" i="23"/>
  <c r="M86" i="23" s="1"/>
  <c r="M92" i="23"/>
  <c r="M98" i="23"/>
  <c r="L100" i="23"/>
  <c r="M100" i="23" s="1"/>
  <c r="M106" i="23"/>
  <c r="L108" i="23"/>
  <c r="L112" i="23"/>
  <c r="M112" i="23" s="1"/>
  <c r="M116" i="23"/>
  <c r="L118" i="23"/>
  <c r="M118" i="23" s="1"/>
  <c r="M126" i="23"/>
  <c r="L128" i="23"/>
  <c r="M128" i="23" s="1"/>
  <c r="L134" i="23"/>
  <c r="M134" i="23" s="1"/>
  <c r="M140" i="23"/>
  <c r="L142" i="23"/>
  <c r="M142" i="23" s="1"/>
  <c r="M149" i="23"/>
  <c r="L157" i="23"/>
  <c r="M157" i="23" s="1"/>
  <c r="M163" i="23"/>
  <c r="M173" i="23"/>
  <c r="M15" i="23"/>
  <c r="L28" i="23"/>
  <c r="M28" i="23" s="1"/>
  <c r="M35" i="23"/>
  <c r="L41" i="23"/>
  <c r="M41" i="23" s="1"/>
  <c r="L49" i="23"/>
  <c r="M49" i="23" s="1"/>
  <c r="L55" i="23"/>
  <c r="M55" i="23" s="1"/>
  <c r="L63" i="23"/>
  <c r="M63" i="23" s="1"/>
  <c r="M72" i="23"/>
  <c r="L75" i="23"/>
  <c r="M75" i="23" s="1"/>
  <c r="L82" i="23"/>
  <c r="M82" i="23" s="1"/>
  <c r="M88" i="23"/>
  <c r="L90" i="23"/>
  <c r="M90" i="23" s="1"/>
  <c r="L96" i="23"/>
  <c r="M96" i="23" s="1"/>
  <c r="M102" i="23"/>
  <c r="L104" i="23"/>
  <c r="M104" i="23" s="1"/>
  <c r="M114" i="23"/>
  <c r="M120" i="23"/>
  <c r="L122" i="23"/>
  <c r="M122" i="23" s="1"/>
  <c r="M130" i="23"/>
  <c r="L132" i="23"/>
  <c r="M132" i="23" s="1"/>
  <c r="M136" i="23"/>
  <c r="L138" i="23"/>
  <c r="M138" i="23" s="1"/>
  <c r="M144" i="23"/>
  <c r="L147" i="23"/>
  <c r="M147" i="23" s="1"/>
  <c r="M159" i="23"/>
  <c r="L161" i="23"/>
  <c r="M161" i="23" s="1"/>
  <c r="M169" i="23"/>
  <c r="L171" i="23"/>
  <c r="M171" i="23" s="1"/>
  <c r="M170" i="23"/>
  <c r="M172" i="23"/>
  <c r="M158" i="23"/>
  <c r="M160" i="23"/>
  <c r="M162" i="23"/>
  <c r="M151" i="23"/>
  <c r="M148" i="23"/>
  <c r="M135" i="23"/>
  <c r="M137" i="23"/>
  <c r="M139" i="23"/>
  <c r="M141" i="23"/>
  <c r="M143" i="23"/>
  <c r="M125" i="23"/>
  <c r="M127" i="23"/>
  <c r="M129" i="23"/>
  <c r="M131" i="23"/>
  <c r="M117" i="23"/>
  <c r="M119" i="23"/>
  <c r="M121" i="23"/>
  <c r="M111" i="23"/>
  <c r="M113" i="23"/>
  <c r="M95" i="23"/>
  <c r="M97" i="23"/>
  <c r="M99" i="23"/>
  <c r="M101" i="23"/>
  <c r="M103" i="23"/>
  <c r="M105" i="23"/>
  <c r="M107" i="23"/>
  <c r="M109" i="23"/>
  <c r="M83" i="23"/>
  <c r="M85" i="23"/>
  <c r="M87" i="23"/>
  <c r="M89" i="23"/>
  <c r="M91" i="23"/>
  <c r="M74" i="23"/>
  <c r="M76" i="23"/>
  <c r="M78" i="23"/>
  <c r="M71" i="23"/>
  <c r="M58" i="23"/>
  <c r="M46" i="23"/>
  <c r="M48" i="23"/>
  <c r="M50" i="23"/>
  <c r="M34" i="23"/>
  <c r="M36" i="23"/>
  <c r="L23" i="23"/>
  <c r="M23" i="23" s="1"/>
  <c r="L25" i="23"/>
  <c r="M25" i="23" s="1"/>
  <c r="L27" i="23"/>
  <c r="M27" i="23" s="1"/>
  <c r="L29" i="23"/>
  <c r="M29" i="23" s="1"/>
  <c r="M16" i="23"/>
  <c r="M18" i="23"/>
  <c r="L19" i="23"/>
  <c r="M19" i="23" s="1"/>
  <c r="L21" i="23"/>
  <c r="M21" i="23" s="1"/>
  <c r="N42" i="37" l="1"/>
  <c r="N222" i="37" l="1"/>
  <c r="O222" i="37" s="1"/>
  <c r="N221" i="37"/>
  <c r="O221" i="37" s="1"/>
  <c r="N220" i="37"/>
  <c r="O220" i="37" s="1"/>
  <c r="N219" i="37"/>
  <c r="O219" i="37" s="1"/>
  <c r="N218" i="37"/>
  <c r="O218" i="37" s="1"/>
  <c r="N217" i="37"/>
  <c r="O217" i="37" s="1"/>
  <c r="N216" i="37"/>
  <c r="O216" i="37" s="1"/>
  <c r="N215" i="37"/>
  <c r="O215" i="37" s="1"/>
  <c r="N214" i="37"/>
  <c r="O214" i="37" s="1"/>
  <c r="N213" i="37"/>
  <c r="O213" i="37" s="1"/>
  <c r="N212" i="37"/>
  <c r="O212" i="37" s="1"/>
  <c r="N211" i="37"/>
  <c r="O211" i="37" s="1"/>
  <c r="N210" i="37"/>
  <c r="O210" i="37" s="1"/>
  <c r="N209" i="37"/>
  <c r="O209" i="37" s="1"/>
  <c r="N208" i="37"/>
  <c r="O208" i="37" s="1"/>
  <c r="N207" i="37"/>
  <c r="O207" i="37" s="1"/>
  <c r="N206" i="37"/>
  <c r="O206" i="37" s="1"/>
  <c r="N205" i="37"/>
  <c r="O205" i="37" s="1"/>
  <c r="N204" i="37"/>
  <c r="O204" i="37" s="1"/>
  <c r="N203" i="37"/>
  <c r="O203" i="37" s="1"/>
  <c r="N202" i="37"/>
  <c r="O202" i="37" s="1"/>
  <c r="N201" i="37"/>
  <c r="O201" i="37" s="1"/>
  <c r="N200" i="37"/>
  <c r="O200" i="37" s="1"/>
  <c r="N199" i="37"/>
  <c r="O199" i="37" s="1"/>
  <c r="N198" i="37"/>
  <c r="O198" i="37" s="1"/>
  <c r="N197" i="37"/>
  <c r="O197" i="37" s="1"/>
  <c r="N196" i="37"/>
  <c r="O196" i="37" s="1"/>
  <c r="N195" i="37"/>
  <c r="O195" i="37" s="1"/>
  <c r="N194" i="37"/>
  <c r="O194" i="37" s="1"/>
  <c r="N193" i="37"/>
  <c r="O193" i="37" s="1"/>
  <c r="N192" i="37"/>
  <c r="O192" i="37" s="1"/>
  <c r="N191" i="37"/>
  <c r="O191" i="37" s="1"/>
  <c r="N190" i="37"/>
  <c r="O190" i="37" s="1"/>
  <c r="N189" i="37"/>
  <c r="O189" i="37" s="1"/>
  <c r="N188" i="37"/>
  <c r="O188" i="37" s="1"/>
  <c r="N187" i="37"/>
  <c r="O187" i="37" s="1"/>
  <c r="N186" i="37"/>
  <c r="O186" i="37" s="1"/>
  <c r="N185" i="37"/>
  <c r="O185" i="37" s="1"/>
  <c r="N184" i="37"/>
  <c r="O184" i="37" s="1"/>
  <c r="N183" i="37"/>
  <c r="O183" i="37" s="1"/>
  <c r="N182" i="37"/>
  <c r="O182" i="37" s="1"/>
  <c r="N181" i="37"/>
  <c r="O181" i="37" s="1"/>
  <c r="N180" i="37"/>
  <c r="O180" i="37" s="1"/>
  <c r="N179" i="37"/>
  <c r="O179" i="37" s="1"/>
  <c r="N178" i="37"/>
  <c r="O178" i="37" s="1"/>
  <c r="N177" i="37"/>
  <c r="O177" i="37" s="1"/>
  <c r="N176" i="37"/>
  <c r="O176" i="37" s="1"/>
  <c r="N175" i="37"/>
  <c r="O175" i="37" s="1"/>
  <c r="N174" i="37"/>
  <c r="O174" i="37" s="1"/>
  <c r="N173" i="37"/>
  <c r="O173" i="37" s="1"/>
  <c r="N172" i="37"/>
  <c r="O172" i="37" s="1"/>
  <c r="N170" i="37"/>
  <c r="O170" i="37" s="1"/>
  <c r="N169" i="37"/>
  <c r="O169" i="37" s="1"/>
  <c r="N168" i="37"/>
  <c r="O168" i="37" s="1"/>
  <c r="N167" i="37"/>
  <c r="O167" i="37" s="1"/>
  <c r="N166" i="37"/>
  <c r="O166" i="37" s="1"/>
  <c r="N165" i="37"/>
  <c r="O165" i="37" s="1"/>
  <c r="N164" i="37"/>
  <c r="O164" i="37" s="1"/>
  <c r="N163" i="37"/>
  <c r="O163" i="37" s="1"/>
  <c r="N162" i="37"/>
  <c r="O162" i="37" s="1"/>
  <c r="N161" i="37"/>
  <c r="O161" i="37" s="1"/>
  <c r="N160" i="37"/>
  <c r="O160" i="37" s="1"/>
  <c r="N159" i="37"/>
  <c r="O159" i="37" s="1"/>
  <c r="N158" i="37"/>
  <c r="O158" i="37" s="1"/>
  <c r="N157" i="37"/>
  <c r="O157" i="37" s="1"/>
  <c r="N156" i="37"/>
  <c r="O156" i="37" s="1"/>
  <c r="N155" i="37"/>
  <c r="O155" i="37" s="1"/>
  <c r="N154" i="37"/>
  <c r="O154" i="37" s="1"/>
  <c r="N153" i="37"/>
  <c r="O153" i="37" s="1"/>
  <c r="N152" i="37"/>
  <c r="O152" i="37" s="1"/>
  <c r="N151" i="37"/>
  <c r="O151" i="37" s="1"/>
  <c r="N150" i="37"/>
  <c r="O150" i="37" s="1"/>
  <c r="N149" i="37"/>
  <c r="O149" i="37" s="1"/>
  <c r="N148" i="37"/>
  <c r="O148" i="37" s="1"/>
  <c r="N147" i="37"/>
  <c r="O147" i="37" s="1"/>
  <c r="N146" i="37"/>
  <c r="O146" i="37" s="1"/>
  <c r="N145" i="37"/>
  <c r="O145" i="37" s="1"/>
  <c r="N144" i="37"/>
  <c r="O144" i="37" s="1"/>
  <c r="N143" i="37"/>
  <c r="O143" i="37" s="1"/>
  <c r="N141" i="37"/>
  <c r="O141" i="37" s="1"/>
  <c r="N140" i="37"/>
  <c r="O140" i="37" s="1"/>
  <c r="N139" i="37"/>
  <c r="O139" i="37" s="1"/>
  <c r="N138" i="37"/>
  <c r="O138" i="37" s="1"/>
  <c r="N137" i="37"/>
  <c r="O137" i="37" s="1"/>
  <c r="N133" i="37"/>
  <c r="O133" i="37" s="1"/>
  <c r="N132" i="37"/>
  <c r="O132" i="37" s="1"/>
  <c r="N131" i="37"/>
  <c r="O131" i="37" s="1"/>
  <c r="N130" i="37"/>
  <c r="O130" i="37" s="1"/>
  <c r="N129" i="37"/>
  <c r="O129" i="37" s="1"/>
  <c r="N128" i="37"/>
  <c r="O128" i="37" s="1"/>
  <c r="N127" i="37"/>
  <c r="O127" i="37" s="1"/>
  <c r="N126" i="37"/>
  <c r="O126" i="37" s="1"/>
  <c r="N125" i="37"/>
  <c r="O125" i="37" s="1"/>
  <c r="N124" i="37"/>
  <c r="O124" i="37" s="1"/>
  <c r="N123" i="37"/>
  <c r="O123" i="37" s="1"/>
  <c r="N122" i="37"/>
  <c r="O122" i="37" s="1"/>
  <c r="N121" i="37"/>
  <c r="O121" i="37" s="1"/>
  <c r="N120" i="37"/>
  <c r="O120" i="37" s="1"/>
  <c r="N119" i="37"/>
  <c r="O119" i="37" s="1"/>
  <c r="N118" i="37"/>
  <c r="O118" i="37" s="1"/>
  <c r="N117" i="37"/>
  <c r="O117" i="37" s="1"/>
  <c r="N116" i="37"/>
  <c r="O116" i="37" s="1"/>
  <c r="N115" i="37"/>
  <c r="O115" i="37" s="1"/>
  <c r="N114" i="37"/>
  <c r="O114" i="37" s="1"/>
  <c r="N113" i="37"/>
  <c r="O113" i="37" s="1"/>
  <c r="N112" i="37"/>
  <c r="O112" i="37" s="1"/>
  <c r="N111" i="37"/>
  <c r="O111" i="37" s="1"/>
  <c r="N110" i="37"/>
  <c r="O110" i="37" s="1"/>
  <c r="N109" i="37"/>
  <c r="O109" i="37" s="1"/>
  <c r="N108" i="37"/>
  <c r="O108" i="37" s="1"/>
  <c r="N107" i="37"/>
  <c r="O107" i="37" s="1"/>
  <c r="N106" i="37"/>
  <c r="O106" i="37" s="1"/>
  <c r="N105" i="37"/>
  <c r="O105" i="37" s="1"/>
  <c r="N104" i="37"/>
  <c r="O104" i="37" s="1"/>
  <c r="N103" i="37"/>
  <c r="O103" i="37" s="1"/>
  <c r="N102" i="37"/>
  <c r="O102" i="37" s="1"/>
  <c r="N101" i="37"/>
  <c r="O101" i="37" s="1"/>
  <c r="N100" i="37"/>
  <c r="O100" i="37" s="1"/>
  <c r="N99" i="37"/>
  <c r="O99" i="37" s="1"/>
  <c r="N98" i="37"/>
  <c r="O98" i="37" s="1"/>
  <c r="N97" i="37"/>
  <c r="O97" i="37" s="1"/>
  <c r="N96" i="37"/>
  <c r="O96" i="37" s="1"/>
  <c r="N95" i="37"/>
  <c r="O95" i="37" s="1"/>
  <c r="N94" i="37"/>
  <c r="O94" i="37" s="1"/>
  <c r="N93" i="37"/>
  <c r="O93" i="37" s="1"/>
  <c r="N92" i="37"/>
  <c r="O92" i="37" s="1"/>
  <c r="N91" i="37"/>
  <c r="O91" i="37" s="1"/>
  <c r="N90" i="37"/>
  <c r="O90" i="37" s="1"/>
  <c r="N89" i="37"/>
  <c r="O89" i="37" s="1"/>
  <c r="N88" i="37"/>
  <c r="O88" i="37" s="1"/>
  <c r="N87" i="37"/>
  <c r="O87" i="37" s="1"/>
  <c r="N86" i="37"/>
  <c r="O86" i="37" s="1"/>
  <c r="N85" i="37"/>
  <c r="O85" i="37" s="1"/>
  <c r="N84" i="37"/>
  <c r="O84" i="37" s="1"/>
  <c r="N83" i="37"/>
  <c r="O83" i="37" s="1"/>
  <c r="N82" i="37"/>
  <c r="O82" i="37" s="1"/>
  <c r="N81" i="37"/>
  <c r="O81" i="37" s="1"/>
  <c r="N79" i="37"/>
  <c r="O79" i="37" s="1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8" i="37"/>
  <c r="O48" i="37" s="1"/>
  <c r="N47" i="37"/>
  <c r="O47" i="37" s="1"/>
  <c r="N46" i="37"/>
  <c r="O46" i="37" s="1"/>
  <c r="O42" i="37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29" i="37"/>
  <c r="O29" i="37" s="1"/>
  <c r="N28" i="37"/>
  <c r="O28" i="37" s="1"/>
  <c r="N27" i="37"/>
  <c r="O27" i="37" s="1"/>
  <c r="N26" i="37"/>
  <c r="O26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 s="1"/>
  <c r="N13" i="37"/>
  <c r="O13" i="37" s="1"/>
  <c r="N12" i="37"/>
  <c r="M10" i="37"/>
  <c r="O12" i="37" l="1"/>
  <c r="N10" i="37"/>
  <c r="N142" i="37"/>
  <c r="N171" i="37"/>
  <c r="O142" i="37"/>
  <c r="O49" i="37"/>
  <c r="M9" i="37"/>
  <c r="K31" i="3" s="1"/>
  <c r="O10" i="37"/>
  <c r="N49" i="37"/>
  <c r="O171" i="37"/>
  <c r="N9" i="37" l="1"/>
  <c r="L31" i="3" s="1"/>
  <c r="O9" i="37"/>
  <c r="M31" i="3" s="1"/>
  <c r="K13" i="19" l="1"/>
  <c r="L13" i="19" s="1"/>
  <c r="K16" i="18"/>
  <c r="L16" i="18" s="1"/>
  <c r="K15" i="18"/>
  <c r="L15" i="18" s="1"/>
  <c r="K12" i="18"/>
  <c r="L69" i="17"/>
  <c r="L66" i="17" s="1"/>
  <c r="L52" i="17"/>
  <c r="L84" i="17"/>
  <c r="L80" i="17"/>
  <c r="L77" i="17"/>
  <c r="L38" i="17"/>
  <c r="L14" i="17"/>
  <c r="K85" i="17"/>
  <c r="K81" i="17"/>
  <c r="K78" i="17"/>
  <c r="K71" i="17"/>
  <c r="K70" i="17"/>
  <c r="K63" i="17"/>
  <c r="K62" i="17"/>
  <c r="K61" i="17"/>
  <c r="K60" i="17"/>
  <c r="K59" i="17"/>
  <c r="K58" i="17"/>
  <c r="K57" i="17"/>
  <c r="K56" i="17"/>
  <c r="K55" i="17"/>
  <c r="K54" i="17"/>
  <c r="K53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1" i="17"/>
  <c r="K30" i="17"/>
  <c r="K29" i="17"/>
  <c r="K28" i="17"/>
  <c r="K27" i="17"/>
  <c r="K26" i="17"/>
  <c r="K24" i="17"/>
  <c r="K23" i="17"/>
  <c r="K22" i="17"/>
  <c r="K21" i="17"/>
  <c r="K20" i="17"/>
  <c r="K19" i="17"/>
  <c r="K18" i="17"/>
  <c r="M18" i="17" s="1"/>
  <c r="K17" i="17"/>
  <c r="K16" i="17"/>
  <c r="K15" i="17"/>
  <c r="K12" i="17"/>
  <c r="K11" i="17" s="1"/>
  <c r="K34" i="14"/>
  <c r="K28" i="14"/>
  <c r="K25" i="14"/>
  <c r="K23" i="14" s="1"/>
  <c r="K16" i="14"/>
  <c r="K15" i="14"/>
  <c r="K13" i="14"/>
  <c r="K12" i="14"/>
  <c r="K10" i="14" s="1"/>
  <c r="K14" i="17" l="1"/>
  <c r="K38" i="17"/>
  <c r="K69" i="17"/>
  <c r="K52" i="17"/>
  <c r="L12" i="18"/>
  <c r="K10" i="18"/>
  <c r="L12" i="14"/>
  <c r="K25" i="17"/>
  <c r="M59" i="17"/>
  <c r="M46" i="17"/>
  <c r="M22" i="17"/>
  <c r="M63" i="17"/>
  <c r="M42" i="17"/>
  <c r="M28" i="17"/>
  <c r="M43" i="17"/>
  <c r="M56" i="17"/>
  <c r="M70" i="17"/>
  <c r="M24" i="17"/>
  <c r="M40" i="17"/>
  <c r="M48" i="17"/>
  <c r="M57" i="17"/>
  <c r="M71" i="17"/>
  <c r="M17" i="17"/>
  <c r="M21" i="17"/>
  <c r="M26" i="17"/>
  <c r="M30" i="17"/>
  <c r="M41" i="17"/>
  <c r="M45" i="17"/>
  <c r="M49" i="17"/>
  <c r="M54" i="17"/>
  <c r="M58" i="17"/>
  <c r="M62" i="17"/>
  <c r="M78" i="17"/>
  <c r="M77" i="17" s="1"/>
  <c r="K80" i="17"/>
  <c r="M27" i="17"/>
  <c r="M50" i="17"/>
  <c r="M81" i="17"/>
  <c r="M80" i="17" s="1"/>
  <c r="M19" i="17"/>
  <c r="M23" i="17"/>
  <c r="M39" i="17"/>
  <c r="M47" i="17"/>
  <c r="M51" i="17"/>
  <c r="M60" i="17"/>
  <c r="M85" i="17"/>
  <c r="M84" i="17" s="1"/>
  <c r="M76" i="17" s="1"/>
  <c r="M16" i="17"/>
  <c r="M20" i="17"/>
  <c r="M29" i="17"/>
  <c r="M44" i="17"/>
  <c r="M61" i="17"/>
  <c r="M12" i="17"/>
  <c r="M11" i="17" s="1"/>
  <c r="M31" i="17"/>
  <c r="M55" i="17"/>
  <c r="M15" i="17"/>
  <c r="M53" i="17"/>
  <c r="M15" i="18"/>
  <c r="K84" i="17"/>
  <c r="K77" i="17"/>
  <c r="M16" i="18"/>
  <c r="M12" i="18"/>
  <c r="L35" i="17"/>
  <c r="L76" i="17"/>
  <c r="L11" i="17"/>
  <c r="L10" i="17" s="1"/>
  <c r="K49" i="13"/>
  <c r="K48" i="13" s="1"/>
  <c r="K44" i="13" s="1"/>
  <c r="K43" i="13"/>
  <c r="L43" i="13" s="1"/>
  <c r="K42" i="13"/>
  <c r="K41" i="13"/>
  <c r="L41" i="13" s="1"/>
  <c r="K40" i="13"/>
  <c r="K39" i="13"/>
  <c r="L39" i="13" s="1"/>
  <c r="K38" i="13"/>
  <c r="L38" i="13" s="1"/>
  <c r="K37" i="13"/>
  <c r="L37" i="13" s="1"/>
  <c r="K36" i="13"/>
  <c r="L36" i="13" s="1"/>
  <c r="K34" i="13"/>
  <c r="K33" i="13"/>
  <c r="L33" i="13" s="1"/>
  <c r="K32" i="13"/>
  <c r="K31" i="13"/>
  <c r="L31" i="13" s="1"/>
  <c r="K30" i="13"/>
  <c r="L30" i="13" s="1"/>
  <c r="K29" i="13"/>
  <c r="L29" i="13" s="1"/>
  <c r="K28" i="13"/>
  <c r="L28" i="13" s="1"/>
  <c r="K26" i="13"/>
  <c r="K25" i="13"/>
  <c r="L25" i="13" s="1"/>
  <c r="K24" i="13"/>
  <c r="K23" i="13"/>
  <c r="L23" i="13" s="1"/>
  <c r="K22" i="13"/>
  <c r="L22" i="13" s="1"/>
  <c r="K21" i="13"/>
  <c r="L21" i="13" s="1"/>
  <c r="K20" i="13"/>
  <c r="L20" i="13" s="1"/>
  <c r="K18" i="13"/>
  <c r="K17" i="13"/>
  <c r="L17" i="13" s="1"/>
  <c r="K16" i="13"/>
  <c r="K15" i="13"/>
  <c r="L15" i="13" s="1"/>
  <c r="K14" i="13"/>
  <c r="L14" i="13" s="1"/>
  <c r="K13" i="13"/>
  <c r="L13" i="13" s="1"/>
  <c r="K12" i="13"/>
  <c r="L12" i="13" s="1"/>
  <c r="K76" i="17" l="1"/>
  <c r="M25" i="17"/>
  <c r="M38" i="17"/>
  <c r="M69" i="17"/>
  <c r="M66" i="17" s="1"/>
  <c r="M14" i="17"/>
  <c r="M52" i="17"/>
  <c r="K35" i="17"/>
  <c r="K10" i="17"/>
  <c r="K66" i="17"/>
  <c r="M12" i="13"/>
  <c r="M16" i="13"/>
  <c r="L18" i="13"/>
  <c r="M18" i="13" s="1"/>
  <c r="L26" i="13"/>
  <c r="M26" i="13" s="1"/>
  <c r="L34" i="13"/>
  <c r="M34" i="13" s="1"/>
  <c r="L42" i="13"/>
  <c r="M42" i="13" s="1"/>
  <c r="L49" i="13"/>
  <c r="L48" i="13" s="1"/>
  <c r="M20" i="13"/>
  <c r="M28" i="13"/>
  <c r="M36" i="13"/>
  <c r="K11" i="13"/>
  <c r="M14" i="13"/>
  <c r="L16" i="13"/>
  <c r="K19" i="13"/>
  <c r="L19" i="13" s="1"/>
  <c r="M22" i="13"/>
  <c r="L24" i="13"/>
  <c r="M24" i="13" s="1"/>
  <c r="K27" i="13"/>
  <c r="L27" i="13" s="1"/>
  <c r="M30" i="13"/>
  <c r="L32" i="13"/>
  <c r="M32" i="13" s="1"/>
  <c r="K35" i="13"/>
  <c r="L35" i="13" s="1"/>
  <c r="M38" i="13"/>
  <c r="L40" i="13"/>
  <c r="M40" i="13" s="1"/>
  <c r="L44" i="13"/>
  <c r="M13" i="13"/>
  <c r="M15" i="13"/>
  <c r="M17" i="13"/>
  <c r="M21" i="13"/>
  <c r="M23" i="13"/>
  <c r="M25" i="13"/>
  <c r="M27" i="13"/>
  <c r="M29" i="13"/>
  <c r="M31" i="13"/>
  <c r="M33" i="13"/>
  <c r="M35" i="13"/>
  <c r="M37" i="13"/>
  <c r="M39" i="13"/>
  <c r="M41" i="13"/>
  <c r="M43" i="13"/>
  <c r="L11" i="13" l="1"/>
  <c r="M35" i="17"/>
  <c r="L10" i="13"/>
  <c r="M19" i="13"/>
  <c r="K10" i="13"/>
  <c r="K9" i="13" s="1"/>
  <c r="K18" i="3" s="1"/>
  <c r="M10" i="17"/>
  <c r="L9" i="13"/>
  <c r="L18" i="3" s="1"/>
  <c r="M11" i="13"/>
  <c r="M10" i="13" s="1"/>
  <c r="M49" i="13"/>
  <c r="M48" i="13" s="1"/>
  <c r="M44" i="13"/>
  <c r="M9" i="13" l="1"/>
  <c r="M18" i="3" s="1"/>
  <c r="K58" i="27"/>
  <c r="L58" i="27" s="1"/>
  <c r="M58" i="27" s="1"/>
  <c r="K57" i="27"/>
  <c r="L57" i="27"/>
  <c r="K56" i="27"/>
  <c r="L56" i="27" s="1"/>
  <c r="K55" i="27"/>
  <c r="L55" i="27" s="1"/>
  <c r="K54" i="27"/>
  <c r="L54" i="27" s="1"/>
  <c r="K53" i="27"/>
  <c r="L53" i="27" s="1"/>
  <c r="M53" i="27" s="1"/>
  <c r="K52" i="27"/>
  <c r="L52" i="27" s="1"/>
  <c r="K51" i="27"/>
  <c r="L51" i="27"/>
  <c r="K49" i="27"/>
  <c r="L49" i="27" s="1"/>
  <c r="M49" i="27" s="1"/>
  <c r="K48" i="27"/>
  <c r="L48" i="27" s="1"/>
  <c r="K45" i="27"/>
  <c r="L45" i="27"/>
  <c r="M45" i="27" s="1"/>
  <c r="K44" i="27"/>
  <c r="L44" i="27" s="1"/>
  <c r="I43" i="27"/>
  <c r="H43" i="27"/>
  <c r="K42" i="27"/>
  <c r="L42" i="27" s="1"/>
  <c r="M42" i="27" s="1"/>
  <c r="K41" i="27"/>
  <c r="L41" i="27" s="1"/>
  <c r="K40" i="27"/>
  <c r="L40" i="27" s="1"/>
  <c r="K39" i="27"/>
  <c r="L39" i="27"/>
  <c r="M39" i="27" s="1"/>
  <c r="K38" i="27"/>
  <c r="L38" i="27" s="1"/>
  <c r="M38" i="27" s="1"/>
  <c r="K37" i="27"/>
  <c r="L37" i="27" s="1"/>
  <c r="I36" i="27"/>
  <c r="H9" i="27"/>
  <c r="K35" i="27"/>
  <c r="L35" i="27" s="1"/>
  <c r="K34" i="27"/>
  <c r="L34" i="27" s="1"/>
  <c r="K33" i="27"/>
  <c r="L33" i="27"/>
  <c r="M33" i="27" s="1"/>
  <c r="K32" i="27"/>
  <c r="L32" i="27" s="1"/>
  <c r="M32" i="27" s="1"/>
  <c r="K31" i="27"/>
  <c r="L31" i="27" s="1"/>
  <c r="K30" i="27"/>
  <c r="L30" i="27" s="1"/>
  <c r="K29" i="27"/>
  <c r="I28" i="27"/>
  <c r="K27" i="27"/>
  <c r="K26" i="27"/>
  <c r="L26" i="27"/>
  <c r="K25" i="27"/>
  <c r="L25" i="27"/>
  <c r="M25" i="27"/>
  <c r="K24" i="27"/>
  <c r="L24" i="27" s="1"/>
  <c r="K23" i="27"/>
  <c r="L23" i="27"/>
  <c r="K22" i="27"/>
  <c r="K21" i="27"/>
  <c r="L21" i="27" s="1"/>
  <c r="M21" i="27" s="1"/>
  <c r="K20" i="27"/>
  <c r="L20" i="27" s="1"/>
  <c r="K19" i="27"/>
  <c r="K18" i="27"/>
  <c r="L18" i="27" s="1"/>
  <c r="M18" i="27" s="1"/>
  <c r="K17" i="27"/>
  <c r="L17" i="27" s="1"/>
  <c r="M17" i="27" s="1"/>
  <c r="K16" i="27"/>
  <c r="L16" i="27" s="1"/>
  <c r="K15" i="27"/>
  <c r="L15" i="27"/>
  <c r="K14" i="27"/>
  <c r="K13" i="27"/>
  <c r="L13" i="27" s="1"/>
  <c r="M13" i="27" s="1"/>
  <c r="K12" i="27"/>
  <c r="L12" i="27" s="1"/>
  <c r="I11" i="27"/>
  <c r="K34" i="29"/>
  <c r="H33" i="29"/>
  <c r="H23" i="29" s="1"/>
  <c r="K16" i="29"/>
  <c r="L16" i="29"/>
  <c r="M16" i="29" s="1"/>
  <c r="K15" i="29"/>
  <c r="H14" i="29"/>
  <c r="H10" i="29" s="1"/>
  <c r="K19" i="26"/>
  <c r="L19" i="26" s="1"/>
  <c r="M19" i="26" s="1"/>
  <c r="K18" i="26"/>
  <c r="L18" i="26" s="1"/>
  <c r="M18" i="26" s="1"/>
  <c r="M17" i="26" s="1"/>
  <c r="H17" i="26"/>
  <c r="K16" i="26"/>
  <c r="K15" i="26"/>
  <c r="L15" i="26" s="1"/>
  <c r="M15" i="26" s="1"/>
  <c r="H14" i="26"/>
  <c r="K12" i="26"/>
  <c r="H11" i="26"/>
  <c r="K86" i="28"/>
  <c r="K85" i="28"/>
  <c r="L85" i="28" s="1"/>
  <c r="M85" i="28" s="1"/>
  <c r="K84" i="28"/>
  <c r="L83" i="28"/>
  <c r="M83" i="28" s="1"/>
  <c r="H82" i="28"/>
  <c r="H81" i="28" s="1"/>
  <c r="K78" i="28"/>
  <c r="L78" i="28" s="1"/>
  <c r="M78" i="28"/>
  <c r="H77" i="28"/>
  <c r="L76" i="28"/>
  <c r="M76" i="28" s="1"/>
  <c r="H75" i="28"/>
  <c r="L74" i="28"/>
  <c r="K74" i="28"/>
  <c r="K72" i="28"/>
  <c r="L72" i="28"/>
  <c r="L71" i="28"/>
  <c r="K71" i="28"/>
  <c r="H70" i="28"/>
  <c r="H68" i="28" s="1"/>
  <c r="K69" i="28"/>
  <c r="K66" i="28"/>
  <c r="L66" i="28" s="1"/>
  <c r="M66" i="28" s="1"/>
  <c r="H65" i="28"/>
  <c r="K65" i="28" s="1"/>
  <c r="K64" i="28"/>
  <c r="H64" i="28"/>
  <c r="K63" i="28"/>
  <c r="H62" i="28"/>
  <c r="H61" i="28"/>
  <c r="K61" i="28" s="1"/>
  <c r="H60" i="28"/>
  <c r="K60" i="28"/>
  <c r="K59" i="28"/>
  <c r="L59" i="28" s="1"/>
  <c r="M59" i="28" s="1"/>
  <c r="K58" i="28"/>
  <c r="L58" i="28" s="1"/>
  <c r="K57" i="28"/>
  <c r="L57" i="28" s="1"/>
  <c r="M57" i="28"/>
  <c r="H56" i="28"/>
  <c r="K56" i="28" s="1"/>
  <c r="H55" i="28"/>
  <c r="K55" i="28" s="1"/>
  <c r="L55" i="28" s="1"/>
  <c r="H54" i="28"/>
  <c r="K54" i="28" s="1"/>
  <c r="H53" i="28"/>
  <c r="K53" i="28" s="1"/>
  <c r="K52" i="28"/>
  <c r="L52" i="28"/>
  <c r="M52" i="28" s="1"/>
  <c r="H51" i="28"/>
  <c r="K50" i="28"/>
  <c r="L50" i="28" s="1"/>
  <c r="M50" i="28"/>
  <c r="K49" i="28"/>
  <c r="K48" i="28"/>
  <c r="H47" i="28"/>
  <c r="K47" i="28" s="1"/>
  <c r="L47" i="28" s="1"/>
  <c r="H46" i="28"/>
  <c r="K46" i="28" s="1"/>
  <c r="H45" i="28"/>
  <c r="K45" i="28" s="1"/>
  <c r="H44" i="28"/>
  <c r="H43" i="28"/>
  <c r="K43" i="28" s="1"/>
  <c r="L43" i="28" s="1"/>
  <c r="K42" i="28"/>
  <c r="L42" i="28" s="1"/>
  <c r="H42" i="28"/>
  <c r="H41" i="28"/>
  <c r="K41" i="28" s="1"/>
  <c r="L41" i="28" s="1"/>
  <c r="M41" i="28" s="1"/>
  <c r="K40" i="28"/>
  <c r="L40" i="28" s="1"/>
  <c r="K39" i="28"/>
  <c r="L39" i="28" s="1"/>
  <c r="M39" i="28" s="1"/>
  <c r="K38" i="28"/>
  <c r="L38" i="28" s="1"/>
  <c r="K37" i="28"/>
  <c r="K35" i="28"/>
  <c r="L35" i="28"/>
  <c r="L34" i="28"/>
  <c r="M34" i="28" s="1"/>
  <c r="K34" i="28"/>
  <c r="K33" i="28"/>
  <c r="L33" i="28"/>
  <c r="L32" i="28"/>
  <c r="M32" i="28" s="1"/>
  <c r="K32" i="28"/>
  <c r="K31" i="28"/>
  <c r="L31" i="28"/>
  <c r="K30" i="28"/>
  <c r="L30" i="28" s="1"/>
  <c r="M30" i="28" s="1"/>
  <c r="K29" i="28"/>
  <c r="L29" i="28" s="1"/>
  <c r="H28" i="28"/>
  <c r="L27" i="28"/>
  <c r="K27" i="28"/>
  <c r="K26" i="28"/>
  <c r="L26" i="28"/>
  <c r="L25" i="28"/>
  <c r="K25" i="28"/>
  <c r="K23" i="28"/>
  <c r="L23" i="28"/>
  <c r="H22" i="28"/>
  <c r="K22" i="28" s="1"/>
  <c r="H21" i="28"/>
  <c r="K21" i="28"/>
  <c r="L21" i="28" s="1"/>
  <c r="M21" i="28" s="1"/>
  <c r="H20" i="28"/>
  <c r="K20" i="28" s="1"/>
  <c r="K19" i="28"/>
  <c r="L19" i="28" s="1"/>
  <c r="H18" i="28"/>
  <c r="K18" i="28" s="1"/>
  <c r="K17" i="28"/>
  <c r="L17" i="28" s="1"/>
  <c r="H17" i="28"/>
  <c r="K16" i="28"/>
  <c r="H15" i="28"/>
  <c r="K15" i="28" s="1"/>
  <c r="H14" i="28"/>
  <c r="K14" i="28" s="1"/>
  <c r="K51" i="28"/>
  <c r="L51" i="28" s="1"/>
  <c r="M51" i="28" s="1"/>
  <c r="L63" i="28"/>
  <c r="M17" i="28"/>
  <c r="M19" i="28"/>
  <c r="K28" i="28"/>
  <c r="L28" i="28" s="1"/>
  <c r="H24" i="28"/>
  <c r="M58" i="28"/>
  <c r="K75" i="28"/>
  <c r="L75" i="28" s="1"/>
  <c r="H73" i="28"/>
  <c r="M9" i="17"/>
  <c r="M24" i="3" s="1"/>
  <c r="K28" i="34"/>
  <c r="H27" i="34"/>
  <c r="K25" i="34"/>
  <c r="K24" i="34" s="1"/>
  <c r="H24" i="34"/>
  <c r="K21" i="34"/>
  <c r="K20" i="34" s="1"/>
  <c r="H20" i="34"/>
  <c r="K19" i="34"/>
  <c r="L19" i="34" s="1"/>
  <c r="M19" i="34"/>
  <c r="K18" i="34"/>
  <c r="L18" i="34" s="1"/>
  <c r="M18" i="34" s="1"/>
  <c r="K17" i="34"/>
  <c r="L17" i="34" s="1"/>
  <c r="M17" i="34"/>
  <c r="K16" i="34"/>
  <c r="H15" i="34"/>
  <c r="K14" i="34"/>
  <c r="L14" i="34" s="1"/>
  <c r="M14" i="34" s="1"/>
  <c r="K13" i="34"/>
  <c r="K11" i="34" s="1"/>
  <c r="H11" i="34"/>
  <c r="L21" i="34"/>
  <c r="M75" i="28"/>
  <c r="L368" i="31"/>
  <c r="M368" i="31" s="1"/>
  <c r="M367" i="31" s="1"/>
  <c r="M357" i="31" s="1"/>
  <c r="K367" i="31"/>
  <c r="K357" i="31" s="1"/>
  <c r="L352" i="31"/>
  <c r="M352" i="31" s="1"/>
  <c r="L351" i="31"/>
  <c r="M351" i="31" s="1"/>
  <c r="L350" i="31"/>
  <c r="M350" i="31" s="1"/>
  <c r="L349" i="31"/>
  <c r="M349" i="31" s="1"/>
  <c r="L348" i="31"/>
  <c r="M348" i="31" s="1"/>
  <c r="L347" i="31"/>
  <c r="M347" i="31" s="1"/>
  <c r="L346" i="31"/>
  <c r="M346" i="31" s="1"/>
  <c r="K345" i="31"/>
  <c r="L343" i="31"/>
  <c r="M343" i="31" s="1"/>
  <c r="L342" i="31"/>
  <c r="M342" i="31" s="1"/>
  <c r="L341" i="31"/>
  <c r="M341" i="31" s="1"/>
  <c r="L340" i="31"/>
  <c r="M340" i="31" s="1"/>
  <c r="L339" i="31"/>
  <c r="M339" i="31" s="1"/>
  <c r="L338" i="31"/>
  <c r="M338" i="31" s="1"/>
  <c r="L337" i="31"/>
  <c r="M337" i="31" s="1"/>
  <c r="L336" i="31"/>
  <c r="M336" i="31" s="1"/>
  <c r="L335" i="31"/>
  <c r="M335" i="31" s="1"/>
  <c r="L334" i="31"/>
  <c r="M334" i="31" s="1"/>
  <c r="K333" i="31"/>
  <c r="L331" i="31"/>
  <c r="M331" i="31" s="1"/>
  <c r="L330" i="31"/>
  <c r="M330" i="31" s="1"/>
  <c r="L329" i="31"/>
  <c r="K328" i="31"/>
  <c r="H327" i="31"/>
  <c r="L321" i="31"/>
  <c r="M321" i="31" s="1"/>
  <c r="L320" i="31"/>
  <c r="M320" i="31" s="1"/>
  <c r="L319" i="31"/>
  <c r="M319" i="31" s="1"/>
  <c r="L318" i="31"/>
  <c r="M318" i="31" s="1"/>
  <c r="L317" i="31"/>
  <c r="M317" i="31" s="1"/>
  <c r="L316" i="31"/>
  <c r="M316" i="31" s="1"/>
  <c r="L315" i="31"/>
  <c r="M315" i="31" s="1"/>
  <c r="L314" i="31"/>
  <c r="M314" i="31" s="1"/>
  <c r="L313" i="31"/>
  <c r="M313" i="31" s="1"/>
  <c r="L312" i="31"/>
  <c r="M312" i="31" s="1"/>
  <c r="L311" i="31"/>
  <c r="M311" i="31" s="1"/>
  <c r="L310" i="31"/>
  <c r="M310" i="31" s="1"/>
  <c r="L309" i="31"/>
  <c r="M309" i="31" s="1"/>
  <c r="L308" i="31"/>
  <c r="M308" i="31" s="1"/>
  <c r="K307" i="31"/>
  <c r="L306" i="31"/>
  <c r="M306" i="31"/>
  <c r="L305" i="31"/>
  <c r="M305" i="31" s="1"/>
  <c r="L304" i="31"/>
  <c r="M304" i="31" s="1"/>
  <c r="L303" i="31"/>
  <c r="M303" i="31" s="1"/>
  <c r="L302" i="31"/>
  <c r="M302" i="31"/>
  <c r="L301" i="31"/>
  <c r="M301" i="31" s="1"/>
  <c r="L300" i="31"/>
  <c r="M300" i="31" s="1"/>
  <c r="L299" i="31"/>
  <c r="M299" i="31" s="1"/>
  <c r="L298" i="31"/>
  <c r="M298" i="31" s="1"/>
  <c r="L297" i="31"/>
  <c r="M297" i="31" s="1"/>
  <c r="L296" i="31"/>
  <c r="M296" i="31" s="1"/>
  <c r="L295" i="31"/>
  <c r="M295" i="31" s="1"/>
  <c r="L294" i="31"/>
  <c r="M294" i="31" s="1"/>
  <c r="L293" i="31"/>
  <c r="M293" i="31" s="1"/>
  <c r="L292" i="31"/>
  <c r="M292" i="31" s="1"/>
  <c r="L291" i="31"/>
  <c r="M291" i="31" s="1"/>
  <c r="K290" i="31"/>
  <c r="L288" i="31"/>
  <c r="M288" i="31" s="1"/>
  <c r="L287" i="31"/>
  <c r="M287" i="31" s="1"/>
  <c r="L286" i="31"/>
  <c r="M286" i="31" s="1"/>
  <c r="L285" i="31"/>
  <c r="M285" i="31" s="1"/>
  <c r="K284" i="31"/>
  <c r="H283" i="31"/>
  <c r="L279" i="31"/>
  <c r="M279" i="31" s="1"/>
  <c r="L278" i="31"/>
  <c r="M278" i="31" s="1"/>
  <c r="L277" i="31"/>
  <c r="M277" i="31"/>
  <c r="L276" i="31"/>
  <c r="M276" i="31" s="1"/>
  <c r="L275" i="31"/>
  <c r="M275" i="31" s="1"/>
  <c r="L274" i="31"/>
  <c r="M274" i="31" s="1"/>
  <c r="L273" i="31"/>
  <c r="M273" i="31" s="1"/>
  <c r="L272" i="31"/>
  <c r="M272" i="31" s="1"/>
  <c r="L271" i="31"/>
  <c r="M271" i="31" s="1"/>
  <c r="K270" i="31"/>
  <c r="K263" i="31" s="1"/>
  <c r="H270" i="31"/>
  <c r="H263" i="31" s="1"/>
  <c r="L259" i="31"/>
  <c r="M259" i="31" s="1"/>
  <c r="L258" i="31"/>
  <c r="M258" i="31" s="1"/>
  <c r="L257" i="31"/>
  <c r="M257" i="31" s="1"/>
  <c r="L256" i="31"/>
  <c r="M256" i="31" s="1"/>
  <c r="L255" i="31"/>
  <c r="M255" i="31" s="1"/>
  <c r="L254" i="31"/>
  <c r="M254" i="31" s="1"/>
  <c r="L253" i="31"/>
  <c r="M253" i="31" s="1"/>
  <c r="L252" i="31"/>
  <c r="M252" i="31" s="1"/>
  <c r="L251" i="31"/>
  <c r="M251" i="31" s="1"/>
  <c r="L250" i="31"/>
  <c r="M250" i="31" s="1"/>
  <c r="L249" i="31"/>
  <c r="M249" i="31" s="1"/>
  <c r="L248" i="31"/>
  <c r="M248" i="31" s="1"/>
  <c r="L247" i="31"/>
  <c r="M247" i="31" s="1"/>
  <c r="L246" i="31"/>
  <c r="L245" i="31" s="1"/>
  <c r="K245" i="31"/>
  <c r="H245" i="31"/>
  <c r="L243" i="31"/>
  <c r="M243" i="31" s="1"/>
  <c r="L242" i="31"/>
  <c r="M242" i="31" s="1"/>
  <c r="L241" i="31"/>
  <c r="M241" i="31" s="1"/>
  <c r="L240" i="31"/>
  <c r="M240" i="31" s="1"/>
  <c r="L239" i="31"/>
  <c r="M239" i="31" s="1"/>
  <c r="L238" i="31"/>
  <c r="M238" i="31" s="1"/>
  <c r="L237" i="31"/>
  <c r="M237" i="31" s="1"/>
  <c r="L236" i="31"/>
  <c r="M236" i="31" s="1"/>
  <c r="L235" i="31"/>
  <c r="M235" i="31" s="1"/>
  <c r="L234" i="31"/>
  <c r="M234" i="31" s="1"/>
  <c r="L233" i="31"/>
  <c r="M233" i="31" s="1"/>
  <c r="L232" i="31"/>
  <c r="M232" i="31" s="1"/>
  <c r="L231" i="31"/>
  <c r="M231" i="31" s="1"/>
  <c r="L230" i="31"/>
  <c r="M230" i="31" s="1"/>
  <c r="M229" i="31"/>
  <c r="L229" i="31"/>
  <c r="L228" i="31"/>
  <c r="M228" i="31" s="1"/>
  <c r="L227" i="31"/>
  <c r="M227" i="31" s="1"/>
  <c r="L226" i="31"/>
  <c r="M226" i="31" s="1"/>
  <c r="L225" i="31"/>
  <c r="M225" i="31" s="1"/>
  <c r="L224" i="31"/>
  <c r="M224" i="31" s="1"/>
  <c r="L223" i="31"/>
  <c r="M223" i="31" s="1"/>
  <c r="L222" i="31"/>
  <c r="M222" i="31" s="1"/>
  <c r="L221" i="31"/>
  <c r="M221" i="31" s="1"/>
  <c r="L220" i="31"/>
  <c r="K219" i="31"/>
  <c r="H219" i="31"/>
  <c r="H205" i="31" s="1"/>
  <c r="L216" i="31"/>
  <c r="M216" i="31" s="1"/>
  <c r="L215" i="31"/>
  <c r="M215" i="31" s="1"/>
  <c r="L214" i="31"/>
  <c r="M214" i="31" s="1"/>
  <c r="L213" i="31"/>
  <c r="M213" i="31" s="1"/>
  <c r="L212" i="31"/>
  <c r="M212" i="31" s="1"/>
  <c r="L211" i="31"/>
  <c r="M211" i="31" s="1"/>
  <c r="M210" i="31"/>
  <c r="L210" i="31"/>
  <c r="L209" i="31"/>
  <c r="M209" i="31" s="1"/>
  <c r="L208" i="31"/>
  <c r="M208" i="31" s="1"/>
  <c r="L207" i="31"/>
  <c r="K206" i="31"/>
  <c r="H206" i="31"/>
  <c r="L204" i="31"/>
  <c r="L203" i="31" s="1"/>
  <c r="K203" i="31"/>
  <c r="L195" i="31"/>
  <c r="L194" i="31" s="1"/>
  <c r="K194" i="31"/>
  <c r="L186" i="31"/>
  <c r="M186" i="31" s="1"/>
  <c r="L185" i="31"/>
  <c r="L184" i="31" s="1"/>
  <c r="L180" i="31" s="1"/>
  <c r="K184" i="31"/>
  <c r="K180" i="31" s="1"/>
  <c r="L177" i="31"/>
  <c r="M177" i="31"/>
  <c r="L176" i="31"/>
  <c r="M176" i="31" s="1"/>
  <c r="L175" i="31"/>
  <c r="M175" i="31" s="1"/>
  <c r="M174" i="31"/>
  <c r="L174" i="31"/>
  <c r="L173" i="31"/>
  <c r="M173" i="31" s="1"/>
  <c r="L172" i="31"/>
  <c r="M172" i="31" s="1"/>
  <c r="L171" i="31"/>
  <c r="M171" i="31" s="1"/>
  <c r="L170" i="31"/>
  <c r="M170" i="31" s="1"/>
  <c r="L169" i="31"/>
  <c r="M169" i="31" s="1"/>
  <c r="L168" i="31"/>
  <c r="M168" i="31" s="1"/>
  <c r="L167" i="31"/>
  <c r="M167" i="31" s="1"/>
  <c r="L166" i="31"/>
  <c r="M166" i="31" s="1"/>
  <c r="L165" i="31"/>
  <c r="M165" i="31" s="1"/>
  <c r="M164" i="31"/>
  <c r="L164" i="31"/>
  <c r="L163" i="31"/>
  <c r="M163" i="31" s="1"/>
  <c r="L162" i="31"/>
  <c r="K161" i="31"/>
  <c r="K151" i="31" s="1"/>
  <c r="L143" i="31"/>
  <c r="K142" i="31"/>
  <c r="K138" i="31" s="1"/>
  <c r="L130" i="31"/>
  <c r="M130" i="31" s="1"/>
  <c r="L129" i="31"/>
  <c r="M129" i="31" s="1"/>
  <c r="L128" i="31"/>
  <c r="K127" i="31"/>
  <c r="K123" i="31" s="1"/>
  <c r="L112" i="31"/>
  <c r="M112" i="31" s="1"/>
  <c r="L111" i="31"/>
  <c r="M111" i="31" s="1"/>
  <c r="L110" i="31"/>
  <c r="M110" i="31" s="1"/>
  <c r="L109" i="31"/>
  <c r="M109" i="31" s="1"/>
  <c r="L108" i="31"/>
  <c r="M108" i="31" s="1"/>
  <c r="L107" i="31"/>
  <c r="M107" i="31" s="1"/>
  <c r="L106" i="31"/>
  <c r="M106" i="31" s="1"/>
  <c r="L105" i="31"/>
  <c r="M105" i="31" s="1"/>
  <c r="L104" i="31"/>
  <c r="M104" i="31" s="1"/>
  <c r="L103" i="31"/>
  <c r="M103" i="31" s="1"/>
  <c r="L102" i="31"/>
  <c r="K101" i="31"/>
  <c r="K97" i="31"/>
  <c r="H97" i="31"/>
  <c r="L85" i="31"/>
  <c r="M85" i="31" s="1"/>
  <c r="L84" i="31"/>
  <c r="M84" i="31" s="1"/>
  <c r="L83" i="31"/>
  <c r="M83" i="31" s="1"/>
  <c r="M82" i="31"/>
  <c r="L82" i="31"/>
  <c r="L81" i="31"/>
  <c r="M81" i="31" s="1"/>
  <c r="L80" i="31"/>
  <c r="M80" i="31" s="1"/>
  <c r="L79" i="31"/>
  <c r="M79" i="31" s="1"/>
  <c r="L78" i="31"/>
  <c r="M78" i="31" s="1"/>
  <c r="L77" i="31"/>
  <c r="M77" i="31" s="1"/>
  <c r="L76" i="31"/>
  <c r="L75" i="31"/>
  <c r="M75" i="31" s="1"/>
  <c r="K74" i="31"/>
  <c r="K73" i="31"/>
  <c r="L62" i="31"/>
  <c r="K61" i="31"/>
  <c r="K60" i="31" s="1"/>
  <c r="L57" i="31"/>
  <c r="M57" i="31" s="1"/>
  <c r="L56" i="31"/>
  <c r="M56" i="31" s="1"/>
  <c r="L55" i="31"/>
  <c r="L54" i="31"/>
  <c r="M54" i="31"/>
  <c r="K53" i="31"/>
  <c r="K43" i="31" s="1"/>
  <c r="H53" i="31"/>
  <c r="H43" i="31" s="1"/>
  <c r="L35" i="31"/>
  <c r="M35" i="31" s="1"/>
  <c r="M34" i="31" s="1"/>
  <c r="M30" i="31" s="1"/>
  <c r="K34" i="31"/>
  <c r="K30" i="31" s="1"/>
  <c r="H34" i="31"/>
  <c r="H30" i="31" s="1"/>
  <c r="L29" i="31"/>
  <c r="M29" i="31" s="1"/>
  <c r="L28" i="31"/>
  <c r="L27" i="31" s="1"/>
  <c r="K27" i="31"/>
  <c r="H27" i="31"/>
  <c r="L21" i="31"/>
  <c r="M21" i="31" s="1"/>
  <c r="L20" i="31"/>
  <c r="M20" i="31" s="1"/>
  <c r="L19" i="31"/>
  <c r="M19" i="31" s="1"/>
  <c r="L18" i="31"/>
  <c r="M18" i="31"/>
  <c r="L17" i="31"/>
  <c r="M17" i="31" s="1"/>
  <c r="L16" i="31"/>
  <c r="M16" i="31" s="1"/>
  <c r="L15" i="31"/>
  <c r="M15" i="31" s="1"/>
  <c r="K14" i="31"/>
  <c r="K10" i="31" s="1"/>
  <c r="H14" i="31"/>
  <c r="H10" i="31" s="1"/>
  <c r="G73" i="25"/>
  <c r="F73" i="25"/>
  <c r="E73" i="25"/>
  <c r="G69" i="25"/>
  <c r="F69" i="25"/>
  <c r="E69" i="25"/>
  <c r="G67" i="25"/>
  <c r="F67" i="25"/>
  <c r="F66" i="25" s="1"/>
  <c r="E67" i="25"/>
  <c r="K63" i="25"/>
  <c r="K62" i="25"/>
  <c r="L62" i="25" s="1"/>
  <c r="K61" i="25"/>
  <c r="L61" i="25" s="1"/>
  <c r="K60" i="25"/>
  <c r="L60" i="25" s="1"/>
  <c r="H59" i="25"/>
  <c r="G59" i="25"/>
  <c r="F59" i="25"/>
  <c r="E59" i="25"/>
  <c r="B59" i="25"/>
  <c r="K58" i="25"/>
  <c r="L58" i="25" s="1"/>
  <c r="K57" i="25"/>
  <c r="K56" i="25"/>
  <c r="L56" i="25" s="1"/>
  <c r="M56" i="25" s="1"/>
  <c r="L55" i="25"/>
  <c r="K55" i="25"/>
  <c r="K54" i="25"/>
  <c r="L54" i="25" s="1"/>
  <c r="K53" i="25"/>
  <c r="L53" i="25" s="1"/>
  <c r="M53" i="25" s="1"/>
  <c r="K52" i="25"/>
  <c r="L52" i="25" s="1"/>
  <c r="K51" i="25"/>
  <c r="L51" i="25" s="1"/>
  <c r="K50" i="25"/>
  <c r="L50" i="25" s="1"/>
  <c r="K49" i="25"/>
  <c r="L49" i="25" s="1"/>
  <c r="K48" i="25"/>
  <c r="L48" i="25" s="1"/>
  <c r="M48" i="25" s="1"/>
  <c r="K47" i="25"/>
  <c r="L47" i="25" s="1"/>
  <c r="K46" i="25"/>
  <c r="L46" i="25" s="1"/>
  <c r="K45" i="25"/>
  <c r="K44" i="25"/>
  <c r="K43" i="25"/>
  <c r="L43" i="25" s="1"/>
  <c r="K42" i="25"/>
  <c r="L42" i="25" s="1"/>
  <c r="H41" i="25"/>
  <c r="G41" i="25"/>
  <c r="F41" i="25"/>
  <c r="F10" i="25" s="1"/>
  <c r="E41" i="25"/>
  <c r="B41" i="25"/>
  <c r="K40" i="25"/>
  <c r="L40" i="25" s="1"/>
  <c r="K39" i="25"/>
  <c r="K38" i="25"/>
  <c r="L38" i="25" s="1"/>
  <c r="K37" i="25"/>
  <c r="L37" i="25" s="1"/>
  <c r="M37" i="25" s="1"/>
  <c r="K36" i="25"/>
  <c r="K35" i="25"/>
  <c r="L35" i="25" s="1"/>
  <c r="K34" i="25"/>
  <c r="L34" i="25" s="1"/>
  <c r="K33" i="25"/>
  <c r="L33" i="25" s="1"/>
  <c r="K32" i="25"/>
  <c r="L32" i="25" s="1"/>
  <c r="K31" i="25"/>
  <c r="L31" i="25" s="1"/>
  <c r="K30" i="25"/>
  <c r="L30" i="25" s="1"/>
  <c r="M30" i="25"/>
  <c r="K29" i="25"/>
  <c r="L29" i="25" s="1"/>
  <c r="M29" i="25" s="1"/>
  <c r="K28" i="25"/>
  <c r="K27" i="25"/>
  <c r="L27" i="25"/>
  <c r="M27" i="25" s="1"/>
  <c r="K26" i="25"/>
  <c r="L26" i="25" s="1"/>
  <c r="K25" i="25"/>
  <c r="L25" i="25" s="1"/>
  <c r="M25" i="25" s="1"/>
  <c r="K24" i="25"/>
  <c r="L24" i="25" s="1"/>
  <c r="M24" i="25"/>
  <c r="K23" i="25"/>
  <c r="L23" i="25" s="1"/>
  <c r="M23" i="25" s="1"/>
  <c r="K22" i="25"/>
  <c r="L22" i="25" s="1"/>
  <c r="K21" i="25"/>
  <c r="L21" i="25" s="1"/>
  <c r="M21" i="25" s="1"/>
  <c r="K20" i="25"/>
  <c r="K19" i="25"/>
  <c r="L19" i="25" s="1"/>
  <c r="K18" i="25"/>
  <c r="L18" i="25" s="1"/>
  <c r="K17" i="25"/>
  <c r="L16" i="25"/>
  <c r="M16" i="25" s="1"/>
  <c r="K16" i="25"/>
  <c r="K15" i="25"/>
  <c r="K14" i="25"/>
  <c r="L14" i="25" s="1"/>
  <c r="M14" i="25" s="1"/>
  <c r="K13" i="25"/>
  <c r="L13" i="25" s="1"/>
  <c r="K12" i="25"/>
  <c r="L12" i="25" s="1"/>
  <c r="H11" i="25"/>
  <c r="G11" i="25"/>
  <c r="F11" i="25"/>
  <c r="E11" i="25"/>
  <c r="B11" i="25"/>
  <c r="M12" i="25"/>
  <c r="L17" i="25"/>
  <c r="M17" i="25" s="1"/>
  <c r="M19" i="25"/>
  <c r="M50" i="25"/>
  <c r="M52" i="25"/>
  <c r="M61" i="25"/>
  <c r="H244" i="24"/>
  <c r="H9" i="24" s="1"/>
  <c r="K12" i="24"/>
  <c r="K11" i="24"/>
  <c r="L11" i="24" s="1"/>
  <c r="M11" i="24" s="1"/>
  <c r="K248" i="24"/>
  <c r="K247" i="24"/>
  <c r="K246" i="24"/>
  <c r="K245" i="24"/>
  <c r="L245" i="24" s="1"/>
  <c r="S244" i="24"/>
  <c r="R244" i="24"/>
  <c r="Q244" i="24"/>
  <c r="P244" i="24"/>
  <c r="O244" i="24"/>
  <c r="N244" i="24"/>
  <c r="K244" i="24"/>
  <c r="L244" i="24" s="1"/>
  <c r="M244" i="24" s="1"/>
  <c r="K243" i="24"/>
  <c r="L243" i="24" s="1"/>
  <c r="K242" i="24"/>
  <c r="K241" i="24"/>
  <c r="L241" i="24" s="1"/>
  <c r="M241" i="24" s="1"/>
  <c r="K240" i="24"/>
  <c r="L240" i="24" s="1"/>
  <c r="K239" i="24"/>
  <c r="L239" i="24" s="1"/>
  <c r="M239" i="24" s="1"/>
  <c r="K238" i="24"/>
  <c r="L238" i="24" s="1"/>
  <c r="K237" i="24"/>
  <c r="L237" i="24" s="1"/>
  <c r="M237" i="24" s="1"/>
  <c r="K236" i="24"/>
  <c r="K235" i="24"/>
  <c r="L235" i="24" s="1"/>
  <c r="K234" i="24"/>
  <c r="L234" i="24" s="1"/>
  <c r="M234" i="24" s="1"/>
  <c r="K233" i="24"/>
  <c r="L233" i="24" s="1"/>
  <c r="M233" i="24" s="1"/>
  <c r="K232" i="24"/>
  <c r="K231" i="24"/>
  <c r="L231" i="24"/>
  <c r="M231" i="24" s="1"/>
  <c r="K230" i="24"/>
  <c r="L230" i="24" s="1"/>
  <c r="K229" i="24"/>
  <c r="L229" i="24" s="1"/>
  <c r="M229" i="24" s="1"/>
  <c r="K228" i="24"/>
  <c r="K226" i="24"/>
  <c r="K225" i="24"/>
  <c r="L225" i="24" s="1"/>
  <c r="M225" i="24" s="1"/>
  <c r="K224" i="24"/>
  <c r="L224" i="24" s="1"/>
  <c r="M224" i="24" s="1"/>
  <c r="K223" i="24"/>
  <c r="L223" i="24" s="1"/>
  <c r="M223" i="24" s="1"/>
  <c r="K222" i="24"/>
  <c r="L222" i="24" s="1"/>
  <c r="M222" i="24" s="1"/>
  <c r="K221" i="24"/>
  <c r="L221" i="24" s="1"/>
  <c r="K220" i="24"/>
  <c r="L220" i="24" s="1"/>
  <c r="M220" i="24" s="1"/>
  <c r="K219" i="24"/>
  <c r="L219" i="24" s="1"/>
  <c r="M219" i="24" s="1"/>
  <c r="K218" i="24"/>
  <c r="L218" i="24" s="1"/>
  <c r="K217" i="24"/>
  <c r="K216" i="24"/>
  <c r="L216" i="24" s="1"/>
  <c r="M216" i="24" s="1"/>
  <c r="K215" i="24"/>
  <c r="L215" i="24" s="1"/>
  <c r="K214" i="24"/>
  <c r="L214" i="24" s="1"/>
  <c r="M214" i="24" s="1"/>
  <c r="K213" i="24"/>
  <c r="L213" i="24" s="1"/>
  <c r="K212" i="24"/>
  <c r="L212" i="24" s="1"/>
  <c r="M212" i="24" s="1"/>
  <c r="K211" i="24"/>
  <c r="L211" i="24" s="1"/>
  <c r="M211" i="24" s="1"/>
  <c r="K210" i="24"/>
  <c r="L210" i="24" s="1"/>
  <c r="K209" i="24"/>
  <c r="K208" i="24"/>
  <c r="L208" i="24"/>
  <c r="M208" i="24" s="1"/>
  <c r="K207" i="24"/>
  <c r="L207" i="24" s="1"/>
  <c r="K206" i="24"/>
  <c r="L206" i="24"/>
  <c r="K205" i="24"/>
  <c r="L205" i="24" s="1"/>
  <c r="K204" i="24"/>
  <c r="L204" i="24" s="1"/>
  <c r="M204" i="24" s="1"/>
  <c r="K203" i="24"/>
  <c r="K202" i="24"/>
  <c r="K201" i="24"/>
  <c r="L201" i="24" s="1"/>
  <c r="M201" i="24" s="1"/>
  <c r="K200" i="24"/>
  <c r="L200" i="24" s="1"/>
  <c r="M200" i="24" s="1"/>
  <c r="K199" i="24"/>
  <c r="K198" i="24"/>
  <c r="L198" i="24"/>
  <c r="M198" i="24" s="1"/>
  <c r="K197" i="24"/>
  <c r="L197" i="24" s="1"/>
  <c r="K196" i="24"/>
  <c r="L196" i="24" s="1"/>
  <c r="M196" i="24" s="1"/>
  <c r="K195" i="24"/>
  <c r="L195" i="24" s="1"/>
  <c r="K194" i="24"/>
  <c r="L194" i="24" s="1"/>
  <c r="K193" i="24"/>
  <c r="K192" i="24"/>
  <c r="L192" i="24"/>
  <c r="M192" i="24" s="1"/>
  <c r="K191" i="24"/>
  <c r="L191" i="24" s="1"/>
  <c r="M191" i="24" s="1"/>
  <c r="K190" i="24"/>
  <c r="L190" i="24" s="1"/>
  <c r="M190" i="24" s="1"/>
  <c r="K189" i="24"/>
  <c r="K188" i="24"/>
  <c r="L188" i="24" s="1"/>
  <c r="M188" i="24" s="1"/>
  <c r="K187" i="24"/>
  <c r="L187" i="24" s="1"/>
  <c r="M187" i="24" s="1"/>
  <c r="K186" i="24"/>
  <c r="L186" i="24" s="1"/>
  <c r="K185" i="24"/>
  <c r="K184" i="24"/>
  <c r="L184" i="24" s="1"/>
  <c r="M184" i="24" s="1"/>
  <c r="K183" i="24"/>
  <c r="K182" i="24"/>
  <c r="L182" i="24"/>
  <c r="M182" i="24" s="1"/>
  <c r="K181" i="24"/>
  <c r="K180" i="24"/>
  <c r="L180" i="24" s="1"/>
  <c r="M180" i="24" s="1"/>
  <c r="K179" i="24"/>
  <c r="K178" i="24"/>
  <c r="L178" i="24" s="1"/>
  <c r="K177" i="24"/>
  <c r="L177" i="24" s="1"/>
  <c r="M177" i="24" s="1"/>
  <c r="K176" i="24"/>
  <c r="L176" i="24" s="1"/>
  <c r="M176" i="24" s="1"/>
  <c r="K175" i="24"/>
  <c r="L175" i="24" s="1"/>
  <c r="K174" i="24"/>
  <c r="L174" i="24" s="1"/>
  <c r="M174" i="24" s="1"/>
  <c r="K173" i="24"/>
  <c r="K172" i="24"/>
  <c r="L172" i="24" s="1"/>
  <c r="M172" i="24" s="1"/>
  <c r="K171" i="24"/>
  <c r="K170" i="24"/>
  <c r="K169" i="24"/>
  <c r="K168" i="24"/>
  <c r="L168" i="24" s="1"/>
  <c r="M168" i="24" s="1"/>
  <c r="K167" i="24"/>
  <c r="K166" i="24"/>
  <c r="L166" i="24"/>
  <c r="M166" i="24" s="1"/>
  <c r="K165" i="24"/>
  <c r="K164" i="24"/>
  <c r="L164" i="24" s="1"/>
  <c r="M164" i="24" s="1"/>
  <c r="K163" i="24"/>
  <c r="K162" i="24"/>
  <c r="L162" i="24" s="1"/>
  <c r="K161" i="24"/>
  <c r="L161" i="24" s="1"/>
  <c r="M161" i="24" s="1"/>
  <c r="K160" i="24"/>
  <c r="L160" i="24"/>
  <c r="M160" i="24" s="1"/>
  <c r="K159" i="24"/>
  <c r="L159" i="24" s="1"/>
  <c r="M159" i="24" s="1"/>
  <c r="K158" i="24"/>
  <c r="L158" i="24" s="1"/>
  <c r="M158" i="24" s="1"/>
  <c r="K157" i="24"/>
  <c r="L157" i="24" s="1"/>
  <c r="K156" i="24"/>
  <c r="L156" i="24" s="1"/>
  <c r="M156" i="24" s="1"/>
  <c r="K155" i="24"/>
  <c r="L155" i="24" s="1"/>
  <c r="M155" i="24" s="1"/>
  <c r="K154" i="24"/>
  <c r="L154" i="24"/>
  <c r="K153" i="24"/>
  <c r="L153" i="24" s="1"/>
  <c r="M153" i="24" s="1"/>
  <c r="K152" i="24"/>
  <c r="L152" i="24" s="1"/>
  <c r="M152" i="24" s="1"/>
  <c r="K151" i="24"/>
  <c r="L151" i="24" s="1"/>
  <c r="M151" i="24" s="1"/>
  <c r="K150" i="24"/>
  <c r="L150" i="24" s="1"/>
  <c r="M150" i="24" s="1"/>
  <c r="K149" i="24"/>
  <c r="L149" i="24" s="1"/>
  <c r="M149" i="24" s="1"/>
  <c r="K148" i="24"/>
  <c r="L148" i="24" s="1"/>
  <c r="M148" i="24" s="1"/>
  <c r="K147" i="24"/>
  <c r="L147" i="24" s="1"/>
  <c r="M147" i="24" s="1"/>
  <c r="K146" i="24"/>
  <c r="L146" i="24"/>
  <c r="M146" i="24" s="1"/>
  <c r="K145" i="24"/>
  <c r="L145" i="24" s="1"/>
  <c r="M145" i="24" s="1"/>
  <c r="K144" i="24"/>
  <c r="L144" i="24"/>
  <c r="M144" i="24" s="1"/>
  <c r="K143" i="24"/>
  <c r="L143" i="24" s="1"/>
  <c r="M143" i="24" s="1"/>
  <c r="K142" i="24"/>
  <c r="L142" i="24" s="1"/>
  <c r="M142" i="24" s="1"/>
  <c r="K141" i="24"/>
  <c r="L141" i="24" s="1"/>
  <c r="M141" i="24" s="1"/>
  <c r="K140" i="24"/>
  <c r="L140" i="24" s="1"/>
  <c r="M140" i="24" s="1"/>
  <c r="K139" i="24"/>
  <c r="L139" i="24" s="1"/>
  <c r="M139" i="24" s="1"/>
  <c r="K138" i="24"/>
  <c r="L138" i="24"/>
  <c r="M138" i="24" s="1"/>
  <c r="K137" i="24"/>
  <c r="L137" i="24" s="1"/>
  <c r="M137" i="24" s="1"/>
  <c r="K136" i="24"/>
  <c r="L136" i="24" s="1"/>
  <c r="M136" i="24" s="1"/>
  <c r="K135" i="24"/>
  <c r="L135" i="24" s="1"/>
  <c r="M135" i="24" s="1"/>
  <c r="K134" i="24"/>
  <c r="L134" i="24" s="1"/>
  <c r="M134" i="24" s="1"/>
  <c r="K133" i="24"/>
  <c r="L133" i="24" s="1"/>
  <c r="M133" i="24" s="1"/>
  <c r="K132" i="24"/>
  <c r="L132" i="24" s="1"/>
  <c r="M132" i="24" s="1"/>
  <c r="K131" i="24"/>
  <c r="L131" i="24" s="1"/>
  <c r="M131" i="24" s="1"/>
  <c r="K130" i="24"/>
  <c r="L130" i="24" s="1"/>
  <c r="M130" i="24" s="1"/>
  <c r="K129" i="24"/>
  <c r="L129" i="24" s="1"/>
  <c r="M129" i="24" s="1"/>
  <c r="K128" i="24"/>
  <c r="L128" i="24"/>
  <c r="M128" i="24" s="1"/>
  <c r="K127" i="24"/>
  <c r="L127" i="24" s="1"/>
  <c r="M127" i="24" s="1"/>
  <c r="K126" i="24"/>
  <c r="L126" i="24" s="1"/>
  <c r="M126" i="24" s="1"/>
  <c r="K125" i="24"/>
  <c r="L125" i="24" s="1"/>
  <c r="K124" i="24"/>
  <c r="L124" i="24" s="1"/>
  <c r="M124" i="24" s="1"/>
  <c r="K123" i="24"/>
  <c r="L123" i="24" s="1"/>
  <c r="M123" i="24" s="1"/>
  <c r="K122" i="24"/>
  <c r="L122" i="24"/>
  <c r="K121" i="24"/>
  <c r="L121" i="24" s="1"/>
  <c r="M121" i="24" s="1"/>
  <c r="K120" i="24"/>
  <c r="L120" i="24" s="1"/>
  <c r="M120" i="24" s="1"/>
  <c r="K119" i="24"/>
  <c r="L119" i="24" s="1"/>
  <c r="M119" i="24" s="1"/>
  <c r="K117" i="24"/>
  <c r="L117" i="24" s="1"/>
  <c r="K116" i="24"/>
  <c r="L116" i="24" s="1"/>
  <c r="M116" i="24" s="1"/>
  <c r="K115" i="24"/>
  <c r="L115" i="24" s="1"/>
  <c r="M115" i="24" s="1"/>
  <c r="K114" i="24"/>
  <c r="L114" i="24" s="1"/>
  <c r="M114" i="24" s="1"/>
  <c r="K113" i="24"/>
  <c r="L113" i="24"/>
  <c r="M113" i="24" s="1"/>
  <c r="K112" i="24"/>
  <c r="L112" i="24" s="1"/>
  <c r="M112" i="24" s="1"/>
  <c r="K111" i="24"/>
  <c r="L111" i="24"/>
  <c r="M111" i="24" s="1"/>
  <c r="K110" i="24"/>
  <c r="L110" i="24" s="1"/>
  <c r="M110" i="24" s="1"/>
  <c r="K109" i="24"/>
  <c r="L109" i="24" s="1"/>
  <c r="K108" i="24"/>
  <c r="L108" i="24" s="1"/>
  <c r="M108" i="24" s="1"/>
  <c r="K107" i="24"/>
  <c r="L107" i="24" s="1"/>
  <c r="M107" i="24" s="1"/>
  <c r="K106" i="24"/>
  <c r="L106" i="24" s="1"/>
  <c r="M106" i="24" s="1"/>
  <c r="K105" i="24"/>
  <c r="L105" i="24"/>
  <c r="K104" i="24"/>
  <c r="L104" i="24" s="1"/>
  <c r="M104" i="24" s="1"/>
  <c r="K103" i="24"/>
  <c r="L103" i="24" s="1"/>
  <c r="M103" i="24" s="1"/>
  <c r="K102" i="24"/>
  <c r="L102" i="24" s="1"/>
  <c r="M102" i="24" s="1"/>
  <c r="K101" i="24"/>
  <c r="L101" i="24" s="1"/>
  <c r="K100" i="24"/>
  <c r="L100" i="24" s="1"/>
  <c r="M100" i="24" s="1"/>
  <c r="K99" i="24"/>
  <c r="L99" i="24" s="1"/>
  <c r="M99" i="24" s="1"/>
  <c r="K98" i="24"/>
  <c r="L98" i="24" s="1"/>
  <c r="M98" i="24" s="1"/>
  <c r="K97" i="24"/>
  <c r="L97" i="24"/>
  <c r="K96" i="24"/>
  <c r="L96" i="24" s="1"/>
  <c r="M96" i="24" s="1"/>
  <c r="K95" i="24"/>
  <c r="L95" i="24" s="1"/>
  <c r="M95" i="24" s="1"/>
  <c r="K94" i="24"/>
  <c r="L94" i="24" s="1"/>
  <c r="M94" i="24" s="1"/>
  <c r="K93" i="24"/>
  <c r="L93" i="24" s="1"/>
  <c r="K92" i="24"/>
  <c r="L92" i="24" s="1"/>
  <c r="K91" i="24"/>
  <c r="L91" i="24" s="1"/>
  <c r="M91" i="24" s="1"/>
  <c r="K90" i="24"/>
  <c r="L90" i="24" s="1"/>
  <c r="M90" i="24" s="1"/>
  <c r="K89" i="24"/>
  <c r="L89" i="24"/>
  <c r="K88" i="24"/>
  <c r="L88" i="24" s="1"/>
  <c r="K87" i="24"/>
  <c r="L87" i="24" s="1"/>
  <c r="M87" i="24" s="1"/>
  <c r="K86" i="24"/>
  <c r="L86" i="24" s="1"/>
  <c r="M86" i="24" s="1"/>
  <c r="K85" i="24"/>
  <c r="L85" i="24" s="1"/>
  <c r="K84" i="24"/>
  <c r="L84" i="24" s="1"/>
  <c r="M84" i="24" s="1"/>
  <c r="K83" i="24"/>
  <c r="L83" i="24" s="1"/>
  <c r="M83" i="24" s="1"/>
  <c r="K82" i="24"/>
  <c r="L82" i="24" s="1"/>
  <c r="M82" i="24" s="1"/>
  <c r="K81" i="24"/>
  <c r="L81" i="24" s="1"/>
  <c r="M81" i="24" s="1"/>
  <c r="K80" i="24"/>
  <c r="L80" i="24" s="1"/>
  <c r="K79" i="24"/>
  <c r="L79" i="24" s="1"/>
  <c r="M79" i="24" s="1"/>
  <c r="K78" i="24"/>
  <c r="L78" i="24" s="1"/>
  <c r="M78" i="24" s="1"/>
  <c r="K77" i="24"/>
  <c r="L77" i="24" s="1"/>
  <c r="K76" i="24"/>
  <c r="L76" i="24" s="1"/>
  <c r="M76" i="24" s="1"/>
  <c r="K75" i="24"/>
  <c r="L75" i="24" s="1"/>
  <c r="M75" i="24" s="1"/>
  <c r="K74" i="24"/>
  <c r="L74" i="24" s="1"/>
  <c r="M74" i="24" s="1"/>
  <c r="K73" i="24"/>
  <c r="L73" i="24"/>
  <c r="K72" i="24"/>
  <c r="L72" i="24" s="1"/>
  <c r="K71" i="24"/>
  <c r="L71" i="24" s="1"/>
  <c r="M71" i="24" s="1"/>
  <c r="K70" i="24"/>
  <c r="L70" i="24" s="1"/>
  <c r="M70" i="24" s="1"/>
  <c r="K69" i="24"/>
  <c r="L69" i="24" s="1"/>
  <c r="K68" i="24"/>
  <c r="L68" i="24" s="1"/>
  <c r="M68" i="24" s="1"/>
  <c r="K67" i="24"/>
  <c r="L67" i="24" s="1"/>
  <c r="M67" i="24" s="1"/>
  <c r="K66" i="24"/>
  <c r="L66" i="24" s="1"/>
  <c r="M66" i="24" s="1"/>
  <c r="K65" i="24"/>
  <c r="K64" i="24"/>
  <c r="L64" i="24" s="1"/>
  <c r="K63" i="24"/>
  <c r="L63" i="24"/>
  <c r="M63" i="24" s="1"/>
  <c r="K62" i="24"/>
  <c r="L62" i="24" s="1"/>
  <c r="M62" i="24" s="1"/>
  <c r="K61" i="24"/>
  <c r="L61" i="24" s="1"/>
  <c r="K60" i="24"/>
  <c r="L60" i="24" s="1"/>
  <c r="K59" i="24"/>
  <c r="L59" i="24" s="1"/>
  <c r="M59" i="24" s="1"/>
  <c r="K58" i="24"/>
  <c r="L58" i="24" s="1"/>
  <c r="M58" i="24" s="1"/>
  <c r="K57" i="24"/>
  <c r="L57" i="24"/>
  <c r="M57" i="24" s="1"/>
  <c r="K56" i="24"/>
  <c r="L56" i="24" s="1"/>
  <c r="K55" i="24"/>
  <c r="L55" i="24" s="1"/>
  <c r="M55" i="24" s="1"/>
  <c r="K54" i="24"/>
  <c r="L54" i="24" s="1"/>
  <c r="M54" i="24" s="1"/>
  <c r="K53" i="24"/>
  <c r="L53" i="24" s="1"/>
  <c r="K52" i="24"/>
  <c r="L52" i="24" s="1"/>
  <c r="M52" i="24" s="1"/>
  <c r="K51" i="24"/>
  <c r="L51" i="24" s="1"/>
  <c r="M51" i="24" s="1"/>
  <c r="K50" i="24"/>
  <c r="L50" i="24" s="1"/>
  <c r="M50" i="24" s="1"/>
  <c r="K49" i="24"/>
  <c r="L49" i="24"/>
  <c r="M49" i="24" s="1"/>
  <c r="K48" i="24"/>
  <c r="L48" i="24" s="1"/>
  <c r="K47" i="24"/>
  <c r="L47" i="24"/>
  <c r="M47" i="24" s="1"/>
  <c r="K46" i="24"/>
  <c r="L46" i="24" s="1"/>
  <c r="M46" i="24" s="1"/>
  <c r="K45" i="24"/>
  <c r="L45" i="24" s="1"/>
  <c r="K44" i="24"/>
  <c r="L44" i="24" s="1"/>
  <c r="M44" i="24" s="1"/>
  <c r="K43" i="24"/>
  <c r="L43" i="24" s="1"/>
  <c r="M43" i="24" s="1"/>
  <c r="K42" i="24"/>
  <c r="L42" i="24" s="1"/>
  <c r="M42" i="24" s="1"/>
  <c r="K41" i="24"/>
  <c r="L41" i="24"/>
  <c r="K40" i="24"/>
  <c r="L40" i="24" s="1"/>
  <c r="K39" i="24"/>
  <c r="L39" i="24" s="1"/>
  <c r="M39" i="24" s="1"/>
  <c r="K38" i="24"/>
  <c r="L38" i="24" s="1"/>
  <c r="M38" i="24" s="1"/>
  <c r="K37" i="24"/>
  <c r="L37" i="24" s="1"/>
  <c r="K36" i="24"/>
  <c r="L36" i="24" s="1"/>
  <c r="M36" i="24" s="1"/>
  <c r="K35" i="24"/>
  <c r="L35" i="24" s="1"/>
  <c r="M35" i="24" s="1"/>
  <c r="K34" i="24"/>
  <c r="L34" i="24" s="1"/>
  <c r="M34" i="24" s="1"/>
  <c r="K33" i="24"/>
  <c r="L33" i="24"/>
  <c r="K32" i="24"/>
  <c r="L32" i="24" s="1"/>
  <c r="K31" i="24"/>
  <c r="L31" i="24" s="1"/>
  <c r="M31" i="24" s="1"/>
  <c r="K30" i="24"/>
  <c r="K29" i="24"/>
  <c r="L29" i="24" s="1"/>
  <c r="M29" i="24" s="1"/>
  <c r="L28" i="24"/>
  <c r="K28" i="24"/>
  <c r="K27" i="24"/>
  <c r="L27" i="24" s="1"/>
  <c r="M27" i="24" s="1"/>
  <c r="K26" i="24"/>
  <c r="L26" i="24" s="1"/>
  <c r="K25" i="24"/>
  <c r="L25" i="24" s="1"/>
  <c r="K24" i="24"/>
  <c r="K23" i="24"/>
  <c r="L23" i="24" s="1"/>
  <c r="M23" i="24" s="1"/>
  <c r="K22" i="24"/>
  <c r="K21" i="24"/>
  <c r="K20" i="24"/>
  <c r="L20" i="24" s="1"/>
  <c r="M20" i="24" s="1"/>
  <c r="K19" i="24"/>
  <c r="K18" i="24"/>
  <c r="L18" i="24" s="1"/>
  <c r="K17" i="24"/>
  <c r="L17" i="24" s="1"/>
  <c r="M17" i="24" s="1"/>
  <c r="K16" i="24"/>
  <c r="L16" i="24" s="1"/>
  <c r="M16" i="24" s="1"/>
  <c r="K15" i="24"/>
  <c r="L15" i="24" s="1"/>
  <c r="M15" i="24" s="1"/>
  <c r="K14" i="24"/>
  <c r="K13" i="24"/>
  <c r="L13" i="24" s="1"/>
  <c r="M13" i="24" s="1"/>
  <c r="L12" i="24"/>
  <c r="M12" i="24" s="1"/>
  <c r="K10" i="24"/>
  <c r="L163" i="24"/>
  <c r="L167" i="24"/>
  <c r="M167" i="24" s="1"/>
  <c r="L169" i="24"/>
  <c r="M169" i="24" s="1"/>
  <c r="L171" i="24"/>
  <c r="M171" i="24" s="1"/>
  <c r="L179" i="24"/>
  <c r="M179" i="24" s="1"/>
  <c r="L183" i="24"/>
  <c r="L185" i="24"/>
  <c r="M185" i="24" s="1"/>
  <c r="L193" i="24"/>
  <c r="M193" i="24" s="1"/>
  <c r="M195" i="24"/>
  <c r="L199" i="24"/>
  <c r="M199" i="24" s="1"/>
  <c r="L203" i="24"/>
  <c r="M203" i="24"/>
  <c r="L209" i="24"/>
  <c r="M209" i="24" s="1"/>
  <c r="L217" i="24"/>
  <c r="M217" i="24" s="1"/>
  <c r="L228" i="24"/>
  <c r="M228" i="24"/>
  <c r="L232" i="24"/>
  <c r="M232" i="24" s="1"/>
  <c r="L236" i="24"/>
  <c r="M236" i="24" s="1"/>
  <c r="L242" i="24"/>
  <c r="M242" i="24" s="1"/>
  <c r="L14" i="24"/>
  <c r="L30" i="24"/>
  <c r="M89" i="24"/>
  <c r="M122" i="24"/>
  <c r="M154" i="24"/>
  <c r="M25" i="24"/>
  <c r="M60" i="24"/>
  <c r="M92" i="24"/>
  <c r="M125" i="24"/>
  <c r="M157" i="24"/>
  <c r="L247" i="24"/>
  <c r="M247" i="24"/>
  <c r="M178" i="24"/>
  <c r="M186" i="24"/>
  <c r="M206" i="24"/>
  <c r="M210" i="24"/>
  <c r="M218" i="24"/>
  <c r="M235" i="24"/>
  <c r="M243" i="24"/>
  <c r="L168" i="23"/>
  <c r="L164" i="23" s="1"/>
  <c r="K164" i="23"/>
  <c r="L156" i="23"/>
  <c r="L152" i="23" s="1"/>
  <c r="K152" i="23"/>
  <c r="L150" i="23"/>
  <c r="K150" i="23"/>
  <c r="L145" i="23"/>
  <c r="L133" i="23"/>
  <c r="L124" i="23"/>
  <c r="L115" i="23"/>
  <c r="L110" i="23"/>
  <c r="L93" i="23"/>
  <c r="L81" i="23"/>
  <c r="L73" i="23"/>
  <c r="L70" i="23"/>
  <c r="L54" i="23"/>
  <c r="L40" i="23"/>
  <c r="L30" i="23"/>
  <c r="L22" i="23"/>
  <c r="L14" i="23"/>
  <c r="M150" i="23"/>
  <c r="M133" i="23"/>
  <c r="M81" i="23"/>
  <c r="M22" i="23"/>
  <c r="K12" i="19"/>
  <c r="K93" i="21"/>
  <c r="L93" i="21" s="1"/>
  <c r="M93" i="21"/>
  <c r="K83" i="21"/>
  <c r="L83" i="21" s="1"/>
  <c r="K74" i="21"/>
  <c r="L74" i="21" s="1"/>
  <c r="M74" i="21"/>
  <c r="K73" i="21"/>
  <c r="L73" i="21" s="1"/>
  <c r="M73" i="21" s="1"/>
  <c r="K72" i="21"/>
  <c r="K71" i="21"/>
  <c r="L71" i="21"/>
  <c r="H70" i="21"/>
  <c r="H66" i="21" s="1"/>
  <c r="L68" i="21"/>
  <c r="M68" i="21" s="1"/>
  <c r="K68" i="21"/>
  <c r="K62" i="21"/>
  <c r="L62" i="21" s="1"/>
  <c r="H61" i="21"/>
  <c r="L60" i="21"/>
  <c r="M60" i="21" s="1"/>
  <c r="L59" i="21"/>
  <c r="M59" i="21"/>
  <c r="H58" i="21"/>
  <c r="H55" i="21" s="1"/>
  <c r="K55" i="21"/>
  <c r="K50" i="21"/>
  <c r="L50" i="21" s="1"/>
  <c r="M50" i="21" s="1"/>
  <c r="K49" i="21"/>
  <c r="K43" i="21" s="1"/>
  <c r="K48" i="21"/>
  <c r="L48" i="21"/>
  <c r="M48" i="21" s="1"/>
  <c r="K47" i="21"/>
  <c r="H46" i="21"/>
  <c r="K38" i="21"/>
  <c r="K34" i="21" s="1"/>
  <c r="L38" i="21"/>
  <c r="H37" i="21"/>
  <c r="K31" i="21"/>
  <c r="L31" i="21" s="1"/>
  <c r="K30" i="21"/>
  <c r="L30" i="21" s="1"/>
  <c r="M30" i="21" s="1"/>
  <c r="K29" i="21"/>
  <c r="L29" i="21"/>
  <c r="K28" i="21"/>
  <c r="H27" i="21"/>
  <c r="K26" i="21"/>
  <c r="L25" i="21"/>
  <c r="M25" i="21" s="1"/>
  <c r="K25" i="21"/>
  <c r="K24" i="21"/>
  <c r="L24" i="21" s="1"/>
  <c r="M24" i="21" s="1"/>
  <c r="K23" i="21"/>
  <c r="K22" i="21"/>
  <c r="L21" i="21"/>
  <c r="M21" i="21" s="1"/>
  <c r="K21" i="21"/>
  <c r="K20" i="21"/>
  <c r="L20" i="21" s="1"/>
  <c r="K19" i="21"/>
  <c r="K18" i="21"/>
  <c r="K17" i="21"/>
  <c r="H16" i="21"/>
  <c r="K15" i="21"/>
  <c r="L15" i="21" s="1"/>
  <c r="L14" i="21"/>
  <c r="M14" i="21" s="1"/>
  <c r="K14" i="21"/>
  <c r="K13" i="21"/>
  <c r="L13" i="21"/>
  <c r="M13" i="21" s="1"/>
  <c r="K12" i="21"/>
  <c r="H11" i="21"/>
  <c r="M29" i="21"/>
  <c r="M71" i="21"/>
  <c r="K37" i="21"/>
  <c r="I150" i="19"/>
  <c r="K150" i="19" s="1"/>
  <c r="H150" i="19"/>
  <c r="H146" i="19" s="1"/>
  <c r="K149" i="19"/>
  <c r="L148" i="19"/>
  <c r="K148" i="19"/>
  <c r="K147" i="19"/>
  <c r="K146" i="19" s="1"/>
  <c r="I145" i="19"/>
  <c r="K145" i="19"/>
  <c r="L145" i="19" s="1"/>
  <c r="M145" i="19" s="1"/>
  <c r="H145" i="19"/>
  <c r="K144" i="19"/>
  <c r="K143" i="19" s="1"/>
  <c r="I144" i="19"/>
  <c r="H144" i="19"/>
  <c r="H143" i="19" s="1"/>
  <c r="I142" i="19"/>
  <c r="K142" i="19" s="1"/>
  <c r="H142" i="19"/>
  <c r="I141" i="19"/>
  <c r="K141" i="19" s="1"/>
  <c r="H141" i="19"/>
  <c r="I140" i="19"/>
  <c r="K140" i="19"/>
  <c r="L140" i="19" s="1"/>
  <c r="M140" i="19" s="1"/>
  <c r="H140" i="19"/>
  <c r="I139" i="19"/>
  <c r="K139" i="19" s="1"/>
  <c r="H139" i="19"/>
  <c r="H137" i="19"/>
  <c r="K138" i="19"/>
  <c r="I136" i="19"/>
  <c r="K136" i="19" s="1"/>
  <c r="L136" i="19" s="1"/>
  <c r="M136" i="19" s="1"/>
  <c r="H136" i="19"/>
  <c r="I135" i="19"/>
  <c r="K135" i="19" s="1"/>
  <c r="H135" i="19"/>
  <c r="K134" i="19"/>
  <c r="L134" i="19" s="1"/>
  <c r="M134" i="19" s="1"/>
  <c r="I134" i="19"/>
  <c r="H134" i="19"/>
  <c r="I133" i="19"/>
  <c r="K133" i="19" s="1"/>
  <c r="L133" i="19" s="1"/>
  <c r="H133" i="19"/>
  <c r="I132" i="19"/>
  <c r="K132" i="19" s="1"/>
  <c r="L132" i="19" s="1"/>
  <c r="H132" i="19"/>
  <c r="H130" i="19" s="1"/>
  <c r="H129" i="19" s="1"/>
  <c r="K131" i="19"/>
  <c r="J129" i="19"/>
  <c r="I129" i="19"/>
  <c r="K128" i="19"/>
  <c r="L128" i="19" s="1"/>
  <c r="K127" i="19"/>
  <c r="K126" i="19"/>
  <c r="L126" i="19" s="1"/>
  <c r="L125" i="19"/>
  <c r="K125" i="19"/>
  <c r="M125" i="19"/>
  <c r="K124" i="19"/>
  <c r="L124" i="19"/>
  <c r="K123" i="19"/>
  <c r="K122" i="19"/>
  <c r="K121" i="19"/>
  <c r="H120" i="19"/>
  <c r="H110" i="19" s="1"/>
  <c r="J110" i="19"/>
  <c r="I110" i="19"/>
  <c r="K109" i="19"/>
  <c r="M109" i="19" s="1"/>
  <c r="L109" i="19"/>
  <c r="K108" i="19"/>
  <c r="K107" i="19"/>
  <c r="L107" i="19" s="1"/>
  <c r="K106" i="19"/>
  <c r="K105" i="19"/>
  <c r="L105" i="19"/>
  <c r="K104" i="19"/>
  <c r="K103" i="19"/>
  <c r="L103" i="19" s="1"/>
  <c r="K102" i="19"/>
  <c r="L102" i="19" s="1"/>
  <c r="M102" i="19" s="1"/>
  <c r="K101" i="19"/>
  <c r="L101" i="19"/>
  <c r="M101" i="19" s="1"/>
  <c r="K100" i="19"/>
  <c r="K99" i="19"/>
  <c r="H98" i="19"/>
  <c r="H88" i="19" s="1"/>
  <c r="J88" i="19"/>
  <c r="I88" i="19"/>
  <c r="K87" i="19"/>
  <c r="L87" i="19" s="1"/>
  <c r="M87" i="19" s="1"/>
  <c r="K86" i="19"/>
  <c r="H85" i="19"/>
  <c r="K84" i="19"/>
  <c r="K83" i="19"/>
  <c r="L83" i="19" s="1"/>
  <c r="K82" i="19"/>
  <c r="L82" i="19" s="1"/>
  <c r="K81" i="19"/>
  <c r="L81" i="19" s="1"/>
  <c r="K80" i="19"/>
  <c r="K79" i="19"/>
  <c r="H78" i="19"/>
  <c r="K77" i="19"/>
  <c r="K76" i="19"/>
  <c r="L76" i="19" s="1"/>
  <c r="L75" i="19"/>
  <c r="K75" i="19"/>
  <c r="K74" i="19"/>
  <c r="L74" i="19"/>
  <c r="K73" i="19"/>
  <c r="H72" i="19"/>
  <c r="K71" i="19"/>
  <c r="K70" i="19" s="1"/>
  <c r="J69" i="19"/>
  <c r="I69" i="19"/>
  <c r="K68" i="19"/>
  <c r="L68" i="19"/>
  <c r="M68" i="19" s="1"/>
  <c r="K67" i="19"/>
  <c r="K66" i="19"/>
  <c r="L66" i="19" s="1"/>
  <c r="K65" i="19"/>
  <c r="H64" i="19"/>
  <c r="L63" i="19"/>
  <c r="K63" i="19"/>
  <c r="M63" i="19" s="1"/>
  <c r="K62" i="19"/>
  <c r="L62" i="19"/>
  <c r="M62" i="19" s="1"/>
  <c r="K61" i="19"/>
  <c r="H60" i="19"/>
  <c r="K59" i="19"/>
  <c r="L59" i="19"/>
  <c r="M59" i="19" s="1"/>
  <c r="K58" i="19"/>
  <c r="K57" i="19"/>
  <c r="L57" i="19" s="1"/>
  <c r="K56" i="19"/>
  <c r="L56" i="19" s="1"/>
  <c r="M56" i="19" s="1"/>
  <c r="K55" i="19"/>
  <c r="L55" i="19" s="1"/>
  <c r="H54" i="19"/>
  <c r="K53" i="19"/>
  <c r="K52" i="19"/>
  <c r="K51" i="19"/>
  <c r="H50" i="19"/>
  <c r="J49" i="19"/>
  <c r="I49" i="19"/>
  <c r="K48" i="19"/>
  <c r="M48" i="19" s="1"/>
  <c r="L48" i="19"/>
  <c r="K47" i="19"/>
  <c r="K46" i="19"/>
  <c r="K45" i="19"/>
  <c r="K44" i="19"/>
  <c r="L44" i="19"/>
  <c r="M44" i="19" s="1"/>
  <c r="L43" i="19"/>
  <c r="K43" i="19"/>
  <c r="M43" i="19" s="1"/>
  <c r="H42" i="19"/>
  <c r="K41" i="19"/>
  <c r="L41" i="19" s="1"/>
  <c r="K40" i="19"/>
  <c r="K39" i="19"/>
  <c r="L39" i="19" s="1"/>
  <c r="L38" i="19"/>
  <c r="M38" i="19" s="1"/>
  <c r="K38" i="19"/>
  <c r="K37" i="19"/>
  <c r="L37" i="19"/>
  <c r="M37" i="19" s="1"/>
  <c r="K36" i="19"/>
  <c r="K35" i="19"/>
  <c r="L35" i="19" s="1"/>
  <c r="K34" i="19"/>
  <c r="H33" i="19"/>
  <c r="K32" i="19"/>
  <c r="L32" i="19" s="1"/>
  <c r="L31" i="19"/>
  <c r="M31" i="19" s="1"/>
  <c r="K31" i="19"/>
  <c r="K30" i="19"/>
  <c r="L30" i="19"/>
  <c r="M30" i="19" s="1"/>
  <c r="K29" i="19"/>
  <c r="K28" i="19"/>
  <c r="K27" i="19"/>
  <c r="L27" i="19" s="1"/>
  <c r="M27" i="19" s="1"/>
  <c r="K26" i="19"/>
  <c r="L26" i="19" s="1"/>
  <c r="M26" i="19" s="1"/>
  <c r="K25" i="19"/>
  <c r="K24" i="19"/>
  <c r="L24" i="19" s="1"/>
  <c r="L23" i="19"/>
  <c r="M23" i="19" s="1"/>
  <c r="K23" i="19"/>
  <c r="H22" i="19"/>
  <c r="H10" i="19" s="1"/>
  <c r="K21" i="19"/>
  <c r="L21" i="19" s="1"/>
  <c r="M21" i="19" s="1"/>
  <c r="K20" i="19"/>
  <c r="K19" i="19"/>
  <c r="L19" i="19" s="1"/>
  <c r="L18" i="19"/>
  <c r="M18" i="19" s="1"/>
  <c r="K18" i="19"/>
  <c r="K17" i="19"/>
  <c r="L17" i="19" s="1"/>
  <c r="M17" i="19" s="1"/>
  <c r="K16" i="19"/>
  <c r="K15" i="19"/>
  <c r="L14" i="19"/>
  <c r="K14" i="19"/>
  <c r="M14" i="19" s="1"/>
  <c r="H11" i="19"/>
  <c r="J10" i="19"/>
  <c r="J9" i="19" s="1"/>
  <c r="I10" i="19"/>
  <c r="I9" i="19" s="1"/>
  <c r="M13" i="19"/>
  <c r="M24" i="19"/>
  <c r="M39" i="19"/>
  <c r="M57" i="19"/>
  <c r="L86" i="19"/>
  <c r="M86" i="19" s="1"/>
  <c r="L99" i="19"/>
  <c r="L144" i="19"/>
  <c r="L143" i="19" s="1"/>
  <c r="M66" i="19"/>
  <c r="L71" i="19"/>
  <c r="M74" i="19"/>
  <c r="M81" i="19"/>
  <c r="M105" i="19"/>
  <c r="M107" i="19"/>
  <c r="M124" i="19"/>
  <c r="M126" i="19"/>
  <c r="M148" i="19"/>
  <c r="L150" i="19"/>
  <c r="M150" i="19" s="1"/>
  <c r="L10" i="18"/>
  <c r="L9" i="18" s="1"/>
  <c r="L25" i="3" s="1"/>
  <c r="M10" i="18"/>
  <c r="M9" i="18" s="1"/>
  <c r="M25" i="3" s="1"/>
  <c r="K9" i="18"/>
  <c r="K25" i="3" s="1"/>
  <c r="M71" i="19"/>
  <c r="M70" i="19" s="1"/>
  <c r="L70" i="19"/>
  <c r="M144" i="19"/>
  <c r="M143" i="19" s="1"/>
  <c r="M99" i="19"/>
  <c r="K9" i="17"/>
  <c r="K24" i="3" s="1"/>
  <c r="L9" i="17"/>
  <c r="L24" i="3" s="1"/>
  <c r="M12" i="14"/>
  <c r="H64" i="15"/>
  <c r="H63" i="15" s="1"/>
  <c r="K62" i="15"/>
  <c r="H61" i="15"/>
  <c r="K61" i="15" s="1"/>
  <c r="L60" i="15"/>
  <c r="K60" i="15"/>
  <c r="K59" i="15"/>
  <c r="L59" i="15"/>
  <c r="M59" i="15" s="1"/>
  <c r="H58" i="15"/>
  <c r="K58" i="15" s="1"/>
  <c r="K57" i="15"/>
  <c r="L57" i="15" s="1"/>
  <c r="K56" i="15"/>
  <c r="L56" i="15" s="1"/>
  <c r="M56" i="15" s="1"/>
  <c r="K55" i="15"/>
  <c r="L55" i="15" s="1"/>
  <c r="K54" i="15"/>
  <c r="L54" i="15" s="1"/>
  <c r="M54" i="15" s="1"/>
  <c r="H53" i="15"/>
  <c r="K53" i="15"/>
  <c r="M53" i="15" s="1"/>
  <c r="H52" i="15"/>
  <c r="K52" i="15" s="1"/>
  <c r="L52" i="15" s="1"/>
  <c r="K51" i="15"/>
  <c r="K50" i="15"/>
  <c r="L50" i="15" s="1"/>
  <c r="M50" i="15" s="1"/>
  <c r="H50" i="15"/>
  <c r="K49" i="15"/>
  <c r="K48" i="15"/>
  <c r="L48" i="15" s="1"/>
  <c r="K47" i="15"/>
  <c r="L47" i="15" s="1"/>
  <c r="M47" i="15" s="1"/>
  <c r="K46" i="15"/>
  <c r="K45" i="15"/>
  <c r="L45" i="15" s="1"/>
  <c r="M45" i="15" s="1"/>
  <c r="L44" i="15"/>
  <c r="M44" i="15" s="1"/>
  <c r="K44" i="15"/>
  <c r="K43" i="15"/>
  <c r="L43" i="15" s="1"/>
  <c r="M43" i="15" s="1"/>
  <c r="H42" i="15"/>
  <c r="K41" i="15"/>
  <c r="K39" i="15"/>
  <c r="L39" i="15" s="1"/>
  <c r="M39" i="15" s="1"/>
  <c r="K38" i="15"/>
  <c r="K37" i="15"/>
  <c r="L37" i="15" s="1"/>
  <c r="H36" i="15"/>
  <c r="K36" i="15" s="1"/>
  <c r="L35" i="15"/>
  <c r="K35" i="15"/>
  <c r="H34" i="15"/>
  <c r="K34" i="15" s="1"/>
  <c r="K33" i="15"/>
  <c r="K32" i="15"/>
  <c r="L32" i="15" s="1"/>
  <c r="M32" i="15" s="1"/>
  <c r="K31" i="15"/>
  <c r="H30" i="15"/>
  <c r="K30" i="15" s="1"/>
  <c r="K29" i="15"/>
  <c r="L29" i="15" s="1"/>
  <c r="M29" i="15" s="1"/>
  <c r="H28" i="15"/>
  <c r="K28" i="15" s="1"/>
  <c r="K27" i="15"/>
  <c r="L27" i="15" s="1"/>
  <c r="M27" i="15" s="1"/>
  <c r="K26" i="15"/>
  <c r="K25" i="15"/>
  <c r="L25" i="15" s="1"/>
  <c r="K24" i="15"/>
  <c r="L24" i="15" s="1"/>
  <c r="K23" i="15"/>
  <c r="H21" i="15"/>
  <c r="K21" i="15" s="1"/>
  <c r="L21" i="15" s="1"/>
  <c r="M21" i="15" s="1"/>
  <c r="H20" i="15"/>
  <c r="K20" i="15"/>
  <c r="H19" i="15"/>
  <c r="K19" i="15" s="1"/>
  <c r="L19" i="15" s="1"/>
  <c r="M19" i="15" s="1"/>
  <c r="K18" i="15"/>
  <c r="K17" i="15"/>
  <c r="L17" i="15" s="1"/>
  <c r="H16" i="15"/>
  <c r="K16" i="15" s="1"/>
  <c r="H15" i="15"/>
  <c r="K15" i="15" s="1"/>
  <c r="L15" i="15" s="1"/>
  <c r="M15" i="15" s="1"/>
  <c r="H14" i="15"/>
  <c r="K14" i="15"/>
  <c r="L14" i="15" s="1"/>
  <c r="M14" i="15" s="1"/>
  <c r="H13" i="15"/>
  <c r="K13" i="15" s="1"/>
  <c r="L12" i="15"/>
  <c r="M12" i="15" s="1"/>
  <c r="K12" i="15"/>
  <c r="H11" i="15"/>
  <c r="H10" i="15" s="1"/>
  <c r="L34" i="14"/>
  <c r="M34" i="14" s="1"/>
  <c r="L28" i="14"/>
  <c r="M28" i="14" s="1"/>
  <c r="L25" i="14"/>
  <c r="M25" i="14" s="1"/>
  <c r="L16" i="14"/>
  <c r="M16" i="14" s="1"/>
  <c r="L15" i="14"/>
  <c r="M15" i="14" s="1"/>
  <c r="L13" i="14"/>
  <c r="M13" i="14" s="1"/>
  <c r="K9" i="14"/>
  <c r="K22" i="3" s="1"/>
  <c r="L23" i="15"/>
  <c r="K42" i="15"/>
  <c r="M42" i="15" s="1"/>
  <c r="L49" i="15"/>
  <c r="M49" i="15"/>
  <c r="L53" i="15"/>
  <c r="L20" i="15"/>
  <c r="M20" i="15"/>
  <c r="M23" i="15"/>
  <c r="L42" i="15"/>
  <c r="L13" i="15" l="1"/>
  <c r="M13" i="15" s="1"/>
  <c r="L44" i="25"/>
  <c r="M44" i="25" s="1"/>
  <c r="L16" i="34"/>
  <c r="L15" i="34" s="1"/>
  <c r="K15" i="34"/>
  <c r="M16" i="34"/>
  <c r="M15" i="34" s="1"/>
  <c r="M63" i="28"/>
  <c r="L16" i="28"/>
  <c r="M16" i="28"/>
  <c r="L22" i="28"/>
  <c r="M22" i="28" s="1"/>
  <c r="M25" i="28"/>
  <c r="L24" i="28"/>
  <c r="M183" i="24"/>
  <c r="K11" i="15"/>
  <c r="H22" i="15"/>
  <c r="H9" i="15" s="1"/>
  <c r="K50" i="19"/>
  <c r="H10" i="21"/>
  <c r="H9" i="21" s="1"/>
  <c r="K46" i="21"/>
  <c r="G66" i="25"/>
  <c r="M62" i="31"/>
  <c r="M61" i="31" s="1"/>
  <c r="M60" i="31" s="1"/>
  <c r="L61" i="31"/>
  <c r="L60" i="31" s="1"/>
  <c r="L74" i="31"/>
  <c r="L73" i="31" s="1"/>
  <c r="M35" i="28"/>
  <c r="M74" i="28"/>
  <c r="M34" i="29"/>
  <c r="M33" i="29" s="1"/>
  <c r="M23" i="29" s="1"/>
  <c r="L34" i="29"/>
  <c r="L33" i="29" s="1"/>
  <c r="L23" i="29" s="1"/>
  <c r="K33" i="29"/>
  <c r="K23" i="29" s="1"/>
  <c r="L14" i="27"/>
  <c r="M14" i="27"/>
  <c r="M48" i="15"/>
  <c r="M55" i="15"/>
  <c r="K40" i="15"/>
  <c r="M133" i="19"/>
  <c r="M103" i="19"/>
  <c r="M55" i="19"/>
  <c r="M35" i="19"/>
  <c r="M19" i="19"/>
  <c r="L45" i="19"/>
  <c r="M45" i="19" s="1"/>
  <c r="L106" i="19"/>
  <c r="M106" i="19" s="1"/>
  <c r="K120" i="19"/>
  <c r="M194" i="24"/>
  <c r="M215" i="24"/>
  <c r="L202" i="24"/>
  <c r="M202" i="24" s="1"/>
  <c r="K22" i="15"/>
  <c r="M35" i="15"/>
  <c r="L41" i="15"/>
  <c r="M41" i="15" s="1"/>
  <c r="L62" i="15"/>
  <c r="M62" i="15" s="1"/>
  <c r="M132" i="19"/>
  <c r="M83" i="19"/>
  <c r="M32" i="19"/>
  <c r="K22" i="19"/>
  <c r="K33" i="19"/>
  <c r="L51" i="19"/>
  <c r="M75" i="19"/>
  <c r="M82" i="19"/>
  <c r="H69" i="19"/>
  <c r="K98" i="19"/>
  <c r="L121" i="19"/>
  <c r="M121" i="19" s="1"/>
  <c r="K137" i="19"/>
  <c r="M20" i="21"/>
  <c r="L12" i="21"/>
  <c r="L11" i="21" s="1"/>
  <c r="K11" i="21"/>
  <c r="L17" i="21"/>
  <c r="K16" i="21"/>
  <c r="M58" i="21"/>
  <c r="M55" i="21" s="1"/>
  <c r="M32" i="24"/>
  <c r="M14" i="24"/>
  <c r="M33" i="24"/>
  <c r="M97" i="24"/>
  <c r="M163" i="24"/>
  <c r="L170" i="24"/>
  <c r="M170" i="24"/>
  <c r="L246" i="24"/>
  <c r="M246" i="24" s="1"/>
  <c r="G10" i="25"/>
  <c r="M21" i="34"/>
  <c r="M20" i="34" s="1"/>
  <c r="L20" i="34"/>
  <c r="L69" i="28"/>
  <c r="M22" i="27"/>
  <c r="L22" i="27"/>
  <c r="M26" i="27"/>
  <c r="M31" i="21"/>
  <c r="M62" i="21"/>
  <c r="H40" i="15"/>
  <c r="L33" i="15"/>
  <c r="M33" i="15" s="1"/>
  <c r="M60" i="15"/>
  <c r="M128" i="19"/>
  <c r="M41" i="19"/>
  <c r="K42" i="19"/>
  <c r="K54" i="19"/>
  <c r="L61" i="19"/>
  <c r="L60" i="19" s="1"/>
  <c r="K60" i="19"/>
  <c r="K72" i="19"/>
  <c r="K78" i="19"/>
  <c r="M15" i="21"/>
  <c r="L18" i="21"/>
  <c r="M18" i="21"/>
  <c r="K11" i="19"/>
  <c r="L10" i="24"/>
  <c r="K9" i="24"/>
  <c r="L65" i="24"/>
  <c r="M65" i="24" s="1"/>
  <c r="L226" i="24"/>
  <c r="M226" i="24" s="1"/>
  <c r="H10" i="25"/>
  <c r="H9" i="25" s="1"/>
  <c r="L39" i="25"/>
  <c r="M39" i="25"/>
  <c r="F9" i="25"/>
  <c r="E66" i="25"/>
  <c r="M28" i="28"/>
  <c r="K27" i="34"/>
  <c r="L28" i="34"/>
  <c r="L27" i="34" s="1"/>
  <c r="M28" i="34"/>
  <c r="M27" i="34" s="1"/>
  <c r="L18" i="28"/>
  <c r="M18" i="28"/>
  <c r="L49" i="28"/>
  <c r="M49" i="28"/>
  <c r="L61" i="28"/>
  <c r="M61" i="28"/>
  <c r="L86" i="28"/>
  <c r="M86" i="28" s="1"/>
  <c r="K62" i="28"/>
  <c r="L84" i="28"/>
  <c r="M84" i="28" s="1"/>
  <c r="K193" i="31"/>
  <c r="L25" i="34"/>
  <c r="K12" i="28"/>
  <c r="K70" i="28"/>
  <c r="K68" i="28" s="1"/>
  <c r="K82" i="28"/>
  <c r="K81" i="28" s="1"/>
  <c r="H10" i="26"/>
  <c r="H9" i="26" s="1"/>
  <c r="K64" i="19"/>
  <c r="K85" i="19"/>
  <c r="K130" i="19"/>
  <c r="K27" i="21"/>
  <c r="K70" i="21"/>
  <c r="K66" i="21" s="1"/>
  <c r="M41" i="24"/>
  <c r="M73" i="24"/>
  <c r="M105" i="24"/>
  <c r="K205" i="31"/>
  <c r="K283" i="31"/>
  <c r="L13" i="34"/>
  <c r="M13" i="34" s="1"/>
  <c r="H9" i="34"/>
  <c r="K24" i="28"/>
  <c r="M71" i="28"/>
  <c r="K73" i="28"/>
  <c r="L77" i="28"/>
  <c r="L73" i="28" s="1"/>
  <c r="K77" i="28"/>
  <c r="H67" i="28"/>
  <c r="H9" i="29"/>
  <c r="K17" i="26"/>
  <c r="M10" i="24"/>
  <c r="M18" i="24"/>
  <c r="M240" i="24"/>
  <c r="M207" i="24"/>
  <c r="M175" i="24"/>
  <c r="M28" i="24"/>
  <c r="M30" i="24"/>
  <c r="M37" i="24"/>
  <c r="M45" i="24"/>
  <c r="M53" i="24"/>
  <c r="M61" i="24"/>
  <c r="M69" i="24"/>
  <c r="M77" i="24"/>
  <c r="M85" i="24"/>
  <c r="M93" i="24"/>
  <c r="M101" i="24"/>
  <c r="M58" i="25"/>
  <c r="M35" i="25"/>
  <c r="M13" i="25"/>
  <c r="M32" i="25"/>
  <c r="M34" i="25"/>
  <c r="M40" i="25"/>
  <c r="L45" i="25"/>
  <c r="M45" i="25" s="1"/>
  <c r="G9" i="25"/>
  <c r="M18" i="25"/>
  <c r="M26" i="25"/>
  <c r="M33" i="25"/>
  <c r="E10" i="25"/>
  <c r="E9" i="25" s="1"/>
  <c r="K41" i="25"/>
  <c r="M42" i="25"/>
  <c r="M31" i="25"/>
  <c r="M51" i="25"/>
  <c r="M55" i="25"/>
  <c r="M15" i="27"/>
  <c r="K50" i="27"/>
  <c r="M57" i="27"/>
  <c r="K28" i="27"/>
  <c r="L36" i="27"/>
  <c r="M54" i="27"/>
  <c r="M55" i="27"/>
  <c r="L19" i="27"/>
  <c r="M19" i="27" s="1"/>
  <c r="M23" i="27"/>
  <c r="L27" i="27"/>
  <c r="M27" i="27" s="1"/>
  <c r="L29" i="27"/>
  <c r="M29" i="27" s="1"/>
  <c r="K43" i="27"/>
  <c r="L47" i="27"/>
  <c r="M51" i="27"/>
  <c r="M345" i="31"/>
  <c r="L345" i="31"/>
  <c r="M76" i="31"/>
  <c r="M204" i="31"/>
  <c r="M203" i="31" s="1"/>
  <c r="L206" i="31"/>
  <c r="M246" i="31"/>
  <c r="M245" i="31" s="1"/>
  <c r="L53" i="31"/>
  <c r="L43" i="31" s="1"/>
  <c r="L101" i="31"/>
  <c r="L97" i="31" s="1"/>
  <c r="L161" i="31"/>
  <c r="L151" i="31" s="1"/>
  <c r="L219" i="31"/>
  <c r="L328" i="31"/>
  <c r="L193" i="31"/>
  <c r="L270" i="31"/>
  <c r="L263" i="31" s="1"/>
  <c r="L34" i="31"/>
  <c r="L30" i="31" s="1"/>
  <c r="M74" i="31"/>
  <c r="M73" i="31" s="1"/>
  <c r="M102" i="31"/>
  <c r="M101" i="31" s="1"/>
  <c r="M97" i="31" s="1"/>
  <c r="M162" i="31"/>
  <c r="M220" i="31"/>
  <c r="M284" i="31"/>
  <c r="M333" i="31"/>
  <c r="M24" i="15"/>
  <c r="L139" i="19"/>
  <c r="M139" i="19" s="1"/>
  <c r="L16" i="15"/>
  <c r="M16" i="15" s="1"/>
  <c r="L36" i="15"/>
  <c r="M36" i="15" s="1"/>
  <c r="L58" i="15"/>
  <c r="M58" i="15" s="1"/>
  <c r="L141" i="19"/>
  <c r="M141" i="19" s="1"/>
  <c r="L61" i="15"/>
  <c r="M61" i="15" s="1"/>
  <c r="L34" i="15"/>
  <c r="M34" i="15" s="1"/>
  <c r="M85" i="19"/>
  <c r="L47" i="19"/>
  <c r="M47" i="19" s="1"/>
  <c r="L127" i="19"/>
  <c r="M127" i="19" s="1"/>
  <c r="L37" i="21"/>
  <c r="M38" i="21"/>
  <c r="L19" i="24"/>
  <c r="M19" i="24" s="1"/>
  <c r="L173" i="24"/>
  <c r="M173" i="24" s="1"/>
  <c r="M25" i="15"/>
  <c r="M17" i="15"/>
  <c r="L30" i="15"/>
  <c r="M30" i="15" s="1"/>
  <c r="K64" i="15"/>
  <c r="L64" i="15" s="1"/>
  <c r="K129" i="19"/>
  <c r="L142" i="19"/>
  <c r="M142" i="19" s="1"/>
  <c r="L135" i="19"/>
  <c r="M135" i="19" s="1"/>
  <c r="L65" i="19"/>
  <c r="L64" i="19" s="1"/>
  <c r="K88" i="19"/>
  <c r="L28" i="19"/>
  <c r="M28" i="19" s="1"/>
  <c r="L40" i="19"/>
  <c r="M40" i="19" s="1"/>
  <c r="M51" i="19"/>
  <c r="L53" i="19"/>
  <c r="M53" i="19" s="1"/>
  <c r="L67" i="19"/>
  <c r="M67" i="19" s="1"/>
  <c r="L73" i="19"/>
  <c r="L104" i="19"/>
  <c r="M104" i="19" s="1"/>
  <c r="L131" i="19"/>
  <c r="L130" i="19" s="1"/>
  <c r="M83" i="21"/>
  <c r="L34" i="21"/>
  <c r="L22" i="21"/>
  <c r="M22" i="21" s="1"/>
  <c r="L49" i="21"/>
  <c r="M49" i="21" s="1"/>
  <c r="L21" i="24"/>
  <c r="M21" i="24" s="1"/>
  <c r="M109" i="24"/>
  <c r="M117" i="24"/>
  <c r="L165" i="24"/>
  <c r="M165" i="24" s="1"/>
  <c r="L181" i="24"/>
  <c r="M181" i="24"/>
  <c r="L20" i="19"/>
  <c r="M20" i="19"/>
  <c r="L84" i="19"/>
  <c r="M84" i="19" s="1"/>
  <c r="L28" i="21"/>
  <c r="L27" i="21" s="1"/>
  <c r="M72" i="21"/>
  <c r="M70" i="21" s="1"/>
  <c r="M66" i="21" s="1"/>
  <c r="L72" i="21"/>
  <c r="L70" i="21" s="1"/>
  <c r="L66" i="21" s="1"/>
  <c r="M52" i="15"/>
  <c r="M37" i="15"/>
  <c r="L18" i="15"/>
  <c r="M18" i="15" s="1"/>
  <c r="L26" i="15"/>
  <c r="M26" i="15" s="1"/>
  <c r="L28" i="15"/>
  <c r="M28" i="15" s="1"/>
  <c r="L31" i="15"/>
  <c r="M31" i="15" s="1"/>
  <c r="L38" i="15"/>
  <c r="M38" i="15" s="1"/>
  <c r="L46" i="15"/>
  <c r="L40" i="15" s="1"/>
  <c r="L51" i="15"/>
  <c r="M51" i="15" s="1"/>
  <c r="M57" i="15"/>
  <c r="L147" i="19"/>
  <c r="L146" i="19" s="1"/>
  <c r="L85" i="19"/>
  <c r="L79" i="19"/>
  <c r="L29" i="19"/>
  <c r="M29" i="19" s="1"/>
  <c r="L36" i="19"/>
  <c r="M36" i="19"/>
  <c r="L46" i="19"/>
  <c r="L58" i="19"/>
  <c r="M58" i="19" s="1"/>
  <c r="M54" i="19" s="1"/>
  <c r="M61" i="19"/>
  <c r="M60" i="19" s="1"/>
  <c r="L100" i="19"/>
  <c r="L138" i="19"/>
  <c r="L137" i="19" s="1"/>
  <c r="L149" i="19"/>
  <c r="M149" i="19"/>
  <c r="L23" i="21"/>
  <c r="M23" i="21"/>
  <c r="L47" i="21"/>
  <c r="L58" i="21"/>
  <c r="L55" i="21" s="1"/>
  <c r="M26" i="24"/>
  <c r="M162" i="24"/>
  <c r="L15" i="19"/>
  <c r="M15" i="19" s="1"/>
  <c r="L12" i="19"/>
  <c r="L25" i="19"/>
  <c r="L22" i="19" s="1"/>
  <c r="M34" i="19"/>
  <c r="L122" i="19"/>
  <c r="K110" i="19"/>
  <c r="L19" i="21"/>
  <c r="M19" i="21" s="1"/>
  <c r="L189" i="24"/>
  <c r="M189" i="24" s="1"/>
  <c r="M76" i="19"/>
  <c r="M16" i="19"/>
  <c r="L16" i="19"/>
  <c r="K10" i="19"/>
  <c r="L34" i="19"/>
  <c r="H49" i="19"/>
  <c r="H9" i="19" s="1"/>
  <c r="L52" i="19"/>
  <c r="M52" i="19" s="1"/>
  <c r="L54" i="19"/>
  <c r="K69" i="19"/>
  <c r="L77" i="19"/>
  <c r="M77" i="19" s="1"/>
  <c r="L80" i="19"/>
  <c r="M80" i="19" s="1"/>
  <c r="M108" i="19"/>
  <c r="L108" i="19"/>
  <c r="L123" i="19"/>
  <c r="M123" i="19" s="1"/>
  <c r="M17" i="21"/>
  <c r="L26" i="21"/>
  <c r="M26" i="21" s="1"/>
  <c r="L24" i="24"/>
  <c r="M24" i="24" s="1"/>
  <c r="L248" i="24"/>
  <c r="M248" i="24" s="1"/>
  <c r="K123" i="23"/>
  <c r="M88" i="24"/>
  <c r="M80" i="24"/>
  <c r="M72" i="24"/>
  <c r="M64" i="24"/>
  <c r="M56" i="24"/>
  <c r="M48" i="24"/>
  <c r="M40" i="24"/>
  <c r="M245" i="24"/>
  <c r="L22" i="24"/>
  <c r="M22" i="24" s="1"/>
  <c r="M238" i="24"/>
  <c r="M230" i="24"/>
  <c r="M221" i="24"/>
  <c r="M213" i="24"/>
  <c r="M205" i="24"/>
  <c r="M197" i="24"/>
  <c r="K11" i="25"/>
  <c r="L20" i="25"/>
  <c r="M20" i="25" s="1"/>
  <c r="L36" i="25"/>
  <c r="M36" i="25" s="1"/>
  <c r="M54" i="25"/>
  <c r="L63" i="25"/>
  <c r="L59" i="25" s="1"/>
  <c r="M14" i="31"/>
  <c r="M219" i="31"/>
  <c r="M270" i="31"/>
  <c r="M263" i="31" s="1"/>
  <c r="K10" i="21"/>
  <c r="K39" i="23"/>
  <c r="M46" i="25"/>
  <c r="M57" i="25"/>
  <c r="K59" i="25"/>
  <c r="M307" i="31"/>
  <c r="L15" i="25"/>
  <c r="M15" i="25" s="1"/>
  <c r="M22" i="25"/>
  <c r="L28" i="25"/>
  <c r="M28" i="25" s="1"/>
  <c r="M38" i="25"/>
  <c r="M43" i="25"/>
  <c r="M47" i="25"/>
  <c r="M49" i="25"/>
  <c r="L57" i="25"/>
  <c r="M60" i="25"/>
  <c r="M62" i="25"/>
  <c r="M290" i="31"/>
  <c r="M28" i="31"/>
  <c r="M27" i="31" s="1"/>
  <c r="M55" i="31"/>
  <c r="M53" i="31" s="1"/>
  <c r="M43" i="31" s="1"/>
  <c r="M143" i="31"/>
  <c r="M142" i="31" s="1"/>
  <c r="M138" i="31" s="1"/>
  <c r="L142" i="31"/>
  <c r="L138" i="31" s="1"/>
  <c r="M185" i="31"/>
  <c r="M184" i="31" s="1"/>
  <c r="M180" i="31" s="1"/>
  <c r="M195" i="31"/>
  <c r="M194" i="31" s="1"/>
  <c r="M193" i="31" s="1"/>
  <c r="M161" i="31"/>
  <c r="M151" i="31" s="1"/>
  <c r="L307" i="31"/>
  <c r="K327" i="31"/>
  <c r="K9" i="31" s="1"/>
  <c r="K14" i="3" s="1"/>
  <c r="L367" i="31"/>
  <c r="L357" i="31" s="1"/>
  <c r="L14" i="31"/>
  <c r="L10" i="31" s="1"/>
  <c r="M207" i="31"/>
  <c r="M206" i="31" s="1"/>
  <c r="M205" i="31" s="1"/>
  <c r="L284" i="31"/>
  <c r="M329" i="31"/>
  <c r="M328" i="31" s="1"/>
  <c r="M327" i="31" s="1"/>
  <c r="L333" i="31"/>
  <c r="L327" i="31" s="1"/>
  <c r="L290" i="31"/>
  <c r="M128" i="31"/>
  <c r="M127" i="31" s="1"/>
  <c r="M123" i="31" s="1"/>
  <c r="L127" i="31"/>
  <c r="L123" i="31" s="1"/>
  <c r="L24" i="34"/>
  <c r="M25" i="34"/>
  <c r="M24" i="34" s="1"/>
  <c r="L12" i="34"/>
  <c r="L11" i="34" s="1"/>
  <c r="K9" i="34"/>
  <c r="K30" i="3" s="1"/>
  <c r="L37" i="28"/>
  <c r="L45" i="28"/>
  <c r="M45" i="28" s="1"/>
  <c r="H12" i="28"/>
  <c r="L54" i="28"/>
  <c r="M54" i="28"/>
  <c r="L12" i="26"/>
  <c r="L11" i="26" s="1"/>
  <c r="K11" i="26"/>
  <c r="M40" i="28"/>
  <c r="L65" i="28"/>
  <c r="M65" i="28" s="1"/>
  <c r="M16" i="26"/>
  <c r="M14" i="26" s="1"/>
  <c r="K14" i="26"/>
  <c r="L16" i="26"/>
  <c r="L14" i="26" s="1"/>
  <c r="L28" i="27"/>
  <c r="M77" i="28"/>
  <c r="L15" i="28"/>
  <c r="M15" i="28" s="1"/>
  <c r="M23" i="28"/>
  <c r="M26" i="28"/>
  <c r="M31" i="28"/>
  <c r="M33" i="28"/>
  <c r="M38" i="28"/>
  <c r="K44" i="28"/>
  <c r="K36" i="28" s="1"/>
  <c r="H36" i="28"/>
  <c r="L46" i="28"/>
  <c r="M46" i="28" s="1"/>
  <c r="L48" i="28"/>
  <c r="M48" i="28" s="1"/>
  <c r="L53" i="28"/>
  <c r="M53" i="28" s="1"/>
  <c r="M55" i="28"/>
  <c r="L70" i="28"/>
  <c r="M70" i="28"/>
  <c r="M72" i="28"/>
  <c r="K14" i="29"/>
  <c r="K10" i="29" s="1"/>
  <c r="K9" i="29" s="1"/>
  <c r="K21" i="3" s="1"/>
  <c r="L43" i="27"/>
  <c r="M44" i="27"/>
  <c r="M43" i="27" s="1"/>
  <c r="L50" i="27"/>
  <c r="L60" i="28"/>
  <c r="M60" i="28" s="1"/>
  <c r="M43" i="28"/>
  <c r="L13" i="28"/>
  <c r="M13" i="28" s="1"/>
  <c r="L20" i="28"/>
  <c r="M20" i="28" s="1"/>
  <c r="M27" i="28"/>
  <c r="M29" i="28"/>
  <c r="M42" i="28"/>
  <c r="M47" i="28"/>
  <c r="L56" i="28"/>
  <c r="M56" i="28" s="1"/>
  <c r="L64" i="28"/>
  <c r="M64" i="28" s="1"/>
  <c r="L82" i="28"/>
  <c r="L81" i="28" s="1"/>
  <c r="L17" i="26"/>
  <c r="L15" i="29"/>
  <c r="L14" i="29" s="1"/>
  <c r="L10" i="29" s="1"/>
  <c r="L9" i="29" s="1"/>
  <c r="L21" i="3" s="1"/>
  <c r="M69" i="28"/>
  <c r="M31" i="27"/>
  <c r="M35" i="27"/>
  <c r="M37" i="27"/>
  <c r="M41" i="27"/>
  <c r="M48" i="27"/>
  <c r="M47" i="27" s="1"/>
  <c r="M12" i="27"/>
  <c r="M16" i="27"/>
  <c r="M20" i="27"/>
  <c r="M24" i="27"/>
  <c r="M30" i="27"/>
  <c r="M34" i="27"/>
  <c r="K36" i="27"/>
  <c r="M40" i="27"/>
  <c r="K47" i="27"/>
  <c r="K46" i="27" s="1"/>
  <c r="M52" i="27"/>
  <c r="M50" i="27" s="1"/>
  <c r="M56" i="27"/>
  <c r="K11" i="27"/>
  <c r="K80" i="23"/>
  <c r="K13" i="23"/>
  <c r="L13" i="23"/>
  <c r="M40" i="23"/>
  <c r="L39" i="23"/>
  <c r="M70" i="23"/>
  <c r="L123" i="23"/>
  <c r="M168" i="23"/>
  <c r="M164" i="23" s="1"/>
  <c r="M156" i="23"/>
  <c r="M152" i="23" s="1"/>
  <c r="M145" i="23"/>
  <c r="M124" i="23"/>
  <c r="M115" i="23"/>
  <c r="L80" i="23"/>
  <c r="M110" i="23"/>
  <c r="M93" i="23"/>
  <c r="M73" i="23"/>
  <c r="M54" i="23"/>
  <c r="M30" i="23"/>
  <c r="M14" i="23"/>
  <c r="M23" i="14"/>
  <c r="L23" i="14"/>
  <c r="L10" i="14"/>
  <c r="M10" i="14"/>
  <c r="L9" i="34" l="1"/>
  <c r="L30" i="3" s="1"/>
  <c r="J9" i="24"/>
  <c r="K17" i="3"/>
  <c r="L68" i="28"/>
  <c r="M12" i="21"/>
  <c r="M11" i="21" s="1"/>
  <c r="M73" i="28"/>
  <c r="M62" i="28"/>
  <c r="M37" i="28"/>
  <c r="M283" i="31"/>
  <c r="K9" i="21"/>
  <c r="K27" i="3" s="1"/>
  <c r="M63" i="25"/>
  <c r="L33" i="19"/>
  <c r="L11" i="19"/>
  <c r="M65" i="19"/>
  <c r="M64" i="19" s="1"/>
  <c r="M9" i="24"/>
  <c r="M17" i="3" s="1"/>
  <c r="L9" i="24"/>
  <c r="L17" i="3" s="1"/>
  <c r="L62" i="28"/>
  <c r="M33" i="19"/>
  <c r="K11" i="28"/>
  <c r="K10" i="15"/>
  <c r="L11" i="15"/>
  <c r="M11" i="15" s="1"/>
  <c r="M68" i="28"/>
  <c r="M12" i="34"/>
  <c r="M11" i="34" s="1"/>
  <c r="M25" i="19"/>
  <c r="M22" i="19" s="1"/>
  <c r="M28" i="21"/>
  <c r="M27" i="21" s="1"/>
  <c r="M131" i="19"/>
  <c r="M130" i="19" s="1"/>
  <c r="M24" i="28"/>
  <c r="K10" i="26"/>
  <c r="K9" i="26" s="1"/>
  <c r="K19" i="3" s="1"/>
  <c r="M12" i="26"/>
  <c r="M41" i="25"/>
  <c r="L41" i="25"/>
  <c r="M36" i="27"/>
  <c r="L11" i="27"/>
  <c r="L10" i="27" s="1"/>
  <c r="M28" i="27"/>
  <c r="K10" i="27"/>
  <c r="K9" i="27" s="1"/>
  <c r="K15" i="3" s="1"/>
  <c r="L205" i="31"/>
  <c r="L12" i="23"/>
  <c r="L29" i="3" s="1"/>
  <c r="M11" i="25"/>
  <c r="M43" i="21"/>
  <c r="M46" i="21"/>
  <c r="M15" i="29"/>
  <c r="M14" i="29" s="1"/>
  <c r="M10" i="29" s="1"/>
  <c r="M9" i="29" s="1"/>
  <c r="M21" i="3" s="1"/>
  <c r="H11" i="28"/>
  <c r="H10" i="28" s="1"/>
  <c r="H20" i="3" s="1"/>
  <c r="H8" i="3" s="1"/>
  <c r="M9" i="34"/>
  <c r="M30" i="3" s="1"/>
  <c r="L42" i="19"/>
  <c r="M46" i="19"/>
  <c r="M42" i="19" s="1"/>
  <c r="L72" i="19"/>
  <c r="L16" i="21"/>
  <c r="L10" i="21" s="1"/>
  <c r="L10" i="15"/>
  <c r="M9" i="14"/>
  <c r="M22" i="3" s="1"/>
  <c r="L14" i="28"/>
  <c r="L12" i="28" s="1"/>
  <c r="M12" i="28" s="1"/>
  <c r="K10" i="25"/>
  <c r="K9" i="25" s="1"/>
  <c r="K16" i="3" s="1"/>
  <c r="L10" i="19"/>
  <c r="M138" i="19"/>
  <c r="M137" i="19" s="1"/>
  <c r="L129" i="19"/>
  <c r="M73" i="19"/>
  <c r="M72" i="19" s="1"/>
  <c r="L63" i="15"/>
  <c r="K63" i="15"/>
  <c r="L50" i="19"/>
  <c r="L49" i="19" s="1"/>
  <c r="M147" i="19"/>
  <c r="M146" i="19" s="1"/>
  <c r="M46" i="15"/>
  <c r="M40" i="15" s="1"/>
  <c r="M82" i="28"/>
  <c r="M81" i="28" s="1"/>
  <c r="K67" i="28"/>
  <c r="L44" i="28"/>
  <c r="L36" i="28" s="1"/>
  <c r="L283" i="31"/>
  <c r="L9" i="31" s="1"/>
  <c r="L14" i="3" s="1"/>
  <c r="M59" i="25"/>
  <c r="L11" i="25"/>
  <c r="M10" i="31"/>
  <c r="M9" i="31" s="1"/>
  <c r="M14" i="3" s="1"/>
  <c r="K49" i="19"/>
  <c r="K9" i="19" s="1"/>
  <c r="K26" i="3" s="1"/>
  <c r="M12" i="19"/>
  <c r="M11" i="19" s="1"/>
  <c r="L46" i="21"/>
  <c r="L43" i="21"/>
  <c r="L98" i="19"/>
  <c r="L88" i="19" s="1"/>
  <c r="L78" i="19"/>
  <c r="M79" i="19"/>
  <c r="M78" i="19" s="1"/>
  <c r="M50" i="19"/>
  <c r="L22" i="15"/>
  <c r="K12" i="23"/>
  <c r="K29" i="3" s="1"/>
  <c r="L46" i="27"/>
  <c r="M11" i="27"/>
  <c r="M11" i="26"/>
  <c r="M10" i="26" s="1"/>
  <c r="M9" i="26" s="1"/>
  <c r="M19" i="3" s="1"/>
  <c r="L10" i="26"/>
  <c r="L9" i="26" s="1"/>
  <c r="L19" i="3" s="1"/>
  <c r="M16" i="21"/>
  <c r="M10" i="21" s="1"/>
  <c r="M122" i="19"/>
  <c r="M120" i="19" s="1"/>
  <c r="M110" i="19" s="1"/>
  <c r="L120" i="19"/>
  <c r="L110" i="19" s="1"/>
  <c r="M100" i="19"/>
  <c r="M98" i="19" s="1"/>
  <c r="M88" i="19" s="1"/>
  <c r="M10" i="15"/>
  <c r="M34" i="21"/>
  <c r="M37" i="21"/>
  <c r="K9" i="15"/>
  <c r="K23" i="3" s="1"/>
  <c r="M22" i="15"/>
  <c r="M39" i="23"/>
  <c r="M13" i="23"/>
  <c r="M123" i="23"/>
  <c r="M80" i="23"/>
  <c r="L9" i="14"/>
  <c r="L22" i="3" s="1"/>
  <c r="M129" i="19" l="1"/>
  <c r="M9" i="21"/>
  <c r="M27" i="3" s="1"/>
  <c r="M10" i="19"/>
  <c r="M14" i="28"/>
  <c r="L9" i="21"/>
  <c r="L27" i="3" s="1"/>
  <c r="L10" i="25"/>
  <c r="L9" i="25" s="1"/>
  <c r="L16" i="3" s="1"/>
  <c r="M10" i="27"/>
  <c r="L9" i="27"/>
  <c r="L15" i="3" s="1"/>
  <c r="L11" i="28"/>
  <c r="M11" i="28" s="1"/>
  <c r="M46" i="27"/>
  <c r="M49" i="19"/>
  <c r="M64" i="15"/>
  <c r="M63" i="15" s="1"/>
  <c r="M9" i="15" s="1"/>
  <c r="M23" i="3" s="1"/>
  <c r="L9" i="15"/>
  <c r="L23" i="3" s="1"/>
  <c r="L67" i="28"/>
  <c r="M67" i="28" s="1"/>
  <c r="M44" i="28"/>
  <c r="M36" i="28" s="1"/>
  <c r="M69" i="19"/>
  <c r="M9" i="19" s="1"/>
  <c r="M26" i="3" s="1"/>
  <c r="K10" i="28"/>
  <c r="K20" i="3" s="1"/>
  <c r="K9" i="3" s="1"/>
  <c r="K8" i="3" s="1"/>
  <c r="L69" i="19"/>
  <c r="L9" i="19" s="1"/>
  <c r="L26" i="3" s="1"/>
  <c r="M10" i="25"/>
  <c r="M9" i="25" s="1"/>
  <c r="M16" i="3" s="1"/>
  <c r="M12" i="23"/>
  <c r="M29" i="3" s="1"/>
  <c r="M9" i="27" l="1"/>
  <c r="M15" i="3" s="1"/>
  <c r="L10" i="28"/>
  <c r="M9" i="3" l="1"/>
  <c r="M8" i="3" s="1"/>
  <c r="M10" i="28"/>
  <c r="M20" i="3" s="1"/>
  <c r="L20" i="3"/>
  <c r="L9" i="3" s="1"/>
  <c r="L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Liesma Jankovska</author>
  </authors>
  <commentList>
    <comment ref="H9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186"/>
          </rPr>
          <t>Liesma Jankovska: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  <r>
          <rPr>
            <sz val="12"/>
            <color indexed="81"/>
            <rFont val="Tahoma"/>
            <family val="2"/>
            <charset val="186"/>
          </rPr>
          <t xml:space="preserve">Slodzes apmērs ir aprēķināts atbilstoši noteiktajam piemaksas apmēram- ja piešķirta piemaksa 20%, tad arī 20 % no darba laika attiecīgajā periodā darbinieks ir bijis saistīts ar COVID-19 jautājumu risināšanu. Jāņem vērā, ka darbinieki var būt nenodarbināti pilnu mēnesi, jo bijuši atvaļinājumā vai prombūtnē. Piemaksa ir noteikta tikai par faktiski nostrādātājām stundām. (piemēram: sertificēta māsa saskaņā ar grafiku nostrādāja 144 stundas x 5,93 euro stundas likmi= 853,92 euro aprēķināts mēnesī. Piemaksa noteikta 15% no 853,92 euro =128,09 euro) </t>
        </r>
      </text>
    </comment>
  </commentList>
</comments>
</file>

<file path=xl/sharedStrings.xml><?xml version="1.0" encoding="utf-8"?>
<sst xmlns="http://schemas.openxmlformats.org/spreadsheetml/2006/main" count="7880" uniqueCount="1191">
  <si>
    <t>KOPĀ</t>
  </si>
  <si>
    <t>…</t>
  </si>
  <si>
    <t>no 2020.gada 1.marta līdz 2020.gada 31.martam</t>
  </si>
  <si>
    <t>…...................... (Struktūrvienība)</t>
  </si>
  <si>
    <t>no 2020.gada 1.aprīļa līdz 2020.gada 31.aprīlim</t>
  </si>
  <si>
    <t>no 2020.gada 1.maija līdz 2020.gada 31.maijam</t>
  </si>
  <si>
    <t xml:space="preserve"> Piemaksas apmērs (%)</t>
  </si>
  <si>
    <t>Piemaksas apmērs (euro)</t>
  </si>
  <si>
    <t>VSAOI no aprēķinātās piemaksas (euro)</t>
  </si>
  <si>
    <t xml:space="preserve"> Piemaksa kopā ar VSAOI  (euro)</t>
  </si>
  <si>
    <t>Atalgojums no kura tiek aprēķināta piemaksa (atbilstoši slodzei)</t>
  </si>
  <si>
    <t>Pārējie nodarbinātie, kopā, tai skaitā sadalījumā pa amatiem:</t>
  </si>
  <si>
    <t>Ārstniecības un pacientu aprūpes personas un funkcionālo speciālistu asistenti, kopā, tai skaitā sadalījumā pa amatiem:</t>
  </si>
  <si>
    <t>Ārstniecības un pacientu aprūpes atbalsta personas, māsu palīgi, zobārstu aistenti, kopā, tai skaitā sadalījumā pa amatiem:</t>
  </si>
  <si>
    <t>Ārsti, zobārsti  un funkcionālie speciālisti, kopā, tai skaitā sadalījumā pa amatiem:</t>
  </si>
  <si>
    <t>Pārskats par atbildīgo institūciju ārstniecības personu un pārējo nodarbināto izmaksāto izmaksātajām piemaksām  par darbu paaugstināta riska un slodzes apstākļos ārkārtas sabiedrības veselības apdraudējumā saistībā ar “Covid-19” uzliesmojumu un seku novēršanu atbilstoši Veselības ministrijas 2020.gada 31.marta rīkojumam Nr.67</t>
  </si>
  <si>
    <t>Virsmāsa</t>
  </si>
  <si>
    <t>Medicīnas māsa</t>
  </si>
  <si>
    <t>Medicīnas asistents</t>
  </si>
  <si>
    <t>Sanitārs</t>
  </si>
  <si>
    <t>Ārsts stažieris</t>
  </si>
  <si>
    <t>Ārsta palīgs</t>
  </si>
  <si>
    <t>Rezidents</t>
  </si>
  <si>
    <t>Galvenā māsa</t>
  </si>
  <si>
    <t>Medmāsa</t>
  </si>
  <si>
    <t>Māsu palīgs</t>
  </si>
  <si>
    <r>
      <t xml:space="preserve">Iestādes nosaukums: </t>
    </r>
    <r>
      <rPr>
        <b/>
        <sz val="13"/>
        <rFont val="Times New Roman"/>
        <family val="1"/>
        <charset val="186"/>
      </rPr>
      <t>SIA "Rīgas 2.slimnīca"</t>
    </r>
  </si>
  <si>
    <r>
      <t xml:space="preserve">Slodzes normāla darba laika ietvaros </t>
    </r>
    <r>
      <rPr>
        <sz val="13"/>
        <color rgb="FFFF0000"/>
        <rFont val="Times New Roman"/>
        <family val="1"/>
        <charset val="186"/>
      </rPr>
      <t>*</t>
    </r>
  </si>
  <si>
    <t>Slodzes normāla darba laika ietvaros *</t>
  </si>
  <si>
    <t>Uzņemšanas nodaļa, traumpunkts</t>
  </si>
  <si>
    <t>Pacientu reģistrators</t>
  </si>
  <si>
    <t>Garderobiste</t>
  </si>
  <si>
    <t>Pacientu aprūpes vadītāja</t>
  </si>
  <si>
    <t>* norādīt slodzes daļu normāla darba laika ietvaros, kurā ārstniecības persona/darbinieks tika iesaistīts Covid-19 seku likvidēšanā un no kuras tika rēķināts piemērojamais piemaksas apmērs</t>
  </si>
  <si>
    <r>
      <t xml:space="preserve">Iestādes nosaukums:  </t>
    </r>
    <r>
      <rPr>
        <b/>
        <sz val="13"/>
        <rFont val="Times New Roman"/>
        <family val="1"/>
        <charset val="186"/>
      </rPr>
      <t>VSIA "Piejūras slimnīca"</t>
    </r>
  </si>
  <si>
    <t>Slimnīcas nodaļas</t>
  </si>
  <si>
    <t>Ārsts, 3.nodaļas vadītājs</t>
  </si>
  <si>
    <t>Ārsts, 4.nodaļas vadītājs</t>
  </si>
  <si>
    <t>4.nodaļas virsmāsa</t>
  </si>
  <si>
    <t>Garīgās veselības aprūpes māsa</t>
  </si>
  <si>
    <t xml:space="preserve">Pārējie </t>
  </si>
  <si>
    <t>Galvenais ārsts</t>
  </si>
  <si>
    <t>Biroja administratore</t>
  </si>
  <si>
    <r>
      <t xml:space="preserve">Iestādes nosaukums: </t>
    </r>
    <r>
      <rPr>
        <b/>
        <sz val="13"/>
        <rFont val="Times New Roman"/>
        <family val="1"/>
        <charset val="186"/>
      </rPr>
      <t>VSIA DPNS</t>
    </r>
  </si>
  <si>
    <t>Nodaļas vadītājs, psihiatrs1</t>
  </si>
  <si>
    <t>Nodaļas vadītājs, psihiatrs2</t>
  </si>
  <si>
    <t>Nodaļas vadītājs, psihiatrs3</t>
  </si>
  <si>
    <t>Nodaļas vadītājs, psihiatrs4</t>
  </si>
  <si>
    <t>Psihiatrs1</t>
  </si>
  <si>
    <t>Psihiatrs2</t>
  </si>
  <si>
    <t>Psihiatrs3</t>
  </si>
  <si>
    <t>Psihiatrs4</t>
  </si>
  <si>
    <t>Psihiatrs5</t>
  </si>
  <si>
    <t>Vecākā medicīnas māsa1</t>
  </si>
  <si>
    <t>Vecākā medicīnas māsa 2</t>
  </si>
  <si>
    <t>Māsas palīgs1</t>
  </si>
  <si>
    <t>Māsas palīgs2</t>
  </si>
  <si>
    <t>Māsas palīgs3</t>
  </si>
  <si>
    <t>Māsas palīgs4</t>
  </si>
  <si>
    <t>Māsas palīgs5</t>
  </si>
  <si>
    <t>Māsas palīgs6</t>
  </si>
  <si>
    <t>Māsas palīgs7</t>
  </si>
  <si>
    <t>Māsas palīgs8</t>
  </si>
  <si>
    <t>Māsas palīgs9</t>
  </si>
  <si>
    <t>Māsas palīgs10</t>
  </si>
  <si>
    <t>Māsas palīgs11</t>
  </si>
  <si>
    <t>Māsas palīgs12</t>
  </si>
  <si>
    <t>Māsas palīgs13</t>
  </si>
  <si>
    <t>Māsas palīgs14</t>
  </si>
  <si>
    <t>Māsas palīgs15</t>
  </si>
  <si>
    <t>Māsas palīgs16</t>
  </si>
  <si>
    <t>Māsas palīgs17</t>
  </si>
  <si>
    <t>Māsas palīgs18</t>
  </si>
  <si>
    <t>Māsas palīgs19</t>
  </si>
  <si>
    <t>Māsas palīgs20</t>
  </si>
  <si>
    <t>Māsas palīgs21</t>
  </si>
  <si>
    <t>Māsas palīgs (s.j.) 22</t>
  </si>
  <si>
    <r>
      <t xml:space="preserve">Iestādes nosaukums:  </t>
    </r>
    <r>
      <rPr>
        <b/>
        <u/>
        <sz val="13"/>
        <rFont val="Times New Roman"/>
        <family val="1"/>
        <charset val="186"/>
      </rPr>
      <t>Rēzeknes slimnīca</t>
    </r>
  </si>
  <si>
    <t xml:space="preserve">Slodzes normāla darba laika ietvaros </t>
  </si>
  <si>
    <t>Infekcijas nodaļa</t>
  </si>
  <si>
    <t>Ārsts</t>
  </si>
  <si>
    <t>Uzņemšanas  nodaļa</t>
  </si>
  <si>
    <t>Dzemdību un ginekoloģijas nodaļa</t>
  </si>
  <si>
    <t>Vecmāte</t>
  </si>
  <si>
    <t>….</t>
  </si>
  <si>
    <t>Pārējie</t>
  </si>
  <si>
    <t>Ārstniecības vadītāja</t>
  </si>
  <si>
    <t>Autovadītājs</t>
  </si>
  <si>
    <r>
      <t xml:space="preserve">Iestādes nosaukums:  </t>
    </r>
    <r>
      <rPr>
        <b/>
        <i/>
        <sz val="13"/>
        <rFont val="Times New Roman"/>
        <family val="1"/>
        <charset val="186"/>
      </rPr>
      <t>SIA " Krāslavas slimnīca"</t>
    </r>
  </si>
  <si>
    <t>Galvenā ārsta vietnieks</t>
  </si>
  <si>
    <t>Galvenā ārsta palīgs-medmāsa</t>
  </si>
  <si>
    <t>Iestādes nosaukums: VSIA "Slimnīca "Ģintermuiža</t>
  </si>
  <si>
    <t>UZŅEMŠANAS NODAĻA</t>
  </si>
  <si>
    <t>ārsts, rezidents</t>
  </si>
  <si>
    <t>ārsts, nodaļas vadītājs</t>
  </si>
  <si>
    <t>ārsts</t>
  </si>
  <si>
    <t>virsmāsa</t>
  </si>
  <si>
    <t>GVA māsa</t>
  </si>
  <si>
    <t>māsas palīgs</t>
  </si>
  <si>
    <t>Saimniec.pārzinis, sanitārs</t>
  </si>
  <si>
    <t>sanitārs</t>
  </si>
  <si>
    <t xml:space="preserve">NEIROŽU UN HRONISKO PACIENTU NODAĻA </t>
  </si>
  <si>
    <t>darba terapeits</t>
  </si>
  <si>
    <t>saimniecības pārzinis</t>
  </si>
  <si>
    <t>COVID-19  NODAĻA</t>
  </si>
  <si>
    <t>ADMINISTRĀCIJA</t>
  </si>
  <si>
    <t>virsārsts</t>
  </si>
  <si>
    <t>Izglītības un kvalitātes māsa</t>
  </si>
  <si>
    <t>PKAD vadītāja</t>
  </si>
  <si>
    <t>ASD vadītājs</t>
  </si>
  <si>
    <t>FEMSD vadītāja</t>
  </si>
  <si>
    <t>vecākais grāmatvedis</t>
  </si>
  <si>
    <t>algu grāmatvedis</t>
  </si>
  <si>
    <t>pārvaldes sekretāre</t>
  </si>
  <si>
    <t>VA kvalitātes vadības sistēmu speciālists</t>
  </si>
  <si>
    <t>personāla nodaļas vadītājs</t>
  </si>
  <si>
    <t>personāla speciālists</t>
  </si>
  <si>
    <t>APTIEKA, SAIMNIECĪBAS NODAĻA</t>
  </si>
  <si>
    <t>aptiekas vadītāja</t>
  </si>
  <si>
    <t>farmaceita asistents</t>
  </si>
  <si>
    <t>saimniecības nodaļas vadītājs</t>
  </si>
  <si>
    <t>administrators</t>
  </si>
  <si>
    <t>auto vadītājs</t>
  </si>
  <si>
    <t>veļas pārzinis, med.atkritumu savācējs</t>
  </si>
  <si>
    <t>Noliktavas pārzinis</t>
  </si>
  <si>
    <t>GARĪGĀS VESELĪBAS AMBULATORĀS APRŪPES CENTRS; 1.AKŪTĀ PSIHIATRIJAS NODAĻA</t>
  </si>
  <si>
    <t>GVAAC  struktūrvienības vadītājs</t>
  </si>
  <si>
    <t>GVAAC virsmāsa</t>
  </si>
  <si>
    <t>virsmāsas vietniece</t>
  </si>
  <si>
    <t>pacientu un klientu reģistrators</t>
  </si>
  <si>
    <t>Veselības veicināšanas koordinators</t>
  </si>
  <si>
    <r>
      <t xml:space="preserve">Iestādes nosaukums: </t>
    </r>
    <r>
      <rPr>
        <b/>
        <sz val="13"/>
        <rFont val="Times New Roman"/>
        <family val="1"/>
        <charset val="186"/>
      </rPr>
      <t>SIA KULDĪGAS SLIMNĪCA</t>
    </r>
  </si>
  <si>
    <t>Uzņemšanas nodaļa</t>
  </si>
  <si>
    <t>vecākā māsa</t>
  </si>
  <si>
    <t>māsa</t>
  </si>
  <si>
    <t>sanitāre</t>
  </si>
  <si>
    <t>māsu palīgs</t>
  </si>
  <si>
    <t>562.48</t>
  </si>
  <si>
    <t>ķirurģijas nodaļa</t>
  </si>
  <si>
    <t>iekšķīgo slimību (terapijas) nodaļa</t>
  </si>
  <si>
    <t>vacākā māsa</t>
  </si>
  <si>
    <t>medicīnas asistente</t>
  </si>
  <si>
    <t>bērnu nodaļa</t>
  </si>
  <si>
    <t>dzemdību nodaļa</t>
  </si>
  <si>
    <t>ārsts-nodaļas vadītājs</t>
  </si>
  <si>
    <t>vecākā vecmāte</t>
  </si>
  <si>
    <t>vecmāte</t>
  </si>
  <si>
    <t>reanimācijas un anestēzijas nodaļa</t>
  </si>
  <si>
    <t>galvenā māsa</t>
  </si>
  <si>
    <t>Jelgavas pilsētas slimnīca, SIA</t>
  </si>
  <si>
    <t>Galvēnā māsa</t>
  </si>
  <si>
    <t>Virārsts</t>
  </si>
  <si>
    <t>Saimniecības māsa</t>
  </si>
  <si>
    <t>Medicīnas reģistrātors</t>
  </si>
  <si>
    <r>
      <t>Atalgojums no kura tiek aprēķināta piemaksa (</t>
    </r>
    <r>
      <rPr>
        <u/>
        <sz val="13"/>
        <rFont val="Times New Roman"/>
        <family val="1"/>
        <charset val="186"/>
      </rPr>
      <t>stundu likme</t>
    </r>
    <r>
      <rPr>
        <sz val="13"/>
        <rFont val="Times New Roman"/>
        <family val="1"/>
        <charset val="186"/>
      </rPr>
      <t>)</t>
    </r>
  </si>
  <si>
    <t>Iestādes nosaukums:  SIA "Ogres rajona slimnīca"</t>
  </si>
  <si>
    <t>Māsas palīgs</t>
  </si>
  <si>
    <t>Internā nodaļa</t>
  </si>
  <si>
    <t>Apkopējs</t>
  </si>
  <si>
    <t>Ķirurģijas nodaļa</t>
  </si>
  <si>
    <t>Intensīvās terapijas nodaļa</t>
  </si>
  <si>
    <t>Saimnieciskais dienests</t>
  </si>
  <si>
    <t>Automobiļa vadītājs</t>
  </si>
  <si>
    <t>Datorsistēmu un datortīklu administrators</t>
  </si>
  <si>
    <t>Medicīnas aparatūras tehniķis</t>
  </si>
  <si>
    <t>Administrācija</t>
  </si>
  <si>
    <t>Vadītājs veselības aprūpes jomā</t>
  </si>
  <si>
    <t>Vadītājs veselības aprūpes statistikas jomā</t>
  </si>
  <si>
    <t>Lietvedis</t>
  </si>
  <si>
    <t>no 2020.gada 1.aprīļa līdz 2020.gada 30.aprīlim</t>
  </si>
  <si>
    <t>Apkopes un veļas dienests</t>
  </si>
  <si>
    <t>4_Pārējie nodarbinātie, kopā, tai skaitā sadalījumā pa amatiem:</t>
  </si>
  <si>
    <t>apkopes un veļas dienesta strādnieks</t>
  </si>
  <si>
    <t>apkopes un veļas dienesta vadītāja</t>
  </si>
  <si>
    <t>apkopējs</t>
  </si>
  <si>
    <t>Bērnu slimību nodaļa dienas stacionāru</t>
  </si>
  <si>
    <t>1_Ārsti, zobārsti  un funkcionālie speciālisti, kopā, tai skaitā sadalījumā pa amatiem:</t>
  </si>
  <si>
    <t>ārsts  dežūrpediatrs</t>
  </si>
  <si>
    <t>Endoskopiskā diagnostika</t>
  </si>
  <si>
    <t>ārsts endoskopists</t>
  </si>
  <si>
    <t>2_Ārstniecības un pacientu aprūpes personas un funkcionālo speciālistu asistenti, kopā, tai skaitā sadalījumā pa amatiem:</t>
  </si>
  <si>
    <t>medicīnas māsa</t>
  </si>
  <si>
    <t>Funkcionālā diagnostika</t>
  </si>
  <si>
    <t>ārsts funkcioālais diagnosts</t>
  </si>
  <si>
    <t>Garīgās veselības centrs</t>
  </si>
  <si>
    <t>ārsts psihiatrs</t>
  </si>
  <si>
    <t>Ginekoloģijas un dzemdību speciālista kabinets</t>
  </si>
  <si>
    <t>ārsts ginekologs, dzemdību speciālists</t>
  </si>
  <si>
    <t>Iekšķīgo slimību nodaļa</t>
  </si>
  <si>
    <t>ārsts internists</t>
  </si>
  <si>
    <t>ārsts internists-dežūrās</t>
  </si>
  <si>
    <t>ārsts neirologs</t>
  </si>
  <si>
    <t>3_Ārstniecības un pacientu aprūpes atbalsta personas, māsu palīgi, zobārstu aistenti, kopā, tai skaitā sadalījumā pa amatiem:</t>
  </si>
  <si>
    <t>kurjers</t>
  </si>
  <si>
    <t>medicīnas māsa/administratore</t>
  </si>
  <si>
    <t>Juridiskā, personāla un iepirkuma daļa</t>
  </si>
  <si>
    <t>darba aizsardzības un ugunsdrošības speciālists</t>
  </si>
  <si>
    <t>Ķirurģijas kabinets</t>
  </si>
  <si>
    <t>ārsts ķirurgs</t>
  </si>
  <si>
    <t>medicīnas asistents</t>
  </si>
  <si>
    <t>ārsts dežūrķirurgs</t>
  </si>
  <si>
    <t>Lietvedība</t>
  </si>
  <si>
    <t>lietvede</t>
  </si>
  <si>
    <t>Medicīnas vadība</t>
  </si>
  <si>
    <t>galvenā ārste</t>
  </si>
  <si>
    <t>galvenā medicīnas māsa</t>
  </si>
  <si>
    <t>infekciju kontroles ārsts</t>
  </si>
  <si>
    <t>Medicīniskās mājas aprūpes dienests</t>
  </si>
  <si>
    <t>NMP un uzņemšanas nodaļa</t>
  </si>
  <si>
    <t>ārsta palīgs</t>
  </si>
  <si>
    <t>klientu un pacientu reģistrators</t>
  </si>
  <si>
    <t>pakalpojumu reģ., uzskaites un kvalit.kontroles daļa</t>
  </si>
  <si>
    <t>pakalpojumu reģ. un uzskaites daļas vadītāja</t>
  </si>
  <si>
    <t>Radioloģiskā diagnostika</t>
  </si>
  <si>
    <t xml:space="preserve">ārsts radiologs </t>
  </si>
  <si>
    <t>radiologa asistents</t>
  </si>
  <si>
    <t>vecākais radiologa asistents</t>
  </si>
  <si>
    <t>Reanimācijas un anesezioloģijas nodaļa</t>
  </si>
  <si>
    <t>ārsts reanimatologs-anesteziologs dežūrās</t>
  </si>
  <si>
    <t>Reģistratūra</t>
  </si>
  <si>
    <t>klientu un pacientu vecākā reģistratore</t>
  </si>
  <si>
    <t>Tehniskais dienests</t>
  </si>
  <si>
    <t>garderobists</t>
  </si>
  <si>
    <t>remontstrādnieks</t>
  </si>
  <si>
    <t>santehniķis-remontstrādnieks</t>
  </si>
  <si>
    <t>Traumatologa kabinets</t>
  </si>
  <si>
    <t>ārsts traumatologs, ortopēds</t>
  </si>
  <si>
    <t>Tuberkolozes un plaušu slimību kabinets</t>
  </si>
  <si>
    <t>ārsts pneimonologs</t>
  </si>
  <si>
    <t>Karantīnas nodaļa</t>
  </si>
  <si>
    <r>
      <t xml:space="preserve">Iestādes nosaukums: </t>
    </r>
    <r>
      <rPr>
        <b/>
        <sz val="13"/>
        <rFont val="Times New Roman"/>
        <family val="1"/>
        <charset val="186"/>
      </rPr>
      <t>SIA "Balvu un Gulbenes slimnīcu apvienība"</t>
    </r>
  </si>
  <si>
    <t>Radiologa asistents</t>
  </si>
  <si>
    <t>Reģistrators</t>
  </si>
  <si>
    <t>jaunākais slimnīeku kopējs</t>
  </si>
  <si>
    <t>Slimnīcas vecākā māsa</t>
  </si>
  <si>
    <t>Iestādes nosaukums: Valsts sabiedrība ar ierobežotu atbildību "Rīgas psihiatrijas un narkoloģijas centrs"</t>
  </si>
  <si>
    <t>Tālrunis, e-pasts: 67080122, rpnc@rpnc.lv</t>
  </si>
  <si>
    <t>nodaļas vaditājs</t>
  </si>
  <si>
    <t>ārsts(rezidents)</t>
  </si>
  <si>
    <t>vecaka medmasa</t>
  </si>
  <si>
    <t>medmāsa</t>
  </si>
  <si>
    <t>apkopēja</t>
  </si>
  <si>
    <t>Klientu apkalpošanas spec.</t>
  </si>
  <si>
    <t>virsārste</t>
  </si>
  <si>
    <t>nodaļas vadītaja</t>
  </si>
  <si>
    <t>Galvenā medicinas māsa</t>
  </si>
  <si>
    <t>medicinas masa</t>
  </si>
  <si>
    <t>Veselības aprūpes kontroles.spec</t>
  </si>
  <si>
    <t>Saimn. Darba org.spec.</t>
  </si>
  <si>
    <t>Saimn.nodroš. daļas vad.</t>
  </si>
  <si>
    <t>Aptiekas vadītāja</t>
  </si>
  <si>
    <t>Konsultante</t>
  </si>
  <si>
    <t>Daļas vadītāja</t>
  </si>
  <si>
    <t xml:space="preserve">Iestādes nosaukums:  VSIA "Nacionālais rehabilitācijas centrs "Vaivari" </t>
  </si>
  <si>
    <t>Uzņemšanas un intensīvās terapijas nodaļa</t>
  </si>
  <si>
    <t>Ārstniecības un pacientu aprūpes atbalsta personas, māsu palīgi, zobārstu asistenti, kopā, tai skaitā sadalījumā pa amatiem:</t>
  </si>
  <si>
    <t>Drošības dienests</t>
  </si>
  <si>
    <t>Drošības dienesta vadītājs</t>
  </si>
  <si>
    <t>Iestādes nosaukums:  VSIA "Bērnu klīniskā universitātes slimnīca "</t>
  </si>
  <si>
    <t>Struktūrvienība</t>
  </si>
  <si>
    <t>Grupa</t>
  </si>
  <si>
    <t>Amats</t>
  </si>
  <si>
    <t>Tabeles Nr.</t>
  </si>
  <si>
    <t>Stundas</t>
  </si>
  <si>
    <t>Slodzes normāla darba laika ietvaros (158) *</t>
  </si>
  <si>
    <t>Stundas likme / mēnešalga</t>
  </si>
  <si>
    <t>Likme vai mēnešalga no kuras tiek aprēķināta piemaksa (atbilstoši slodzei)</t>
  </si>
  <si>
    <t>7. nodaļa</t>
  </si>
  <si>
    <t>2. Ārstniecības un pacientu aprūpes personas un funkcionālo speciālistu asistenti, kopā, tai skaitā sadalījumā pa amatiem:</t>
  </si>
  <si>
    <t>Bērnu māsa</t>
  </si>
  <si>
    <t>01428</t>
  </si>
  <si>
    <t>stundas likme</t>
  </si>
  <si>
    <t>20 %</t>
  </si>
  <si>
    <t>03318</t>
  </si>
  <si>
    <t>03320</t>
  </si>
  <si>
    <t>03328</t>
  </si>
  <si>
    <t>03331</t>
  </si>
  <si>
    <t>03338</t>
  </si>
  <si>
    <t>03341</t>
  </si>
  <si>
    <t>03357</t>
  </si>
  <si>
    <t>03360</t>
  </si>
  <si>
    <t>03365</t>
  </si>
  <si>
    <t>03367</t>
  </si>
  <si>
    <t>10024</t>
  </si>
  <si>
    <t>13019</t>
  </si>
  <si>
    <t>14272</t>
  </si>
  <si>
    <t>Māsa</t>
  </si>
  <si>
    <t>14660</t>
  </si>
  <si>
    <t>03317</t>
  </si>
  <si>
    <t>mēnešalga</t>
  </si>
  <si>
    <t>3. Ārstniecības un pacientu aprūpes atbalsta personas, māsu palīgi, zobārstu aistenti, kopā, tai skaitā sadalījumā pa amatiem:</t>
  </si>
  <si>
    <t>Jaunākais māsas palīgs</t>
  </si>
  <si>
    <t>16505</t>
  </si>
  <si>
    <t>16780</t>
  </si>
  <si>
    <t>01290</t>
  </si>
  <si>
    <t>03354</t>
  </si>
  <si>
    <t>14477</t>
  </si>
  <si>
    <t>15605</t>
  </si>
  <si>
    <t>15956</t>
  </si>
  <si>
    <t>16017</t>
  </si>
  <si>
    <t>16294</t>
  </si>
  <si>
    <t>16336</t>
  </si>
  <si>
    <t>16507</t>
  </si>
  <si>
    <t>7. nodaļa KOPĀ</t>
  </si>
  <si>
    <t>Ambulatorās veselības aprūpes daļa</t>
  </si>
  <si>
    <t>4. Pārējie nodarbinātie, kopā, tai skaitā sadalījumā pa amatiem:</t>
  </si>
  <si>
    <t>Ambulatorās veselības aprūpes daļas vadītājs</t>
  </si>
  <si>
    <t>11063</t>
  </si>
  <si>
    <t>Ambulatorās veselības aprūpes daļa KOPĀ</t>
  </si>
  <si>
    <t>Apgādes dienests (materiālu noliktava)</t>
  </si>
  <si>
    <t>Apgādes dienesta vadītājs</t>
  </si>
  <si>
    <t>10424</t>
  </si>
  <si>
    <t>Medicīnas un saimniecības preču ekspeditors</t>
  </si>
  <si>
    <t>03923</t>
  </si>
  <si>
    <t>04851</t>
  </si>
  <si>
    <t>Vecākais materiālu noliktavas pārzinis</t>
  </si>
  <si>
    <t>14838</t>
  </si>
  <si>
    <t>Apgādes dienests (materiālu noliktava) KOPĀ</t>
  </si>
  <si>
    <t>Aprūpes administratīvais dienests</t>
  </si>
  <si>
    <t>Klīniskā virsmāsa</t>
  </si>
  <si>
    <t>03092</t>
  </si>
  <si>
    <t>Slimnīcas virsmāsa</t>
  </si>
  <si>
    <t>03668</t>
  </si>
  <si>
    <t>Aprūpes administratīvais dienests KOPĀ</t>
  </si>
  <si>
    <t>Aptieka</t>
  </si>
  <si>
    <t>Atbildīgais speciālists darbā ar medicīnas precēm</t>
  </si>
  <si>
    <t>14118</t>
  </si>
  <si>
    <t>Aptieka KOPĀ</t>
  </si>
  <si>
    <t>Ārstniecības administratīvais dienests</t>
  </si>
  <si>
    <t>Slimnīcas virsārsts</t>
  </si>
  <si>
    <t>01559</t>
  </si>
  <si>
    <t>03652</t>
  </si>
  <si>
    <t>Ārstniecības administratīvais dienests KOPĀ</t>
  </si>
  <si>
    <t>Centralizētās sterilizācijas dienests</t>
  </si>
  <si>
    <t>Centralizētās sterilizācijas dienesta vadītājs</t>
  </si>
  <si>
    <t>16387</t>
  </si>
  <si>
    <t>Sterilizācijas tehniskais darbinieks</t>
  </si>
  <si>
    <t>16480</t>
  </si>
  <si>
    <t>16809</t>
  </si>
  <si>
    <t>16813</t>
  </si>
  <si>
    <t>Centralizētās sterilizācijas dienests KOPĀ</t>
  </si>
  <si>
    <t>Diagnostiskās radioloģijas dienests, novietne Torņakalnā</t>
  </si>
  <si>
    <t>02491</t>
  </si>
  <si>
    <t>02540</t>
  </si>
  <si>
    <t>02572</t>
  </si>
  <si>
    <t>14057</t>
  </si>
  <si>
    <t>14263</t>
  </si>
  <si>
    <t>15773</t>
  </si>
  <si>
    <t>Diagnostiskās radioloģijas dienests, novietne Torņakalnā KOPĀ</t>
  </si>
  <si>
    <t>Ekonomikas daļa</t>
  </si>
  <si>
    <t>Vecākais ekonomists</t>
  </si>
  <si>
    <t>02393</t>
  </si>
  <si>
    <t>Ekonomikas daļa KOPĀ</t>
  </si>
  <si>
    <t>Endoskopijas dienests</t>
  </si>
  <si>
    <t>Endoskopijas māsas asistents</t>
  </si>
  <si>
    <t>04660</t>
  </si>
  <si>
    <t>Endoskopijas dienests KOPĀ</t>
  </si>
  <si>
    <t>Finanšu un uzskaites daļa</t>
  </si>
  <si>
    <t>Finanšu un uzskaites daļas vadītāja vietnieks</t>
  </si>
  <si>
    <t>14634</t>
  </si>
  <si>
    <t>Finanšu un uzskaites daļa KOPĀ</t>
  </si>
  <si>
    <t>Infekciju kontroles dienests</t>
  </si>
  <si>
    <t>1. Ārsti, zobārsti  un funkcionālie speciālisti, kopā, tai skaitā sadalījumā pa amatiem:</t>
  </si>
  <si>
    <t>Ārsts - stažieris</t>
  </si>
  <si>
    <t>16877</t>
  </si>
  <si>
    <t>Infekciju kontroles speciālists</t>
  </si>
  <si>
    <t>03429</t>
  </si>
  <si>
    <t>Infekciju kontroles dienests KOPĀ</t>
  </si>
  <si>
    <t>Infektoloģijas (7) profils</t>
  </si>
  <si>
    <t>16448</t>
  </si>
  <si>
    <t>Bērnu infektologs</t>
  </si>
  <si>
    <t>03022</t>
  </si>
  <si>
    <t>03037</t>
  </si>
  <si>
    <t>04014</t>
  </si>
  <si>
    <t>Pediatrs</t>
  </si>
  <si>
    <t>15077</t>
  </si>
  <si>
    <t xml:space="preserve">Virsārsts </t>
  </si>
  <si>
    <t>06137</t>
  </si>
  <si>
    <t>Infektoloģijas (7) profils KOPĀ</t>
  </si>
  <si>
    <t>Infrastruktūras uzturēšanas daļas vadība</t>
  </si>
  <si>
    <t>Infrastruktūras uzturēšanas daļas vadītājs</t>
  </si>
  <si>
    <t>14792</t>
  </si>
  <si>
    <t>Infrastruktūras uzturēšanas daļas vadība KOPĀ</t>
  </si>
  <si>
    <t>Komunikācijas daļa</t>
  </si>
  <si>
    <t>Komunikācijas daļas vadītājs</t>
  </si>
  <si>
    <t>15439</t>
  </si>
  <si>
    <t>Komunikācijas daļa KOPĀ</t>
  </si>
  <si>
    <t>Kvalitātes vadības daļa</t>
  </si>
  <si>
    <t>Kvalitātes vadības daļas vadītājs</t>
  </si>
  <si>
    <t>14520</t>
  </si>
  <si>
    <t>Kvalitātes vadības daļa KOPĀ</t>
  </si>
  <si>
    <t>Laboratorija, klīniskā joma</t>
  </si>
  <si>
    <t>Laboratorijas ārsts</t>
  </si>
  <si>
    <t>02628</t>
  </si>
  <si>
    <t>04019</t>
  </si>
  <si>
    <t>15627</t>
  </si>
  <si>
    <t>Biomedicīnas laborants</t>
  </si>
  <si>
    <t>02651</t>
  </si>
  <si>
    <t>02657</t>
  </si>
  <si>
    <t>02668</t>
  </si>
  <si>
    <t>16493</t>
  </si>
  <si>
    <t>16503</t>
  </si>
  <si>
    <t>Biomedicīnas laborants neatliekamai palīdzībai</t>
  </si>
  <si>
    <t>02613</t>
  </si>
  <si>
    <t>02618</t>
  </si>
  <si>
    <t>02623</t>
  </si>
  <si>
    <t>02632</t>
  </si>
  <si>
    <t>02635</t>
  </si>
  <si>
    <t>02653</t>
  </si>
  <si>
    <t>10198</t>
  </si>
  <si>
    <t>Vecākais biomedicīnas laborants</t>
  </si>
  <si>
    <t>02617</t>
  </si>
  <si>
    <t>02643</t>
  </si>
  <si>
    <t>Laboratorija, klīniskā joma KOPĀ</t>
  </si>
  <si>
    <t>Laboratorijas vadība</t>
  </si>
  <si>
    <t>Laboratorijas vadītāja vietnieks - vecākāis biomedicīnas laborants</t>
  </si>
  <si>
    <t>02626</t>
  </si>
  <si>
    <t>Laboratorijas vadība KOPĀ</t>
  </si>
  <si>
    <t>Neatliekamās medicīniskās palīdzības un observācijas nodaļa, novietne Torņakalnā</t>
  </si>
  <si>
    <t>02275</t>
  </si>
  <si>
    <t>03384</t>
  </si>
  <si>
    <t>03399</t>
  </si>
  <si>
    <t>14161</t>
  </si>
  <si>
    <t>14544</t>
  </si>
  <si>
    <t>14795</t>
  </si>
  <si>
    <t>14864</t>
  </si>
  <si>
    <t>14966</t>
  </si>
  <si>
    <t>15189</t>
  </si>
  <si>
    <t>15397</t>
  </si>
  <si>
    <t>15637</t>
  </si>
  <si>
    <t>15966</t>
  </si>
  <si>
    <t>16234</t>
  </si>
  <si>
    <t>16283</t>
  </si>
  <si>
    <t>01199</t>
  </si>
  <si>
    <t>01251</t>
  </si>
  <si>
    <t>01269</t>
  </si>
  <si>
    <t>01334</t>
  </si>
  <si>
    <t>01338</t>
  </si>
  <si>
    <t>01341</t>
  </si>
  <si>
    <t>01348</t>
  </si>
  <si>
    <t>01351</t>
  </si>
  <si>
    <t>01357</t>
  </si>
  <si>
    <t>01374</t>
  </si>
  <si>
    <t>01610</t>
  </si>
  <si>
    <t>02199</t>
  </si>
  <si>
    <t>02201</t>
  </si>
  <si>
    <t>02202</t>
  </si>
  <si>
    <t>02215</t>
  </si>
  <si>
    <t>02216</t>
  </si>
  <si>
    <t>02217</t>
  </si>
  <si>
    <t>02227</t>
  </si>
  <si>
    <t>02249</t>
  </si>
  <si>
    <t>02813</t>
  </si>
  <si>
    <t>03438</t>
  </si>
  <si>
    <t>03583</t>
  </si>
  <si>
    <t>03627</t>
  </si>
  <si>
    <t>03686</t>
  </si>
  <si>
    <t>03763</t>
  </si>
  <si>
    <t>04275</t>
  </si>
  <si>
    <t>10137</t>
  </si>
  <si>
    <t>10377</t>
  </si>
  <si>
    <t>11137</t>
  </si>
  <si>
    <t>12700</t>
  </si>
  <si>
    <t>12964</t>
  </si>
  <si>
    <t>12983</t>
  </si>
  <si>
    <t>13201</t>
  </si>
  <si>
    <t>14540</t>
  </si>
  <si>
    <t>15554</t>
  </si>
  <si>
    <t>02205</t>
  </si>
  <si>
    <t>02389</t>
  </si>
  <si>
    <t>02731</t>
  </si>
  <si>
    <t>14476</t>
  </si>
  <si>
    <t>14802</t>
  </si>
  <si>
    <t>14915</t>
  </si>
  <si>
    <t>15082</t>
  </si>
  <si>
    <t>15237</t>
  </si>
  <si>
    <t>15429</t>
  </si>
  <si>
    <t>15663</t>
  </si>
  <si>
    <t>16775</t>
  </si>
  <si>
    <t>Virsmāsas vietnieks</t>
  </si>
  <si>
    <t>02214</t>
  </si>
  <si>
    <t>14487</t>
  </si>
  <si>
    <t>15365</t>
  </si>
  <si>
    <t>15831</t>
  </si>
  <si>
    <t>16032</t>
  </si>
  <si>
    <t>16223</t>
  </si>
  <si>
    <t>16239</t>
  </si>
  <si>
    <t>16264</t>
  </si>
  <si>
    <t>16586</t>
  </si>
  <si>
    <t>16597</t>
  </si>
  <si>
    <t>16602</t>
  </si>
  <si>
    <t>16603</t>
  </si>
  <si>
    <t>16606</t>
  </si>
  <si>
    <t>16693</t>
  </si>
  <si>
    <t>16722</t>
  </si>
  <si>
    <t>16729</t>
  </si>
  <si>
    <t>16766</t>
  </si>
  <si>
    <t>16774</t>
  </si>
  <si>
    <t>16777</t>
  </si>
  <si>
    <t>16859</t>
  </si>
  <si>
    <t>01343</t>
  </si>
  <si>
    <t>02221</t>
  </si>
  <si>
    <t>03473</t>
  </si>
  <si>
    <t>04877</t>
  </si>
  <si>
    <t>10777</t>
  </si>
  <si>
    <t>11190</t>
  </si>
  <si>
    <t>12311</t>
  </si>
  <si>
    <t>14019</t>
  </si>
  <si>
    <t>14145</t>
  </si>
  <si>
    <t>14737</t>
  </si>
  <si>
    <t>15216</t>
  </si>
  <si>
    <t>16046</t>
  </si>
  <si>
    <t>16266</t>
  </si>
  <si>
    <t>16426</t>
  </si>
  <si>
    <t>Neatliekamās medicīniskās palīdzības un observācijas nodaļa, novietne Torņakalnā KOPĀ</t>
  </si>
  <si>
    <t>Neatliekamās medicīniskās palīdzības un observācijas pediatri, novietne Torņakalnā</t>
  </si>
  <si>
    <t>14333</t>
  </si>
  <si>
    <t>15155</t>
  </si>
  <si>
    <t>16464</t>
  </si>
  <si>
    <t>16510</t>
  </si>
  <si>
    <t>Neatliekamās medicīniskās palīdzības un observācijas procesa pediatrijas virsārsts</t>
  </si>
  <si>
    <t>03639</t>
  </si>
  <si>
    <t>Neatliekamās medicīniskās palīdzības un observācijas procesa vadītājs</t>
  </si>
  <si>
    <t>03003</t>
  </si>
  <si>
    <t>01417</t>
  </si>
  <si>
    <t>02246</t>
  </si>
  <si>
    <t>02576</t>
  </si>
  <si>
    <t>03379</t>
  </si>
  <si>
    <t>03728</t>
  </si>
  <si>
    <t>04679</t>
  </si>
  <si>
    <t>06053</t>
  </si>
  <si>
    <t>06077</t>
  </si>
  <si>
    <t>06081</t>
  </si>
  <si>
    <t>06082</t>
  </si>
  <si>
    <t>06085</t>
  </si>
  <si>
    <t>06092</t>
  </si>
  <si>
    <t>06098</t>
  </si>
  <si>
    <t>06099</t>
  </si>
  <si>
    <t>06110</t>
  </si>
  <si>
    <t>07003</t>
  </si>
  <si>
    <t>14267</t>
  </si>
  <si>
    <t>14336</t>
  </si>
  <si>
    <t>14342</t>
  </si>
  <si>
    <t>14343</t>
  </si>
  <si>
    <t>14698</t>
  </si>
  <si>
    <t>14778</t>
  </si>
  <si>
    <t>Neatliekamās medicīniskās palīdzības un observācijas pediatri, novietne Torņakalnā KOPĀ</t>
  </si>
  <si>
    <t>Personāla vadības daļa</t>
  </si>
  <si>
    <t xml:space="preserve">Darba attiecību procesu vadītājs </t>
  </si>
  <si>
    <t>02096</t>
  </si>
  <si>
    <t>Personāla vadības daļas vadītājs</t>
  </si>
  <si>
    <t>16568</t>
  </si>
  <si>
    <t>Vecākais personāla speciālists</t>
  </si>
  <si>
    <t>02316</t>
  </si>
  <si>
    <t>Personāla vadības daļa KOPĀ</t>
  </si>
  <si>
    <t>Rezidenti</t>
  </si>
  <si>
    <t>04257</t>
  </si>
  <si>
    <t>04655</t>
  </si>
  <si>
    <t>14374</t>
  </si>
  <si>
    <t>15498</t>
  </si>
  <si>
    <t>15520</t>
  </si>
  <si>
    <t>Rezidenti KOPĀ</t>
  </si>
  <si>
    <t>Transporta pakalpojumu dienests</t>
  </si>
  <si>
    <t>02379</t>
  </si>
  <si>
    <t>14015</t>
  </si>
  <si>
    <t>16014</t>
  </si>
  <si>
    <t>16651</t>
  </si>
  <si>
    <t>Transporta pakalpojumu dienests KOPĀ</t>
  </si>
  <si>
    <t>Uzkopšanas dienests, novietne Torņakalnā</t>
  </si>
  <si>
    <t>04121</t>
  </si>
  <si>
    <t>akordalga *</t>
  </si>
  <si>
    <t>04916</t>
  </si>
  <si>
    <t>04948</t>
  </si>
  <si>
    <t>04978</t>
  </si>
  <si>
    <t>04980</t>
  </si>
  <si>
    <t>14191</t>
  </si>
  <si>
    <t>15333</t>
  </si>
  <si>
    <t>15567</t>
  </si>
  <si>
    <t>15994</t>
  </si>
  <si>
    <t>16712</t>
  </si>
  <si>
    <t>Tehniskais darbinieks</t>
  </si>
  <si>
    <t>03984</t>
  </si>
  <si>
    <t>16798</t>
  </si>
  <si>
    <t>Uzkopšanas dienests, novietne Torņakalnā KOPĀ</t>
  </si>
  <si>
    <t>Veļas dienests</t>
  </si>
  <si>
    <t>Veļas strādnieks</t>
  </si>
  <si>
    <t>01114</t>
  </si>
  <si>
    <t>04999</t>
  </si>
  <si>
    <t>05092</t>
  </si>
  <si>
    <t>Veļas dienests KOPĀ</t>
  </si>
  <si>
    <t>* papildus aprēķini pielikumā par akordalgas darbinieku piemaksas aprēķināšanas kārtību</t>
  </si>
  <si>
    <t>Apkopēja</t>
  </si>
  <si>
    <t>Iestādes nosaukums: SIA Vidzemes slimnīca</t>
  </si>
  <si>
    <t>Ambulatorā daļa</t>
  </si>
  <si>
    <t>ambulatorās aprūpes māsa</t>
  </si>
  <si>
    <t>Ambulatorās daļas vecākā māsa</t>
  </si>
  <si>
    <t>ķirurģiskās aprūpes māsa</t>
  </si>
  <si>
    <t>Ambulatorās daļas vadītājs</t>
  </si>
  <si>
    <t>ambulatorā darba koordinators</t>
  </si>
  <si>
    <t>Anestēzijas, intensīvās un neatliekamās aprūpes virsmāsa</t>
  </si>
  <si>
    <t>aptiekas vadītāja vietnieks</t>
  </si>
  <si>
    <t>Aptiekas vadītājs</t>
  </si>
  <si>
    <t>Ārstnieciskais direktors</t>
  </si>
  <si>
    <t>ārstnieciskais direktors</t>
  </si>
  <si>
    <t>Bērnu slimību nodaļa - dežūras NMP</t>
  </si>
  <si>
    <t>pediatrs</t>
  </si>
  <si>
    <t>Diagnostiskās radioloģijas nodaļa</t>
  </si>
  <si>
    <t>radiogrāfers</t>
  </si>
  <si>
    <t>vecākais radiogrāfers</t>
  </si>
  <si>
    <t>Funkcionālās diagnostikas nodaļa</t>
  </si>
  <si>
    <t>Funkcionālās diagnostikas nodaļas vecākā māsa</t>
  </si>
  <si>
    <t>Klientu apkalpošanas nodaļa</t>
  </si>
  <si>
    <t>reģistrators</t>
  </si>
  <si>
    <t>Konsultatīvais kabinets Bastionā</t>
  </si>
  <si>
    <t>kvalitātes vadības sistēmas speciālists</t>
  </si>
  <si>
    <t>NMP un pacientu uzņemšanas nodaļa</t>
  </si>
  <si>
    <t>neatliekamās medicīnas ārsts</t>
  </si>
  <si>
    <t>NMP un pacientu uzņemšanas nodaļas virsārsts</t>
  </si>
  <si>
    <t>neatliekamās palīdzības māsa</t>
  </si>
  <si>
    <t>neatliekamās palīdzības māsa - pavadonis</t>
  </si>
  <si>
    <t>Saimnieciskā nodrošinājuma daļa</t>
  </si>
  <si>
    <t>Saimnieciskā nodrošinājuma daļas vadītājs</t>
  </si>
  <si>
    <t>vecākais tehniskais strādnieks</t>
  </si>
  <si>
    <t>automobiļa vadītājs</t>
  </si>
  <si>
    <t>Transporta nodaļas vadītājs</t>
  </si>
  <si>
    <t>veļas mazgātavas operators</t>
  </si>
  <si>
    <t>Terapijas nodaļa Nr.1</t>
  </si>
  <si>
    <t>internists</t>
  </si>
  <si>
    <t>terapijas nodaļas Nr. 1 virsārsts</t>
  </si>
  <si>
    <t>terapijas māsa</t>
  </si>
  <si>
    <t>Terapijas nodaļa Nr.2</t>
  </si>
  <si>
    <t>infektologs</t>
  </si>
  <si>
    <t>terapijas nodaļas Nr.2 virsārsts</t>
  </si>
  <si>
    <t>internās aprūpes māsa</t>
  </si>
  <si>
    <t>bērnu aprūpes māsa</t>
  </si>
  <si>
    <t>Uzkopšanas nodaļa</t>
  </si>
  <si>
    <t>uzkopšanas nodaļas vadītājs</t>
  </si>
  <si>
    <t>Iestādes nosaukums:  SIA Jūrmalas slimnīca</t>
  </si>
  <si>
    <t>Neatliekamās palīdzības nodaļa (pacientu uzņemšana)</t>
  </si>
  <si>
    <t xml:space="preserve">nodaļas vadītājs - ordinators </t>
  </si>
  <si>
    <t>ķirurgs - ordinators</t>
  </si>
  <si>
    <t>Ķirurgs/internists (ordinators) - Ārsts stažieris</t>
  </si>
  <si>
    <r>
      <t xml:space="preserve">Internists-dežūrārsts     </t>
    </r>
    <r>
      <rPr>
        <sz val="12"/>
        <color indexed="49"/>
        <rFont val="Times New Roman"/>
        <family val="1"/>
        <charset val="186"/>
      </rPr>
      <t xml:space="preserve"> </t>
    </r>
  </si>
  <si>
    <t xml:space="preserve">Ķirurgs-dežūrārsts            </t>
  </si>
  <si>
    <t xml:space="preserve">Anesteziologs - reanimatologs (dienas)  </t>
  </si>
  <si>
    <t xml:space="preserve">Anesteziologs - reanimatologs (dežūrārsts)  </t>
  </si>
  <si>
    <t xml:space="preserve">Intensīvās tearapijas māsa (dienas)  </t>
  </si>
  <si>
    <t>Intensīvās tearapijas māsa (dežūras)</t>
  </si>
  <si>
    <t>Māsas palīgs / sanitārs (uzņemšana)</t>
  </si>
  <si>
    <t>Māsas palīgs / sanitārs (intens. terapija)</t>
  </si>
  <si>
    <t>Klientu un pacientu reģistrators (vecākais)</t>
  </si>
  <si>
    <t>Klientu un pacientu reģistrators</t>
  </si>
  <si>
    <t>nodaļa COVID-19 infekcijas izplatības ierobežošanai</t>
  </si>
  <si>
    <t>nodaļas vadītājs - ordinators</t>
  </si>
  <si>
    <t>ordinators</t>
  </si>
  <si>
    <t>medmāsas</t>
  </si>
  <si>
    <t>māsu palīgs / sanitārs</t>
  </si>
  <si>
    <t>Diagnostikas nodaļa, Diagnostiskās radioloģijas nodaļa</t>
  </si>
  <si>
    <t>Radiologs diagnosts</t>
  </si>
  <si>
    <t>laboratorijas vadītāja</t>
  </si>
  <si>
    <t>Funkcionālās diagnostikas māsa</t>
  </si>
  <si>
    <t>Diagnostikas bloka virsmāsa</t>
  </si>
  <si>
    <t>vecākais biomedicīnas laborants</t>
  </si>
  <si>
    <t>biomedicīnas laborants</t>
  </si>
  <si>
    <t xml:space="preserve">radiologa asistenti </t>
  </si>
  <si>
    <t>medmāsa (gan nodaļā COVID-19 infekcijas izplat. Ierobežoš., gan Ķirurģijas nod.)</t>
  </si>
  <si>
    <t>māsu palīgs (gan nodaļā COVID-19 infekcijas izplat. Ierobežoš., gan Ķirurģijas nod.)</t>
  </si>
  <si>
    <t>saimniecības pārzine  (gan nodaļā COVID-19 infekcijas izplat. Ierobežoš., gan Ķirurģijas nod.)</t>
  </si>
  <si>
    <t>Dažādi:</t>
  </si>
  <si>
    <t>ambulatorā bloka vadītāja</t>
  </si>
  <si>
    <t>medicīnas iekārtu inženieris un  saimniec. inženiertehn. Nod. vadītāja v.i.</t>
  </si>
  <si>
    <t>iepirkmu organizēšanas specālists</t>
  </si>
  <si>
    <t>neirologs</t>
  </si>
  <si>
    <t>internās aprūpes māsas</t>
  </si>
  <si>
    <t>saimniecības pārzine</t>
  </si>
  <si>
    <t>14.nodaļa</t>
  </si>
  <si>
    <t>Ārsti, zobārsti un funkcionālie speciālisti, kopā, tai skaitā sadalījumā pa amatiem:</t>
  </si>
  <si>
    <t>Virsārsts pneimonologs</t>
  </si>
  <si>
    <t>Ārsts pneimonologs</t>
  </si>
  <si>
    <t>4.Uroloģijas nodaļa</t>
  </si>
  <si>
    <t>Ķirurģiskās aprūpes māsa</t>
  </si>
  <si>
    <t>Internās aprūpes māsa</t>
  </si>
  <si>
    <t>Neatliekamās medicīnas ārsta palīgs</t>
  </si>
  <si>
    <t>9.Endokrinoloģijas un reimatoloģijas nodaļa</t>
  </si>
  <si>
    <t>Ārsts internists</t>
  </si>
  <si>
    <t>Diabēta aprūpes māsa</t>
  </si>
  <si>
    <t>Anestezioloģijas nodaļa</t>
  </si>
  <si>
    <t>Ārsts anesteziologs, reanimatologs</t>
  </si>
  <si>
    <t>Anestēzijas, intensīvās un neatliekamās aprūpes māsa</t>
  </si>
  <si>
    <t>Apvienotā laboratorija</t>
  </si>
  <si>
    <t>Resursu vadītājs</t>
  </si>
  <si>
    <t>Laboratorijas speciālists</t>
  </si>
  <si>
    <t>Ārstniecība</t>
  </si>
  <si>
    <t>Diagnostiskās radioloģijas institūts</t>
  </si>
  <si>
    <t>Radiologs</t>
  </si>
  <si>
    <t>Radiogrāfers</t>
  </si>
  <si>
    <t>Infekciju slimību un hospitālās epidemioloģijas konsultatīvais dienests</t>
  </si>
  <si>
    <t>Vadītājs ārsts epidemiologs</t>
  </si>
  <si>
    <t>Atbildīgais ārsts infektologs-hepatologs</t>
  </si>
  <si>
    <t>Ārsts infektologs-hepatologs</t>
  </si>
  <si>
    <t>Ārsts infektologs</t>
  </si>
  <si>
    <t>Ārsta epidemiologa palīgs</t>
  </si>
  <si>
    <t>Vecākā infekciju kontroles māsa</t>
  </si>
  <si>
    <t>Ambulatorā infekciju kontroles māsa</t>
  </si>
  <si>
    <t>Infekciju kontroles māsa</t>
  </si>
  <si>
    <t>Intensīvās terapijas un reanimācijas nodaļa</t>
  </si>
  <si>
    <t>Internās medicīnas klīnika</t>
  </si>
  <si>
    <t>Klientu informācijas un apkalpošanas daļa</t>
  </si>
  <si>
    <t>Klientu apkalpošanas speciālists</t>
  </si>
  <si>
    <t>Vecākais klientu apkalpošanas speciālists NMC</t>
  </si>
  <si>
    <t>Mutes, sejas un žokļu ķirurģijas centrs</t>
  </si>
  <si>
    <t>Ārsts stažieris dežūrām NMC</t>
  </si>
  <si>
    <t>Neatliekamās medicīnas centrs</t>
  </si>
  <si>
    <t>Vadītājs ārsts speciālists</t>
  </si>
  <si>
    <t>Ārsts speciālists</t>
  </si>
  <si>
    <t>Internists</t>
  </si>
  <si>
    <t>Ģimenes  (vispārējās prakses) ārsts</t>
  </si>
  <si>
    <t>Neatliekamās medicīnas ārsts</t>
  </si>
  <si>
    <t>Ambulatorā dienesta ārsta palīgs</t>
  </si>
  <si>
    <t>Atbildīgā medicīnas māsa</t>
  </si>
  <si>
    <t>Virsmāsas p.i.</t>
  </si>
  <si>
    <t>Ārsta palīgs (feldšeris)</t>
  </si>
  <si>
    <t>Sanitārs neatliekamajā palīdzībā</t>
  </si>
  <si>
    <t>Sanitārs-transportētājs</t>
  </si>
  <si>
    <t>Atbildīgais sanitārs-transportētājs</t>
  </si>
  <si>
    <t>Vadītāja palīgs</t>
  </si>
  <si>
    <t>Poliklīnika</t>
  </si>
  <si>
    <t>Ambulatorās aprūpes MĀSA</t>
  </si>
  <si>
    <t>Rezidentūra</t>
  </si>
  <si>
    <t>Saimnieciskās apgādes un servisa nodaļa</t>
  </si>
  <si>
    <t>Vecākais tehniskais darbinieks</t>
  </si>
  <si>
    <t>Jaunākais tehniskais darbinieks</t>
  </si>
  <si>
    <t>Vecākais uzkopšanas speciālists</t>
  </si>
  <si>
    <t>Saimniecības pārzinis</t>
  </si>
  <si>
    <t>Iestādes nosaukums: VSIA "Paula Stradiņa klīniskā universitātes slimnīca"</t>
  </si>
  <si>
    <t>Ambulatorās ķirurģijas centrs</t>
  </si>
  <si>
    <t>Aprūpe</t>
  </si>
  <si>
    <t>Galvenās māsas vietnieks ķirurģiskajā aprūpē</t>
  </si>
  <si>
    <t>Vecākais laborants</t>
  </si>
  <si>
    <t>Atbildīgais ārsts speciālists</t>
  </si>
  <si>
    <t>Sterilizācijas nodaļa</t>
  </si>
  <si>
    <t>Uzkopšanas un veļas aprites dienests</t>
  </si>
  <si>
    <t>Iestādes nosaukums:  SIA JĒKABPILS REĢIONĀLĀ SLIMNĪCA, REĢ. Nr.50003356621</t>
  </si>
  <si>
    <t>māsas</t>
  </si>
  <si>
    <t>māsiu pal.</t>
  </si>
  <si>
    <t>Infekciju nod</t>
  </si>
  <si>
    <t>ārsts nod. Vad.</t>
  </si>
  <si>
    <t xml:space="preserve">Terapijas nod </t>
  </si>
  <si>
    <t>Iestādes nosaukums:  SIA Rīgas Dzemdību nams</t>
  </si>
  <si>
    <t>Ārsts anesteziologs 1</t>
  </si>
  <si>
    <t>Ārsts anesteziologs 2</t>
  </si>
  <si>
    <t>Ārsts anesteziologs 3</t>
  </si>
  <si>
    <t>Ārsts anesteziologs 4</t>
  </si>
  <si>
    <t>Ārsts anesteziologs 5</t>
  </si>
  <si>
    <t>Ārsts ķirurgs 1</t>
  </si>
  <si>
    <t>Ārsts ķirurgs 2</t>
  </si>
  <si>
    <t>Ārsts ķirurgs 3</t>
  </si>
  <si>
    <t>Ārsts ķirurgs 4</t>
  </si>
  <si>
    <t>Ārsts terapeitiskais 1</t>
  </si>
  <si>
    <t>Ārsts terapeitiskais 2</t>
  </si>
  <si>
    <t>Ārsts terapeitiskais 3</t>
  </si>
  <si>
    <t>Ārsts terapeitiskais 4</t>
  </si>
  <si>
    <t>Ārsts terapeitiskais 5</t>
  </si>
  <si>
    <t>Ārsts terapeitiskais 6</t>
  </si>
  <si>
    <t>Ārsts terapeitiskais 7</t>
  </si>
  <si>
    <t>māsa 1</t>
  </si>
  <si>
    <t>māsa 2</t>
  </si>
  <si>
    <t>māsa 3</t>
  </si>
  <si>
    <t>māsa 4</t>
  </si>
  <si>
    <t>māsa 5</t>
  </si>
  <si>
    <t>māsa 6</t>
  </si>
  <si>
    <t>māsas palīgs 1</t>
  </si>
  <si>
    <t>māsas palīgs 2</t>
  </si>
  <si>
    <t>māsas palīgs 3</t>
  </si>
  <si>
    <t>māsas palīgs 4</t>
  </si>
  <si>
    <t>māsas palīgs 5</t>
  </si>
  <si>
    <t>Ārsts USS</t>
  </si>
  <si>
    <t>RTG asistenti 1</t>
  </si>
  <si>
    <t>RTG asistenti 2</t>
  </si>
  <si>
    <t>Iestādes nosaukums: SIA "Liepājas reģionālā slimnīca"</t>
  </si>
  <si>
    <t>Ārsts anesteziologs reanimatologs</t>
  </si>
  <si>
    <t>Ārsts ginekologs dzemdību speciālists</t>
  </si>
  <si>
    <t>Ārsts kardiologs</t>
  </si>
  <si>
    <t>Ārsts ķirurgs</t>
  </si>
  <si>
    <t>Ārsts pediatrs</t>
  </si>
  <si>
    <t>Ārsts radiologs diagnosts</t>
  </si>
  <si>
    <t>Nodaļas vadītājs/Ārsts anesteziologs reanimatologs</t>
  </si>
  <si>
    <t>Nodaļas vadītājs/Ārsts narkologs</t>
  </si>
  <si>
    <t>Nodaļas vadītājs/Ārsts neirologs</t>
  </si>
  <si>
    <t>Nodaļas vadītājs/Ārsts radiologs diagnosts</t>
  </si>
  <si>
    <t>Bērnu aprūpes māsa</t>
  </si>
  <si>
    <t>Hemodialīzes un nieru transplantācijas māsa</t>
  </si>
  <si>
    <t>Infektoloģijas māsa</t>
  </si>
  <si>
    <t>Intensīvās terapijas un anestēzijas māsa</t>
  </si>
  <si>
    <t>Neatliekamās palīdzības māsa</t>
  </si>
  <si>
    <t>Operāciju māsa</t>
  </si>
  <si>
    <t>Radiologa virsasistents</t>
  </si>
  <si>
    <t>Ārstniecības iestādes klientu un pacientu reģistrators</t>
  </si>
  <si>
    <t>Sanitārs NMP</t>
  </si>
  <si>
    <t xml:space="preserve">Pārskats par atbildīgo institūciju ārstniecības personu un pārējo nodarbināto izmaksāto izmaksātajām piemaksām  par darbu paaugstināta riska un slodzes apstākļos ārkārtas sabiedrības veselības apdraudējumā saistībā ar “Covid-19” uzliesmojumu un seku novēršanu atbilstoši Veselības ministrijas 2020.gada 31. marta rīkojumam Nr.67 un 2020.gada 8.aprīļa rīkojumu Nr.82 </t>
  </si>
  <si>
    <r>
      <t xml:space="preserve">Iestādes nosaukums: </t>
    </r>
    <r>
      <rPr>
        <b/>
        <sz val="11"/>
        <rFont val="Times New Roman"/>
        <family val="1"/>
        <charset val="186"/>
      </rPr>
      <t xml:space="preserve">SIA “Rīgas Austrumu klīniskās universitātes slimnīca” </t>
    </r>
  </si>
  <si>
    <t xml:space="preserve"> VSIA “Rīgas Austrumu klīniskās universitātes slimnīca” </t>
  </si>
  <si>
    <t>Anesteziologs, reanimatologs</t>
  </si>
  <si>
    <t>Atbildīgais ķirurgs</t>
  </si>
  <si>
    <t>Ārsts (dežūrām)</t>
  </si>
  <si>
    <t>Ārsts patologs</t>
  </si>
  <si>
    <t>Ārsts stažieris/anesteziologs, reanimatologs</t>
  </si>
  <si>
    <t>Ārsts stažieris/ginekologs</t>
  </si>
  <si>
    <t>Ārsts stažieris/ķirurgs</t>
  </si>
  <si>
    <t>Ārsts stažieris/neirologs</t>
  </si>
  <si>
    <t>Ārsts stažieris/radiologs diagnosts</t>
  </si>
  <si>
    <t>Ārsts stažieris/reanimatologs, anesteziologs</t>
  </si>
  <si>
    <t>Ārsts stažieris/traumatologs</t>
  </si>
  <si>
    <t>Ārsts vakcinācijas darbā</t>
  </si>
  <si>
    <t>Ārsts-stažieris</t>
  </si>
  <si>
    <t>Bakterioloģijas daļas vadītājs - laboratorijas ārsts</t>
  </si>
  <si>
    <t>Bronhoskopiju  kabineta vadītājs</t>
  </si>
  <si>
    <t>Dermatologs, venerologs</t>
  </si>
  <si>
    <t>Dežūrdienesta daļas vadītājs - laboratorijas speciālists</t>
  </si>
  <si>
    <t>Dežūrkardiologs</t>
  </si>
  <si>
    <t>Diagnostiskās radioloģijas centrs vadītājs</t>
  </si>
  <si>
    <t>Ergoterapeits</t>
  </si>
  <si>
    <t>Fizikālās un rehabilitācijas medicīnas ārsts</t>
  </si>
  <si>
    <t>Fizioterapeits</t>
  </si>
  <si>
    <t>Gastroenteroloģijas, hepatoloģijas un nutrīcijas klīnikas virsārsts</t>
  </si>
  <si>
    <t>Ginekologs</t>
  </si>
  <si>
    <t>Infekciju uzraudzības dienesta vadītājs</t>
  </si>
  <si>
    <t>Infektologs</t>
  </si>
  <si>
    <t>Infektoloģijas poliklīnikas vadītājs</t>
  </si>
  <si>
    <t>Kardiologs</t>
  </si>
  <si>
    <t>Klīnikas vadītājs</t>
  </si>
  <si>
    <t>Klīniskās diagnostikas centra vadītājs</t>
  </si>
  <si>
    <t>Ķirurgs</t>
  </si>
  <si>
    <t>Laboratorijas „Latvijas Infektoloģijas centrs” vadītājs</t>
  </si>
  <si>
    <t>Laboratorijas dienesta vadītāja vietnieks</t>
  </si>
  <si>
    <t>Laboratorijas speciālists (stažieris)</t>
  </si>
  <si>
    <t>Molekulārās bioloģijas un virusoloģijas daļas vadītājs - laboratorijas speciālists</t>
  </si>
  <si>
    <t>Neatliekamās palīdzības ārsts</t>
  </si>
  <si>
    <t>Neatliekamās radioloģijas nodaļas vadītājs</t>
  </si>
  <si>
    <t>Neatliekamās radioloģijas nodaļas virsārsts</t>
  </si>
  <si>
    <t>Neiroķirurgs</t>
  </si>
  <si>
    <t>Neirologs</t>
  </si>
  <si>
    <t>Nodaļas vadītājs</t>
  </si>
  <si>
    <t>Nodaļas vadītājs-ārsts dermatovenerologs</t>
  </si>
  <si>
    <t>Nodaļas vadītājs-ārsts infektologs</t>
  </si>
  <si>
    <t>Nodaļas vadītājs-ārsts radiologs</t>
  </si>
  <si>
    <t>Otolaringologs</t>
  </si>
  <si>
    <t>Pneimonologs</t>
  </si>
  <si>
    <t>Psihiatrs</t>
  </si>
  <si>
    <t>Stacionāra "Latvijas Infektoloģijas centrs" galvenais ārsts</t>
  </si>
  <si>
    <t>Stacionāra „Latvijas Infektoloģijas centrs” virsārsts</t>
  </si>
  <si>
    <t>Stacionāra „Tuberkulozes un plaušu slimību centrs” galvenais ārsts</t>
  </si>
  <si>
    <t>Traumatologs, ortopēds</t>
  </si>
  <si>
    <t>Vadītājs</t>
  </si>
  <si>
    <t>Virsārsts</t>
  </si>
  <si>
    <t>Virsārsts, stacionāra "Gaiļezers" galvenais ārsts</t>
  </si>
  <si>
    <t>Ambulatorās aprūpes māsa</t>
  </si>
  <si>
    <t>Atbildīgā anestēzijas, intensīvās un neatliekamās aprūpes māsa</t>
  </si>
  <si>
    <t>Atbildīgā māsa</t>
  </si>
  <si>
    <t>Galvenais radiogrāfers</t>
  </si>
  <si>
    <t>Klīnikas virsmāsa</t>
  </si>
  <si>
    <t>Medicīnas māsa *</t>
  </si>
  <si>
    <t>Neatliekamās medicīnas ārsta palīgs/feldšeris</t>
  </si>
  <si>
    <t>Onkoloģiskās aprūpes māsa</t>
  </si>
  <si>
    <t>Stacionāra "Biķernieki" un staconāra "Latvijas Infektoloģijas centrs"  nodaļas vadītājs</t>
  </si>
  <si>
    <t>Stacionāra „Gaiļezers” galvenā medicīnas māsa</t>
  </si>
  <si>
    <t>Stacionāra „Latvijas Infektoloģijas centrs” galvenā māsa</t>
  </si>
  <si>
    <t>Stacionāra „Tuberkulozes un plaušu slimību centrs” galvenā medicīnas māsa</t>
  </si>
  <si>
    <t>Vecākais radiologa asistents</t>
  </si>
  <si>
    <t>Aptiekas dienesta vadītājs</t>
  </si>
  <si>
    <t>Asistents (radiologa asistentam)</t>
  </si>
  <si>
    <t>Atbildīgais dispečers</t>
  </si>
  <si>
    <t>Atbildīgais farmaceits</t>
  </si>
  <si>
    <t>Biomedicīnas laboranta palīgs</t>
  </si>
  <si>
    <t>Brigadieris</t>
  </si>
  <si>
    <t>Būvniecības daļas vadītājs</t>
  </si>
  <si>
    <t>Būvprocesa vadītājs</t>
  </si>
  <si>
    <t>Datu ievades operators</t>
  </si>
  <si>
    <t>Dispečers</t>
  </si>
  <si>
    <t>Elektroapgādes meistars</t>
  </si>
  <si>
    <t>Elektromehānisko iekārtu tehniķis</t>
  </si>
  <si>
    <t>Farmaceita asistents</t>
  </si>
  <si>
    <t>Farmaceits</t>
  </si>
  <si>
    <t>Farmācijas tehnologs</t>
  </si>
  <si>
    <t>Galvenais būvprocesa vadītājs</t>
  </si>
  <si>
    <t>Galvenais farmaceits</t>
  </si>
  <si>
    <t>HIV līdzestības kabineta koordinators  (līgums ar NVD par stacionāro un ambulatoro veselības aprūpes pakalp. sniegšanu)</t>
  </si>
  <si>
    <t>Kapelāns</t>
  </si>
  <si>
    <t>Klientu apkalpošanas operators</t>
  </si>
  <si>
    <t>Klientu medicīnisko karšu reģistrators</t>
  </si>
  <si>
    <t>Klīnikas darba koordinators</t>
  </si>
  <si>
    <t>Komunikācijas speciālists</t>
  </si>
  <si>
    <t>Kurjers</t>
  </si>
  <si>
    <t>Kvalitātes vadības speciālists diagnostiskajā radioloģijā</t>
  </si>
  <si>
    <t>Ķīmiķis</t>
  </si>
  <si>
    <t>Laboratorijas dienesta vadītājs</t>
  </si>
  <si>
    <t>Medicīniskās palīdzības autovadītājs</t>
  </si>
  <si>
    <t>Palīgstrādnieks</t>
  </si>
  <si>
    <t>Preses sekretārs</t>
  </si>
  <si>
    <t>Remontstrādnieks</t>
  </si>
  <si>
    <t>Remontstrādnieks (apdares darbi)</t>
  </si>
  <si>
    <t>Remontstrādnieks (galdnieks)</t>
  </si>
  <si>
    <t>Sabiedrisko attiecību daļas vadītājs</t>
  </si>
  <si>
    <t>Saimniecīnas māsa</t>
  </si>
  <si>
    <t>Sanitārs/slimnieku kopējs</t>
  </si>
  <si>
    <t>Sekretārs-lietvedis stacionārā "Latvijas Infektoloģijas centrs"</t>
  </si>
  <si>
    <t>Sistēmu administrators</t>
  </si>
  <si>
    <t>Sociālais darbinieks</t>
  </si>
  <si>
    <t>Tehniskais strādnieks</t>
  </si>
  <si>
    <t>Tehniskais vadītājs stacionārā "Gaiļezers"</t>
  </si>
  <si>
    <t>Tehniskais vadītājs stacionārā "Latvijas Infektoloģijas centrs"</t>
  </si>
  <si>
    <t>Tehnisko sistēmu nodrošinājuma, drošības un transporta daļas vadītājs</t>
  </si>
  <si>
    <t>Telpu apkopējs nodaļā/palātās</t>
  </si>
  <si>
    <t>Uzskaitvedis</t>
  </si>
  <si>
    <t>Vecākais farmaceits</t>
  </si>
  <si>
    <t>Vecākais klientu apkalpošanas speciālists</t>
  </si>
  <si>
    <t>Ventilācijas un kondicionēšanas sistēmu nodaļas vadītājs</t>
  </si>
  <si>
    <t>* - neizmaksātā summa par 2020. gada martu.</t>
  </si>
  <si>
    <t>535</t>
  </si>
  <si>
    <t>1,0</t>
  </si>
  <si>
    <t>Slodzes normāla darba laika ietvaros (176) *</t>
  </si>
  <si>
    <t>03951</t>
  </si>
  <si>
    <t>12562</t>
  </si>
  <si>
    <t>02534</t>
  </si>
  <si>
    <t>02542</t>
  </si>
  <si>
    <t>14396</t>
  </si>
  <si>
    <t>15490</t>
  </si>
  <si>
    <t>15876</t>
  </si>
  <si>
    <t>16021</t>
  </si>
  <si>
    <t>14348</t>
  </si>
  <si>
    <t>15832</t>
  </si>
  <si>
    <t>16068</t>
  </si>
  <si>
    <t>16079</t>
  </si>
  <si>
    <t>01291</t>
  </si>
  <si>
    <t>14596</t>
  </si>
  <si>
    <t>14700</t>
  </si>
  <si>
    <t>15084</t>
  </si>
  <si>
    <t>15878</t>
  </si>
  <si>
    <t>16229</t>
  </si>
  <si>
    <t>16447</t>
  </si>
  <si>
    <t>16731</t>
  </si>
  <si>
    <t>Infektoloģijas (9) profils</t>
  </si>
  <si>
    <t>Infektoloģijas (9) profils KOPĀ</t>
  </si>
  <si>
    <t>Saimnieciskais darbinieks</t>
  </si>
  <si>
    <t>nostrādātās stundas 15.03.-31.03.</t>
  </si>
  <si>
    <t>Nodaļas vadītājs/Ārsts bērnu infektologs</t>
  </si>
  <si>
    <t>Nodaļas vadītājs/Ārsts nefrologs</t>
  </si>
  <si>
    <t>Ārsts bērnu ķirurgs</t>
  </si>
  <si>
    <t>Piemaksas no 2020.gada 25.marta līdz 2020.gada 31.martam</t>
  </si>
  <si>
    <t>50 %</t>
  </si>
  <si>
    <t>30 %</t>
  </si>
  <si>
    <t>Arodveselības un arodslimību ārsts</t>
  </si>
  <si>
    <t>Ārsts (stažieris)</t>
  </si>
  <si>
    <t>Ārsts stažieris/dermatologs, venerologs</t>
  </si>
  <si>
    <t>Ārsts stažieris/infektologs</t>
  </si>
  <si>
    <t>Dermatologs, venerologs (darbam ar stacionāra pacientiem)</t>
  </si>
  <si>
    <t>Imūnķīmijas, parazitoloģijas un „cito" izmeklējumu daļas vadītājs - laboratorijas ārsts</t>
  </si>
  <si>
    <t xml:space="preserve">Laboratorijas speciālists </t>
  </si>
  <si>
    <t>Nodaļas vadītāja</t>
  </si>
  <si>
    <t>Nodaļas vadītājs-ārsts reanimatologs</t>
  </si>
  <si>
    <t xml:space="preserve">Anestēzijas, intensīvās un neatliekamās aprūpes māsa </t>
  </si>
  <si>
    <t>Diētas māsa</t>
  </si>
  <si>
    <t>Medicīnas māsa ( t.sk.darbam intensīvajā palātā )</t>
  </si>
  <si>
    <t>Medicīnas māsa (darbam sterilizācijā)</t>
  </si>
  <si>
    <t xml:space="preserve">Neatliekamās medicīnas ārsta palīgs/feldšeris </t>
  </si>
  <si>
    <t>Vecākais radiogrāfers_G</t>
  </si>
  <si>
    <t>Vecākais radiologa asistents_NMP</t>
  </si>
  <si>
    <t xml:space="preserve">Datortehnikas inženieris </t>
  </si>
  <si>
    <t>Klientu apkalpošanas speciālists (darbs ar kases aparātu)</t>
  </si>
  <si>
    <t>Reģistrators (medikamentu uzskaitei)</t>
  </si>
  <si>
    <t xml:space="preserve">Saimniecības māsa </t>
  </si>
  <si>
    <t>Pielikums</t>
  </si>
  <si>
    <t>akordalgas darbinieku piemaksas aprēķināšanas kārtība</t>
  </si>
  <si>
    <t>Gabaldarba aprēķins Veļas dienests</t>
  </si>
  <si>
    <t>Nostrādātās kontaktstundas aprīļa mēnesī</t>
  </si>
  <si>
    <t xml:space="preserve">Gabalu skaits </t>
  </si>
  <si>
    <t>Gabala apmaksa</t>
  </si>
  <si>
    <t>Covid 20% piemaksa</t>
  </si>
  <si>
    <t>Piezīmes</t>
  </si>
  <si>
    <t>Infrastruktūras uzturēšanas daļas Veļas dienests</t>
  </si>
  <si>
    <t>pacientu netīrās veļas šķirošana</t>
  </si>
  <si>
    <t>Veļas pārzinis</t>
  </si>
  <si>
    <t>Atbildīgais veļas strādnieks</t>
  </si>
  <si>
    <t>Gabaldarba aprēķins Uzkopšanas dienests</t>
  </si>
  <si>
    <t>Nostrādātās kontaktstundas APRĪLIS mēnesī *</t>
  </si>
  <si>
    <t>darba dienu skaits</t>
  </si>
  <si>
    <t>dienas kvm skaits</t>
  </si>
  <si>
    <t>m2 summa</t>
  </si>
  <si>
    <t>Cena par 1kvm</t>
  </si>
  <si>
    <t>Summa par izm m2</t>
  </si>
  <si>
    <t>Infrastruktūras uzturēšanas daļa</t>
  </si>
  <si>
    <t>Darba dienas:4;5;23;24;29(NMPO)</t>
  </si>
  <si>
    <t>Darba dienas:6;7;8;9;28(NMPO)</t>
  </si>
  <si>
    <t>Darba dienas:10;11;12;14;15;16;17;19;20;21;22;25;26;27;30(NMPO)</t>
  </si>
  <si>
    <t>Darba dienas:1;2;13(NMPO)</t>
  </si>
  <si>
    <t>Darba dienas:3(NMPO)</t>
  </si>
  <si>
    <t>Darba dienas:10;13;15;16;19;20;21;22;25;26;27;28(7.nodaļa)</t>
  </si>
  <si>
    <t>Darba dienas:3;4;6;8;9;10;14;15;16;21;22;23;27;28;29(7.nodaļa)</t>
  </si>
  <si>
    <t>Darba dienas:1;2;5;6;7;11;12;13;14;17;18;19;20;23;24;25;26;30(7.nodaļa)</t>
  </si>
  <si>
    <t>Darba dienas:3;4;5;9;10;11;12;15;16;17;18;21;22;23;24;27;28;29;30(7.nodaļa)</t>
  </si>
  <si>
    <t>Akordalgas prēķins Veļas dienests</t>
  </si>
  <si>
    <t>Nostrādātās kontaktstundas marta mēnesī</t>
  </si>
  <si>
    <t>Covid 30% piemaksa</t>
  </si>
  <si>
    <t>Akordalgas aprēķins Uzkopšanas dienests</t>
  </si>
  <si>
    <t>Darba dienas: 26;27;28;29;30;31(NMPO)</t>
  </si>
  <si>
    <t>Darba dienas:25.03(NMPO)</t>
  </si>
  <si>
    <t>Darba dienas:25;29;30;31(7.nodaļa)</t>
  </si>
  <si>
    <t>Darba dienas: 25;28;29;30;31(7.nod.)</t>
  </si>
  <si>
    <t>Darba dienas: 25;26;27;28(7.nodaļa)</t>
  </si>
  <si>
    <t>Darba dienas: 26;27;28(7.nodaļa)</t>
  </si>
  <si>
    <t>VSIA "Bērnu klīniskā universitātes slimnīca "</t>
  </si>
  <si>
    <t>VSIA "Paula Stradiņa klīniskā universitātes slimnīca"</t>
  </si>
  <si>
    <t xml:space="preserve">SIA “Rīgas Austrumu klīniskās universitātes slimnīca” </t>
  </si>
  <si>
    <t>SIA Jūrmalas slimnīca</t>
  </si>
  <si>
    <t>SIA Vidzemes slimnīca</t>
  </si>
  <si>
    <t>Iestādes nosaukums:  SIA Alūsknes slimnīca</t>
  </si>
  <si>
    <t>SIA Alūsknes slimnīca</t>
  </si>
  <si>
    <t>SIA "Balvu un Gulbenes slimnīcu apvienība"</t>
  </si>
  <si>
    <t>Iestādes nosaukums:   SIA Cēsu Klīnika</t>
  </si>
  <si>
    <t>SIA Cēsu Klīnika</t>
  </si>
  <si>
    <t>SIA "Rīgas 2.slimnīca"</t>
  </si>
  <si>
    <t>SIA Rīgas Dzemdību nams</t>
  </si>
  <si>
    <t>VSIA "Rīgas psihiatrijas un narkoloģijas centrs"</t>
  </si>
  <si>
    <t xml:space="preserve">VSIA "Nacionālais rehabilitācijas centrs "Vaivari" </t>
  </si>
  <si>
    <t>VSIA "Piejūras slimnīca"</t>
  </si>
  <si>
    <t>VSIA DPNS</t>
  </si>
  <si>
    <t>Rēzeknes slimnīca</t>
  </si>
  <si>
    <t>SIA "Krāslavas slimnīca"</t>
  </si>
  <si>
    <t>VSIA "Slimnīca "Ģintermuiža</t>
  </si>
  <si>
    <t>SIA KULDĪGAS SLIMNĪCA</t>
  </si>
  <si>
    <t>SIA "Ogres rajona slimnīca"</t>
  </si>
  <si>
    <t xml:space="preserve"> SIA JĒKABPILS REĢIONĀLĀ SLIMNĪCA</t>
  </si>
  <si>
    <t>SIA "Liepājas reģionālā slimnīca"</t>
  </si>
  <si>
    <r>
      <t xml:space="preserve">Iestādes nosaukums: </t>
    </r>
    <r>
      <rPr>
        <b/>
        <sz val="13"/>
        <rFont val="Times New Roman"/>
        <family val="1"/>
        <charset val="186"/>
      </rPr>
      <t>Neatliekamās medicīniskās palīdzības dienests</t>
    </r>
  </si>
  <si>
    <t>Neatliekamās medicīniskās palīdzības dienests</t>
  </si>
  <si>
    <t>BRIG ārsta speciālista brigādes vadītājs-NM ārsts,anesteziologs-reanimatologs</t>
  </si>
  <si>
    <t>BRIG infektologs</t>
  </si>
  <si>
    <t>BRIG intensīvās terapijas brigādes vadītājs - NM ārsts</t>
  </si>
  <si>
    <t>BRIG reanimācijas brigādes vadītājs - NM ārsts, anesteziologs-reanimatologs</t>
  </si>
  <si>
    <t>BRIG brigādes vadītājs - ārsts</t>
  </si>
  <si>
    <t>BRIG brigādes otrā ārstniecības persona - ārsts, sagatavots NMP sniegšanai</t>
  </si>
  <si>
    <t>BRIG brigādes vadītājs - ārsts, sagatavots NMP sniegšanai</t>
  </si>
  <si>
    <t>OVC ārsts konsultants</t>
  </si>
  <si>
    <t>OVC galvenais dežūrārsts</t>
  </si>
  <si>
    <t>OVC jaunākais dežūrārsts</t>
  </si>
  <si>
    <t xml:space="preserve"> OVC vecākais dežūrārsts</t>
  </si>
  <si>
    <t>ģimenes ārstu konsultatīvā tālruņa konsultants (ārsts)</t>
  </si>
  <si>
    <t>BAC vadītājs</t>
  </si>
  <si>
    <t>BAC galvenais ārsta palīgs (ļoti liels BAC)</t>
  </si>
  <si>
    <t>ārsta palīgs NMP brigāžu medicīniskā nodrošinājuma jautājumos</t>
  </si>
  <si>
    <t>BRIG brigādes otrā ārstniecības persona - ārsta palīgs</t>
  </si>
  <si>
    <t>BRIG brigādes otrā ārstniecības persona - medicīnas māsa</t>
  </si>
  <si>
    <t>BRIG brigādes otrā ārstniecības persona - NM ārsta palīgs</t>
  </si>
  <si>
    <t>BRIG brigādes vadītājs - NM ārsta palīgs</t>
  </si>
  <si>
    <t>BRIG brigādes vadītājs - vecākais NM ārsta palīgs</t>
  </si>
  <si>
    <t>OVC galvenais dispečers</t>
  </si>
  <si>
    <t>OVC izsaukumu pieņemšanas dispečers - ārsta palīgs</t>
  </si>
  <si>
    <t>OVC izsaukumu pieņemšanas dispečers - NM ārsta palīgs</t>
  </si>
  <si>
    <t>OVC vadības dispečers</t>
  </si>
  <si>
    <t>OVC vecākais dispečers</t>
  </si>
  <si>
    <t>ģimenes ārstu konsultatīvā tālruņa konsultants (ārsta palīgs)</t>
  </si>
  <si>
    <t>SMC vecākais ārsta palīgs medicīniskā nodrošinājuma jautājumos</t>
  </si>
  <si>
    <t>RC galvenais ārsta palīgs</t>
  </si>
  <si>
    <t>SMC galvenais ārsta palīgs</t>
  </si>
  <si>
    <t>BRIG brigādes otrā persona - medicīnas asistents</t>
  </si>
  <si>
    <t>BRIG OMT vadītājs</t>
  </si>
  <si>
    <t>BRIG vecākais OMT vadītājs</t>
  </si>
  <si>
    <t>automehāniķis</t>
  </si>
  <si>
    <t>Attīstības plānošanas departamenta vadītāja vietnieks</t>
  </si>
  <si>
    <t>Ārkārtas situāciju gatavības nodrošināšanas nodaļas vadītājs</t>
  </si>
  <si>
    <t>datu aizsardzības speciālists</t>
  </si>
  <si>
    <t>22.7</t>
  </si>
  <si>
    <t>direktora vietnieks administratīvajos jautājumos</t>
  </si>
  <si>
    <t>2263.79</t>
  </si>
  <si>
    <t>direktora vietnieks neatliekamās medicīniskās palīdzības jautājumos</t>
  </si>
  <si>
    <t>direktors</t>
  </si>
  <si>
    <t>Finanšu un personāla vadības departamenta vadītājs</t>
  </si>
  <si>
    <t>Finanšu plānošanas un analīzes nodaļas vadītājs</t>
  </si>
  <si>
    <t>galvenais informācijas sistēmas administrators</t>
  </si>
  <si>
    <t>galvenais jurists</t>
  </si>
  <si>
    <t>galvenais speciālists</t>
  </si>
  <si>
    <t>galvenais speciālists cilvēkresursu attīstības jautājumos</t>
  </si>
  <si>
    <t>galvenais speciālists personālvadības jautājumos</t>
  </si>
  <si>
    <t>IT un sakaru nodrošinājuma nodaļas vadītājs</t>
  </si>
  <si>
    <t>Juridiskās nodaļas vadītājs</t>
  </si>
  <si>
    <t>Katastrofu medicīnas centra vadītājs</t>
  </si>
  <si>
    <t>KM gatavības plānošanas un koordinācijas nodaļas vadītāja vietnieks</t>
  </si>
  <si>
    <t>KM gatavības plānošanas un koordinācijas nodaļas vadītājs</t>
  </si>
  <si>
    <t>Komunikācijas nodaļas vadītājs</t>
  </si>
  <si>
    <t>lietvedis</t>
  </si>
  <si>
    <t>lietvedis - arhivārs</t>
  </si>
  <si>
    <t>Lietvedības nodaļas vadītājs</t>
  </si>
  <si>
    <t>Medicīniskā nodrošinājuma nodaļas vadītājs</t>
  </si>
  <si>
    <t>Medicīniskās kvalitātes un kvalifikācijas vadības centra vadītājs</t>
  </si>
  <si>
    <t>Medicīnisko maksas pakalpojumu nodaļas vadītājs</t>
  </si>
  <si>
    <t>OMT pārvaldības nodaļas vadītājs</t>
  </si>
  <si>
    <t>Operatīvā darba organizēšanas nodaļas vadītājs</t>
  </si>
  <si>
    <t>Operatīvās vadības centra vadītāja vietnieks</t>
  </si>
  <si>
    <t>Operatīvās vadības centra vadītājs</t>
  </si>
  <si>
    <t>Pacientu drošības sistēmas vadītājs</t>
  </si>
  <si>
    <t>Personāla vadības un attīstības nodaļas vadītājs</t>
  </si>
  <si>
    <t>Specializētās medicīnas centra vadītājs</t>
  </si>
  <si>
    <t>speciālists</t>
  </si>
  <si>
    <t>vecākais informācijas sistēmu administrators</t>
  </si>
  <si>
    <t>vecākais speciālists</t>
  </si>
  <si>
    <t>vecākais speciālists personāla vadības jautājumos</t>
  </si>
  <si>
    <t>Iestādes vadītājs ____________________ (paraksts)</t>
  </si>
  <si>
    <t>Izpildītājs Finanšu plānošanas un analīzes nodaļas galvenā ekonomiste I.Jegorova</t>
  </si>
  <si>
    <t>Tālr.67337091</t>
  </si>
  <si>
    <t>Pārskats par izmaksātajām piemaksām  par darbu paaugstināta riska un slodzes apstākļos ārkārtas sabiedrības veselības apdraudējumā saistībā ar “Covid-19” uzliesmojumu un seku novēršanu atbilstoši Veselības ministrijas 2020.gada 31.marta rīkojumam Nr.67</t>
  </si>
  <si>
    <t>Nacionālais veselības dienests</t>
  </si>
  <si>
    <t>Direktors</t>
  </si>
  <si>
    <t xml:space="preserve">direktora vietniece veselības aprūpes pakalpojumu administrēšanas jautājumos </t>
  </si>
  <si>
    <t>20</t>
  </si>
  <si>
    <t xml:space="preserve">direktora vietniece administratīvajos jautājumos </t>
  </si>
  <si>
    <t xml:space="preserve">Juridiskā departamenta direktors </t>
  </si>
  <si>
    <t xml:space="preserve">Juridiskā departamenta direktora vietniece / Juridiskā atbalsta nodaļas vadītāja </t>
  </si>
  <si>
    <t xml:space="preserve">Sabiedrisko attiecību nodaļas vadītāja </t>
  </si>
  <si>
    <t xml:space="preserve">Klientu apkalpošanas centra vadītāja  </t>
  </si>
  <si>
    <t xml:space="preserve">Klientu apkalpošanas centra vadītāja vietniece </t>
  </si>
  <si>
    <t xml:space="preserve">Klientu apkalpošanas centra vecākā klientu apkalpošanas speciāliste </t>
  </si>
  <si>
    <t xml:space="preserve">Klientu apkalpošanas centra klientu apkalpošanas speciāliste </t>
  </si>
  <si>
    <t>Informācijas tehnoloģiju nodaļas vadītāja vietniece</t>
  </si>
  <si>
    <t>Informācijas tehnoloģiju nodaļas informācijas sistēmu administrators</t>
  </si>
  <si>
    <t>Informācijas tehnoloģiju nodaļas informācijas tehnoloģiju administrators</t>
  </si>
  <si>
    <t>Informācijas tehnoloģiju nodaļas vecākais datortīkla administrators</t>
  </si>
  <si>
    <t>Līgumpartneru departamenta direktore / Zemgales nodaļas vadītāja</t>
  </si>
  <si>
    <t xml:space="preserve">Līgumpartneru departamenta Latgales nodaļas vadītājs </t>
  </si>
  <si>
    <t>Līgumpartneru departamenta Rīgas nodaļas vadītāja</t>
  </si>
  <si>
    <t>Līgumpartneru departamenta Rīgas nodaļas vadītāja vietniece</t>
  </si>
  <si>
    <t>Līgumpartneru departamenta Kurzemes nodaļas vadītāja</t>
  </si>
  <si>
    <t>Līgumpartneru departamenta Latgales nodaļas eksperte</t>
  </si>
  <si>
    <t>Līgumpartneru departamenta Latgales nodaļas vecākā lietvede</t>
  </si>
  <si>
    <t>Līgumpartneru departamenta Zemgales nodaļas eksperte</t>
  </si>
  <si>
    <t>Līgumpartneru departamenta Zemgales nodaļas vecākā lietvede</t>
  </si>
  <si>
    <t>Līgumpartneru departamenta Vidzemes nodaļas vecākā lietvede</t>
  </si>
  <si>
    <t>Līgumpartneru departamenta Vidzemes nodaļas vadītāja</t>
  </si>
  <si>
    <t xml:space="preserve">Finanšu vadības departamenta Finanšu plānošanas un analīzes nodaļas vadītāja </t>
  </si>
  <si>
    <t>Finanšu vadības departamenta Iepirkumu nodaļas vadītāja vietnieks</t>
  </si>
  <si>
    <t>Ārstniecības pakalpojumu departamenta direktora p.i.</t>
  </si>
  <si>
    <t>Ārstniecības pakalpojumu departamenta direktora vietnieka p.i.</t>
  </si>
  <si>
    <t>Ārstniecības pakalpojumu departamenta Stacionāro pakalpojumu nodaļas vadītāja</t>
  </si>
  <si>
    <t>Ārstniecības pakalpojumu departamenta Ambulatoro pakalpojumu nodaļas vadītāja</t>
  </si>
  <si>
    <t>Ārstniecības pakalpojumu departamenta Stacionāro pakalpojumu nodaļas vecākā eksperte</t>
  </si>
  <si>
    <t>Ārstniecības pakalpojumu departamenta Pakalpojumu attīstības nodaļas vadītājs</t>
  </si>
  <si>
    <t>Ārstniecības pakalpojumu departamenta Ambulatoro pakalpojumu nodaļas vecākā eksperte</t>
  </si>
  <si>
    <t>Ārstniecības pakalpojumu departamenta Pakalpojumu attīstības nodaļas vadītāja vietniece</t>
  </si>
  <si>
    <t>Administratīvo resursu pārvaldības nodaļas saimniecības pārzinis</t>
  </si>
  <si>
    <t>Iestādes nosaukums:  Slimību profilakses un kontroles centrs</t>
  </si>
  <si>
    <t>Vadība</t>
  </si>
  <si>
    <t>Direktora vietnieks attīstības un epidemioloģiskās drošības jautājumos</t>
  </si>
  <si>
    <t>Infekcijas slimību riska analīzes un profilakses departaments (Struktūrvienība)</t>
  </si>
  <si>
    <t>Departamenta direktors</t>
  </si>
  <si>
    <t>Komunikācijas nodaļa (Struktūrvienība)</t>
  </si>
  <si>
    <t>Sabiedrisko attiecību speciālists</t>
  </si>
  <si>
    <t>Direktora birojs</t>
  </si>
  <si>
    <t>Direktora palīgs</t>
  </si>
  <si>
    <t>Infekcijas slimību riska analīzes un profilakses departamenta Infekcijas slimību profilakses un pretepidēmijas pasākumu nodaļa (Struktūrvienība)</t>
  </si>
  <si>
    <t>Vecākais epidemiologs</t>
  </si>
  <si>
    <t xml:space="preserve">Epidemiologs </t>
  </si>
  <si>
    <t>Sabiedrības veselības organizators</t>
  </si>
  <si>
    <t>Infekcijas slimību riska analīzes un profilakses departamenta Infekcijas slimību uzraudzības un imunizācijas nodaļa (Struktūrvienība)</t>
  </si>
  <si>
    <t>Galvenais speciālists AMR jautājumos</t>
  </si>
  <si>
    <t>470\557.5</t>
  </si>
  <si>
    <t>Sabiedrības veselības analītiķis</t>
  </si>
  <si>
    <t xml:space="preserve">Statistiķis </t>
  </si>
  <si>
    <t>Infekcijas slimību riska analīzes un profilakses departamenta reģionālās nodaļas (Struktūrvienība)</t>
  </si>
  <si>
    <t xml:space="preserve">Vecākais epidemiologs </t>
  </si>
  <si>
    <t>Vecākais sabiedrības veselības organizators</t>
  </si>
  <si>
    <t>Pētniecības un veselības statistikas departaments (Struktūrvienība)</t>
  </si>
  <si>
    <t>Departamenta direktore</t>
  </si>
  <si>
    <t>Pētniecības un veselības statistikas departamenta Reģistru pārraudzības nodaļa (Struktūrvienība)</t>
  </si>
  <si>
    <t>1190\1287</t>
  </si>
  <si>
    <t>Pētniecības un veselības statistikas departamenta Neinfekciju slimību datu analīzes un pētījumu nodaļa (Struktūrvienība)</t>
  </si>
  <si>
    <t>Vecākais sabiedrības veselības analītiķis</t>
  </si>
  <si>
    <t>Pētniecības un veselības statistikas departamenta Veselības statistikas nodaļa (Struktūrvienība)</t>
  </si>
  <si>
    <t>Veselības aprūpes statistiķis</t>
  </si>
  <si>
    <t>Pētniecības un veselības statistikas departamenta Atkarības slimību riska analīzes nodaļa (Struktūrvienība)</t>
  </si>
  <si>
    <t xml:space="preserve">Nodaļas vadītājs </t>
  </si>
  <si>
    <t>Pētniecības un veselības statistikas departamenta Pacientu drošības un veselības aprūpes kvalitātes nodaļa (Struktūrvienība)</t>
  </si>
  <si>
    <t>1139 \ 1382</t>
  </si>
  <si>
    <t>Vecākais eksperts</t>
  </si>
  <si>
    <t>1015\1190</t>
  </si>
  <si>
    <t>Veselības veicināšanas departamenta Slimību profilakses nodaļa</t>
  </si>
  <si>
    <t>Vecākais veselības veicināšanas koordinētājs</t>
  </si>
  <si>
    <t>Veselības veicināšanas koordinētājs</t>
  </si>
  <si>
    <t>Slimību profilakses un kontroles centrs</t>
  </si>
  <si>
    <t>Pārskats par ārstniecības iestādēm un Veselības ministrijas padotības iestādēm  izmaksātajām piemaksām  par darbu paaugstināta riska un slodzes apstākļos ārkārtas sabiedrības veselības apdraudējumā saistībā ar “Covid-19” uzliesmojumu un seku novēršanu atbilstoši Veselības ministrijas 2020.gada 31.marta rīkojumam Nr.67</t>
  </si>
  <si>
    <t>Stundas likme</t>
  </si>
  <si>
    <t>Kontaktstundas aprīlī</t>
  </si>
  <si>
    <t>Faktiski nostrādātās stundas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</si>
</sst>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0.00"/>
    <numFmt numFmtId="166" formatCode="0.0"/>
    <numFmt numFmtId="167" formatCode="#,##0.0"/>
    <numFmt numFmtId="168" formatCode="0.0000"/>
    <numFmt numFmtId="169" formatCode="#,##0.000"/>
    <numFmt numFmtId="170" formatCode="#,##0.0000"/>
  </numFmts>
  <fonts count="58" x14ac:knownFonts="1">
    <font>
      <sz val="11"/>
      <color theme="1"/>
      <name val="Calibri"/>
      <family val="2"/>
      <charset val="186"/>
      <scheme val="minor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3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3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Arial"/>
      <family val="2"/>
      <charset val="186"/>
    </font>
    <font>
      <sz val="9"/>
      <name val="Calibri"/>
      <family val="2"/>
      <charset val="186"/>
      <scheme val="minor"/>
    </font>
    <font>
      <b/>
      <u/>
      <sz val="13"/>
      <name val="Times New Roman"/>
      <family val="1"/>
      <charset val="186"/>
    </font>
    <font>
      <b/>
      <i/>
      <sz val="13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2"/>
      <color indexed="81"/>
      <name val="Tahoma"/>
      <family val="2"/>
      <charset val="186"/>
    </font>
    <font>
      <sz val="16"/>
      <name val="Times New Roman"/>
      <family val="1"/>
      <charset val="186"/>
    </font>
    <font>
      <u/>
      <sz val="13"/>
      <name val="Times New Roman"/>
      <family val="1"/>
      <charset val="186"/>
    </font>
    <font>
      <sz val="13"/>
      <color rgb="FF0070C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3"/>
      <color theme="1"/>
      <name val="Calibri"/>
      <family val="2"/>
      <charset val="186"/>
      <scheme val="minor"/>
    </font>
    <font>
      <sz val="13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49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rgb="FFFF0000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rgb="FF7030A0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26" fillId="0" borderId="0"/>
    <xf numFmtId="0" fontId="46" fillId="0" borderId="0"/>
    <xf numFmtId="0" fontId="26" fillId="0" borderId="0"/>
  </cellStyleXfs>
  <cellXfs count="9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1" fillId="2" borderId="6" xfId="0" applyFont="1" applyFill="1" applyBorder="1"/>
    <xf numFmtId="4" fontId="1" fillId="2" borderId="1" xfId="0" applyNumberFormat="1" applyFont="1" applyFill="1" applyBorder="1"/>
    <xf numFmtId="4" fontId="1" fillId="2" borderId="7" xfId="0" applyNumberFormat="1" applyFont="1" applyFill="1" applyBorder="1"/>
    <xf numFmtId="0" fontId="2" fillId="3" borderId="2" xfId="0" applyFont="1" applyFill="1" applyBorder="1" applyAlignment="1">
      <alignment horizontal="right"/>
    </xf>
    <xf numFmtId="0" fontId="1" fillId="3" borderId="6" xfId="0" applyFont="1" applyFill="1" applyBorder="1"/>
    <xf numFmtId="4" fontId="1" fillId="3" borderId="1" xfId="0" applyNumberFormat="1" applyFont="1" applyFill="1" applyBorder="1"/>
    <xf numFmtId="4" fontId="1" fillId="3" borderId="7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4" fillId="0" borderId="0" xfId="0" applyFont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wrapText="1"/>
    </xf>
    <xf numFmtId="4" fontId="2" fillId="0" borderId="0" xfId="0" applyNumberFormat="1" applyFont="1"/>
    <xf numFmtId="0" fontId="1" fillId="0" borderId="6" xfId="0" applyFon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2" fontId="10" fillId="0" borderId="6" xfId="0" applyNumberFormat="1" applyFont="1" applyBorder="1"/>
    <xf numFmtId="4" fontId="10" fillId="0" borderId="1" xfId="0" applyNumberFormat="1" applyFont="1" applyBorder="1"/>
    <xf numFmtId="3" fontId="10" fillId="0" borderId="1" xfId="0" applyNumberFormat="1" applyFont="1" applyBorder="1"/>
    <xf numFmtId="4" fontId="10" fillId="0" borderId="7" xfId="0" applyNumberFormat="1" applyFont="1" applyBorder="1"/>
    <xf numFmtId="0" fontId="2" fillId="3" borderId="2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2" fillId="0" borderId="0" xfId="0" applyFont="1"/>
    <xf numFmtId="165" fontId="13" fillId="0" borderId="0" xfId="0" applyNumberFormat="1" applyFont="1"/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/>
    </xf>
    <xf numFmtId="0" fontId="14" fillId="2" borderId="20" xfId="0" applyFont="1" applyFill="1" applyBorder="1"/>
    <xf numFmtId="4" fontId="14" fillId="2" borderId="13" xfId="0" applyNumberFormat="1" applyFont="1" applyFill="1" applyBorder="1"/>
    <xf numFmtId="4" fontId="11" fillId="2" borderId="13" xfId="0" applyNumberFormat="1" applyFont="1" applyFill="1" applyBorder="1"/>
    <xf numFmtId="0" fontId="11" fillId="2" borderId="6" xfId="0" applyFont="1" applyFill="1" applyBorder="1"/>
    <xf numFmtId="0" fontId="1" fillId="0" borderId="3" xfId="0" applyFont="1" applyBorder="1" applyAlignment="1">
      <alignment horizontal="left" wrapText="1"/>
    </xf>
    <xf numFmtId="2" fontId="14" fillId="0" borderId="16" xfId="0" applyNumberFormat="1" applyFont="1" applyBorder="1"/>
    <xf numFmtId="2" fontId="14" fillId="0" borderId="17" xfId="0" applyNumberFormat="1" applyFont="1" applyBorder="1"/>
    <xf numFmtId="2" fontId="11" fillId="0" borderId="21" xfId="0" applyNumberFormat="1" applyFont="1" applyBorder="1"/>
    <xf numFmtId="4" fontId="11" fillId="0" borderId="16" xfId="0" applyNumberFormat="1" applyFont="1" applyBorder="1"/>
    <xf numFmtId="2" fontId="11" fillId="4" borderId="22" xfId="0" applyNumberFormat="1" applyFont="1" applyFill="1" applyBorder="1"/>
    <xf numFmtId="2" fontId="11" fillId="0" borderId="22" xfId="0" applyNumberFormat="1" applyFont="1" applyBorder="1"/>
    <xf numFmtId="2" fontId="11" fillId="0" borderId="5" xfId="0" applyNumberFormat="1" applyFont="1" applyBorder="1"/>
    <xf numFmtId="2" fontId="5" fillId="0" borderId="6" xfId="0" applyNumberFormat="1" applyFont="1" applyBorder="1"/>
    <xf numFmtId="49" fontId="0" fillId="0" borderId="6" xfId="0" applyNumberFormat="1" applyBorder="1" applyAlignment="1">
      <alignment horizontal="left"/>
    </xf>
    <xf numFmtId="0" fontId="12" fillId="0" borderId="1" xfId="0" applyFont="1" applyBorder="1"/>
    <xf numFmtId="0" fontId="12" fillId="0" borderId="7" xfId="0" applyFont="1" applyBorder="1"/>
    <xf numFmtId="2" fontId="5" fillId="0" borderId="19" xfId="0" applyNumberFormat="1" applyFont="1" applyBorder="1"/>
    <xf numFmtId="1" fontId="5" fillId="0" borderId="19" xfId="0" applyNumberFormat="1" applyFont="1" applyBorder="1"/>
    <xf numFmtId="4" fontId="5" fillId="4" borderId="1" xfId="0" applyNumberFormat="1" applyFont="1" applyFill="1" applyBorder="1"/>
    <xf numFmtId="4" fontId="5" fillId="0" borderId="1" xfId="0" applyNumberFormat="1" applyFont="1" applyBorder="1"/>
    <xf numFmtId="4" fontId="5" fillId="0" borderId="7" xfId="0" applyNumberFormat="1" applyFont="1" applyBorder="1"/>
    <xf numFmtId="0" fontId="5" fillId="0" borderId="6" xfId="0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2" fillId="0" borderId="19" xfId="0" applyFont="1" applyBorder="1"/>
    <xf numFmtId="0" fontId="12" fillId="0" borderId="12" xfId="0" applyFont="1" applyBorder="1"/>
    <xf numFmtId="49" fontId="0" fillId="0" borderId="8" xfId="0" applyNumberFormat="1" applyBorder="1" applyAlignment="1">
      <alignment horizontal="left"/>
    </xf>
    <xf numFmtId="0" fontId="12" fillId="0" borderId="24" xfId="0" applyFont="1" applyBorder="1"/>
    <xf numFmtId="0" fontId="12" fillId="0" borderId="25" xfId="0" applyFont="1" applyBorder="1"/>
    <xf numFmtId="2" fontId="5" fillId="0" borderId="26" xfId="0" applyNumberFormat="1" applyFont="1" applyBorder="1"/>
    <xf numFmtId="2" fontId="5" fillId="0" borderId="24" xfId="0" applyNumberFormat="1" applyFont="1" applyBorder="1"/>
    <xf numFmtId="1" fontId="5" fillId="0" borderId="24" xfId="0" applyNumberFormat="1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164" fontId="14" fillId="0" borderId="16" xfId="0" applyNumberFormat="1" applyFont="1" applyBorder="1"/>
    <xf numFmtId="2" fontId="11" fillId="0" borderId="16" xfId="0" applyNumberFormat="1" applyFont="1" applyBorder="1"/>
    <xf numFmtId="2" fontId="11" fillId="0" borderId="17" xfId="0" applyNumberFormat="1" applyFont="1" applyBorder="1"/>
    <xf numFmtId="164" fontId="14" fillId="0" borderId="19" xfId="0" applyNumberFormat="1" applyFont="1" applyBorder="1"/>
    <xf numFmtId="2" fontId="14" fillId="0" borderId="19" xfId="0" applyNumberFormat="1" applyFont="1" applyBorder="1"/>
    <xf numFmtId="2" fontId="14" fillId="0" borderId="12" xfId="0" applyNumberFormat="1" applyFont="1" applyBorder="1"/>
    <xf numFmtId="0" fontId="5" fillId="0" borderId="18" xfId="0" applyFont="1" applyBorder="1"/>
    <xf numFmtId="3" fontId="5" fillId="0" borderId="1" xfId="0" applyNumberFormat="1" applyFont="1" applyBorder="1"/>
    <xf numFmtId="2" fontId="5" fillId="0" borderId="18" xfId="0" applyNumberFormat="1" applyFont="1" applyBorder="1"/>
    <xf numFmtId="49" fontId="0" fillId="0" borderId="27" xfId="0" applyNumberFormat="1" applyBorder="1" applyAlignment="1">
      <alignment horizontal="left"/>
    </xf>
    <xf numFmtId="164" fontId="14" fillId="0" borderId="24" xfId="0" applyNumberFormat="1" applyFont="1" applyBorder="1"/>
    <xf numFmtId="2" fontId="14" fillId="0" borderId="24" xfId="0" applyNumberFormat="1" applyFont="1" applyBorder="1"/>
    <xf numFmtId="2" fontId="14" fillId="0" borderId="25" xfId="0" applyNumberFormat="1" applyFont="1" applyBorder="1"/>
    <xf numFmtId="2" fontId="5" fillId="0" borderId="23" xfId="0" applyNumberFormat="1" applyFont="1" applyBorder="1"/>
    <xf numFmtId="3" fontId="5" fillId="0" borderId="9" xfId="0" applyNumberFormat="1" applyFont="1" applyBorder="1"/>
    <xf numFmtId="2" fontId="14" fillId="0" borderId="28" xfId="0" applyNumberFormat="1" applyFont="1" applyBorder="1"/>
    <xf numFmtId="166" fontId="11" fillId="0" borderId="21" xfId="0" applyNumberFormat="1" applyFont="1" applyBorder="1"/>
    <xf numFmtId="166" fontId="11" fillId="0" borderId="16" xfId="0" applyNumberFormat="1" applyFont="1" applyBorder="1"/>
    <xf numFmtId="166" fontId="11" fillId="0" borderId="17" xfId="0" applyNumberFormat="1" applyFont="1" applyBorder="1"/>
    <xf numFmtId="2" fontId="14" fillId="0" borderId="15" xfId="0" applyNumberFormat="1" applyFont="1" applyBorder="1"/>
    <xf numFmtId="0" fontId="0" fillId="0" borderId="6" xfId="0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4" fontId="5" fillId="0" borderId="19" xfId="0" applyNumberFormat="1" applyFont="1" applyBorder="1"/>
    <xf numFmtId="2" fontId="14" fillId="0" borderId="29" xfId="0" applyNumberFormat="1" applyFont="1" applyBorder="1"/>
    <xf numFmtId="0" fontId="5" fillId="0" borderId="8" xfId="0" applyFont="1" applyBorder="1"/>
    <xf numFmtId="0" fontId="12" fillId="0" borderId="16" xfId="0" applyFont="1" applyBorder="1"/>
    <xf numFmtId="4" fontId="12" fillId="0" borderId="16" xfId="0" applyNumberFormat="1" applyFont="1" applyBorder="1"/>
    <xf numFmtId="4" fontId="12" fillId="0" borderId="28" xfId="0" applyNumberFormat="1" applyFont="1" applyBorder="1"/>
    <xf numFmtId="4" fontId="11" fillId="0" borderId="17" xfId="0" applyNumberFormat="1" applyFont="1" applyBorder="1"/>
    <xf numFmtId="0" fontId="12" fillId="0" borderId="9" xfId="0" applyFont="1" applyBorder="1"/>
    <xf numFmtId="4" fontId="12" fillId="0" borderId="9" xfId="0" applyNumberFormat="1" applyFont="1" applyBorder="1"/>
    <xf numFmtId="4" fontId="12" fillId="0" borderId="30" xfId="0" applyNumberFormat="1" applyFont="1" applyBorder="1"/>
    <xf numFmtId="2" fontId="5" fillId="0" borderId="8" xfId="0" applyNumberFormat="1" applyFont="1" applyBorder="1"/>
    <xf numFmtId="49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7" fillId="0" borderId="0" xfId="1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2" fillId="3" borderId="1" xfId="0" applyNumberFormat="1" applyFont="1" applyFill="1" applyBorder="1"/>
    <xf numFmtId="0" fontId="1" fillId="3" borderId="14" xfId="0" applyFont="1" applyFill="1" applyBorder="1" applyAlignment="1">
      <alignment horizontal="right"/>
    </xf>
    <xf numFmtId="4" fontId="1" fillId="3" borderId="13" xfId="0" applyNumberFormat="1" applyFont="1" applyFill="1" applyBorder="1"/>
    <xf numFmtId="0" fontId="2" fillId="0" borderId="3" xfId="0" applyFont="1" applyBorder="1" applyAlignment="1">
      <alignment horizontal="left" wrapText="1"/>
    </xf>
    <xf numFmtId="2" fontId="1" fillId="0" borderId="21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0" fontId="2" fillId="0" borderId="31" xfId="0" applyFont="1" applyBorder="1" applyAlignment="1">
      <alignment horizontal="left" wrapText="1"/>
    </xf>
    <xf numFmtId="2" fontId="2" fillId="0" borderId="6" xfId="0" applyNumberFormat="1" applyFont="1" applyBorder="1"/>
    <xf numFmtId="3" fontId="2" fillId="0" borderId="1" xfId="0" applyNumberFormat="1" applyFont="1" applyBorder="1"/>
    <xf numFmtId="0" fontId="2" fillId="0" borderId="32" xfId="0" applyFont="1" applyBorder="1" applyAlignment="1">
      <alignment horizontal="left" wrapText="1"/>
    </xf>
    <xf numFmtId="2" fontId="2" fillId="0" borderId="1" xfId="0" applyNumberFormat="1" applyFont="1" applyBorder="1"/>
    <xf numFmtId="1" fontId="2" fillId="0" borderId="1" xfId="0" applyNumberFormat="1" applyFont="1" applyBorder="1"/>
    <xf numFmtId="2" fontId="2" fillId="0" borderId="7" xfId="0" applyNumberFormat="1" applyFont="1" applyBorder="1"/>
    <xf numFmtId="0" fontId="2" fillId="0" borderId="3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2" fontId="2" fillId="0" borderId="8" xfId="0" applyNumberFormat="1" applyFont="1" applyBorder="1"/>
    <xf numFmtId="2" fontId="2" fillId="0" borderId="9" xfId="0" applyNumberFormat="1" applyFont="1" applyBorder="1"/>
    <xf numFmtId="2" fontId="2" fillId="0" borderId="10" xfId="0" applyNumberFormat="1" applyFont="1" applyBorder="1"/>
    <xf numFmtId="0" fontId="2" fillId="0" borderId="34" xfId="0" applyFont="1" applyBorder="1"/>
    <xf numFmtId="4" fontId="2" fillId="0" borderId="19" xfId="0" applyNumberFormat="1" applyFont="1" applyBorder="1"/>
    <xf numFmtId="4" fontId="2" fillId="0" borderId="12" xfId="0" applyNumberFormat="1" applyFont="1" applyBorder="1"/>
    <xf numFmtId="0" fontId="2" fillId="0" borderId="0" xfId="0" applyFont="1" applyBorder="1" applyAlignment="1">
      <alignment horizontal="left" wrapText="1"/>
    </xf>
    <xf numFmtId="4" fontId="2" fillId="0" borderId="35" xfId="0" applyNumberFormat="1" applyFont="1" applyBorder="1"/>
    <xf numFmtId="4" fontId="2" fillId="0" borderId="36" xfId="0" applyNumberFormat="1" applyFont="1" applyBorder="1"/>
    <xf numFmtId="0" fontId="1" fillId="3" borderId="37" xfId="0" applyFont="1" applyFill="1" applyBorder="1" applyAlignment="1">
      <alignment horizontal="right"/>
    </xf>
    <xf numFmtId="0" fontId="2" fillId="0" borderId="38" xfId="0" applyFont="1" applyBorder="1" applyAlignment="1">
      <alignment horizontal="left" wrapText="1"/>
    </xf>
    <xf numFmtId="4" fontId="1" fillId="0" borderId="19" xfId="0" applyNumberFormat="1" applyFont="1" applyBorder="1"/>
    <xf numFmtId="4" fontId="1" fillId="0" borderId="12" xfId="0" applyNumberFormat="1" applyFont="1" applyBorder="1"/>
    <xf numFmtId="3" fontId="2" fillId="0" borderId="9" xfId="0" applyNumberFormat="1" applyFont="1" applyBorder="1"/>
    <xf numFmtId="0" fontId="2" fillId="0" borderId="21" xfId="0" applyFont="1" applyBorder="1"/>
    <xf numFmtId="4" fontId="2" fillId="0" borderId="16" xfId="0" applyNumberFormat="1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1" fillId="2" borderId="2" xfId="0" applyNumberFormat="1" applyFont="1" applyFill="1" applyBorder="1"/>
    <xf numFmtId="0" fontId="1" fillId="2" borderId="18" xfId="0" applyFont="1" applyFill="1" applyBorder="1"/>
    <xf numFmtId="0" fontId="1" fillId="3" borderId="2" xfId="0" applyFont="1" applyFill="1" applyBorder="1" applyAlignment="1">
      <alignment horizontal="right"/>
    </xf>
    <xf numFmtId="4" fontId="1" fillId="3" borderId="2" xfId="0" applyNumberFormat="1" applyFont="1" applyFill="1" applyBorder="1"/>
    <xf numFmtId="0" fontId="1" fillId="3" borderId="18" xfId="0" applyFont="1" applyFill="1" applyBorder="1"/>
    <xf numFmtId="4" fontId="2" fillId="0" borderId="2" xfId="0" applyNumberFormat="1" applyFont="1" applyBorder="1"/>
    <xf numFmtId="0" fontId="1" fillId="0" borderId="1" xfId="0" applyFont="1" applyBorder="1"/>
    <xf numFmtId="0" fontId="1" fillId="0" borderId="7" xfId="0" applyFont="1" applyBorder="1"/>
    <xf numFmtId="0" fontId="2" fillId="0" borderId="18" xfId="0" applyFont="1" applyBorder="1"/>
    <xf numFmtId="0" fontId="19" fillId="0" borderId="1" xfId="0" applyFont="1" applyBorder="1"/>
    <xf numFmtId="0" fontId="1" fillId="0" borderId="31" xfId="0" applyFont="1" applyBorder="1"/>
    <xf numFmtId="0" fontId="2" fillId="0" borderId="31" xfId="0" applyFont="1" applyBorder="1"/>
    <xf numFmtId="0" fontId="2" fillId="3" borderId="2" xfId="0" applyFont="1" applyFill="1" applyBorder="1" applyAlignment="1">
      <alignment horizontal="left" wrapText="1"/>
    </xf>
    <xf numFmtId="0" fontId="1" fillId="3" borderId="31" xfId="0" applyFont="1" applyFill="1" applyBorder="1"/>
    <xf numFmtId="0" fontId="1" fillId="3" borderId="1" xfId="0" applyFont="1" applyFill="1" applyBorder="1"/>
    <xf numFmtId="0" fontId="1" fillId="3" borderId="39" xfId="0" applyFont="1" applyFill="1" applyBorder="1"/>
    <xf numFmtId="0" fontId="2" fillId="0" borderId="20" xfId="0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2" fillId="0" borderId="11" xfId="0" applyNumberFormat="1" applyFont="1" applyBorder="1"/>
    <xf numFmtId="4" fontId="2" fillId="0" borderId="30" xfId="0" applyNumberFormat="1" applyFont="1" applyBorder="1"/>
    <xf numFmtId="0" fontId="2" fillId="0" borderId="23" xfId="0" applyFont="1" applyBorder="1"/>
    <xf numFmtId="0" fontId="1" fillId="0" borderId="39" xfId="0" applyFont="1" applyBorder="1"/>
    <xf numFmtId="0" fontId="19" fillId="0" borderId="1" xfId="0" applyFont="1" applyBorder="1" applyAlignment="1">
      <alignment horizontal="left"/>
    </xf>
    <xf numFmtId="4" fontId="2" fillId="0" borderId="39" xfId="0" applyNumberFormat="1" applyFont="1" applyBorder="1"/>
    <xf numFmtId="0" fontId="19" fillId="0" borderId="1" xfId="0" applyFont="1" applyBorder="1" applyAlignment="1">
      <alignment wrapText="1"/>
    </xf>
    <xf numFmtId="2" fontId="1" fillId="3" borderId="31" xfId="0" applyNumberFormat="1" applyFont="1" applyFill="1" applyBorder="1"/>
    <xf numFmtId="2" fontId="1" fillId="0" borderId="31" xfId="0" applyNumberFormat="1" applyFont="1" applyBorder="1"/>
    <xf numFmtId="4" fontId="1" fillId="2" borderId="39" xfId="0" applyNumberFormat="1" applyFont="1" applyFill="1" applyBorder="1"/>
    <xf numFmtId="0" fontId="1" fillId="3" borderId="2" xfId="0" applyFont="1" applyFill="1" applyBorder="1"/>
    <xf numFmtId="0" fontId="1" fillId="0" borderId="2" xfId="0" applyFont="1" applyBorder="1"/>
    <xf numFmtId="0" fontId="2" fillId="3" borderId="18" xfId="0" applyFont="1" applyFill="1" applyBorder="1"/>
    <xf numFmtId="4" fontId="2" fillId="0" borderId="1" xfId="0" quotePrefix="1" applyNumberFormat="1" applyFont="1" applyBorder="1" applyAlignment="1">
      <alignment horizontal="right"/>
    </xf>
    <xf numFmtId="0" fontId="2" fillId="3" borderId="6" xfId="0" applyFont="1" applyFill="1" applyBorder="1"/>
    <xf numFmtId="0" fontId="18" fillId="0" borderId="0" xfId="0" applyFont="1"/>
    <xf numFmtId="0" fontId="23" fillId="0" borderId="0" xfId="0" applyFont="1"/>
    <xf numFmtId="0" fontId="1" fillId="0" borderId="0" xfId="0" applyFont="1" applyAlignment="1">
      <alignment horizontal="center" wrapText="1"/>
    </xf>
    <xf numFmtId="4" fontId="2" fillId="3" borderId="7" xfId="0" applyNumberFormat="1" applyFont="1" applyFill="1" applyBorder="1"/>
    <xf numFmtId="2" fontId="2" fillId="0" borderId="20" xfId="0" applyNumberFormat="1" applyFont="1" applyBorder="1"/>
    <xf numFmtId="0" fontId="2" fillId="3" borderId="34" xfId="0" applyFont="1" applyFill="1" applyBorder="1"/>
    <xf numFmtId="4" fontId="2" fillId="3" borderId="19" xfId="0" applyNumberFormat="1" applyFont="1" applyFill="1" applyBorder="1"/>
    <xf numFmtId="4" fontId="2" fillId="3" borderId="12" xfId="0" applyNumberFormat="1" applyFont="1" applyFill="1" applyBorder="1"/>
    <xf numFmtId="4" fontId="1" fillId="3" borderId="19" xfId="0" applyNumberFormat="1" applyFont="1" applyFill="1" applyBorder="1"/>
    <xf numFmtId="4" fontId="2" fillId="0" borderId="18" xfId="0" applyNumberFormat="1" applyFont="1" applyBorder="1"/>
    <xf numFmtId="4" fontId="2" fillId="0" borderId="40" xfId="0" applyNumberFormat="1" applyFont="1" applyBorder="1"/>
    <xf numFmtId="2" fontId="1" fillId="0" borderId="16" xfId="0" applyNumberFormat="1" applyFont="1" applyFill="1" applyBorder="1"/>
    <xf numFmtId="0" fontId="2" fillId="0" borderId="31" xfId="0" applyFont="1" applyFill="1" applyBorder="1" applyAlignment="1">
      <alignment horizontal="left" wrapText="1"/>
    </xf>
    <xf numFmtId="2" fontId="2" fillId="0" borderId="1" xfId="0" applyNumberFormat="1" applyFont="1" applyFill="1" applyBorder="1"/>
    <xf numFmtId="4" fontId="2" fillId="0" borderId="1" xfId="0" applyNumberFormat="1" applyFont="1" applyFill="1" applyBorder="1"/>
    <xf numFmtId="3" fontId="2" fillId="0" borderId="1" xfId="0" applyNumberFormat="1" applyFont="1" applyFill="1" applyBorder="1"/>
    <xf numFmtId="4" fontId="2" fillId="0" borderId="7" xfId="0" applyNumberFormat="1" applyFont="1" applyFill="1" applyBorder="1"/>
    <xf numFmtId="0" fontId="2" fillId="0" borderId="0" xfId="0" applyFont="1" applyFill="1"/>
    <xf numFmtId="2" fontId="2" fillId="0" borderId="6" xfId="0" applyNumberFormat="1" applyFont="1" applyFill="1" applyBorder="1"/>
    <xf numFmtId="164" fontId="1" fillId="0" borderId="16" xfId="0" applyNumberFormat="1" applyFont="1" applyBorder="1"/>
    <xf numFmtId="164" fontId="1" fillId="0" borderId="21" xfId="0" applyNumberFormat="1" applyFont="1" applyBorder="1"/>
    <xf numFmtId="0" fontId="2" fillId="0" borderId="41" xfId="0" applyFont="1" applyBorder="1"/>
    <xf numFmtId="164" fontId="2" fillId="0" borderId="1" xfId="0" applyNumberFormat="1" applyFont="1" applyBorder="1"/>
    <xf numFmtId="0" fontId="2" fillId="0" borderId="6" xfId="0" applyFont="1" applyBorder="1" applyAlignment="1">
      <alignment horizontal="left" wrapText="1"/>
    </xf>
    <xf numFmtId="164" fontId="2" fillId="0" borderId="19" xfId="0" applyNumberFormat="1" applyFont="1" applyBorder="1"/>
    <xf numFmtId="3" fontId="2" fillId="0" borderId="19" xfId="0" applyNumberFormat="1" applyFont="1" applyBorder="1"/>
    <xf numFmtId="0" fontId="2" fillId="0" borderId="6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/>
    <xf numFmtId="4" fontId="2" fillId="0" borderId="10" xfId="0" applyNumberFormat="1" applyFont="1" applyFill="1" applyBorder="1"/>
    <xf numFmtId="164" fontId="1" fillId="0" borderId="19" xfId="0" applyNumberFormat="1" applyFont="1" applyBorder="1"/>
    <xf numFmtId="2" fontId="1" fillId="0" borderId="19" xfId="0" applyNumberFormat="1" applyFont="1" applyBorder="1"/>
    <xf numFmtId="2" fontId="1" fillId="0" borderId="12" xfId="0" applyNumberFormat="1" applyFont="1" applyBorder="1"/>
    <xf numFmtId="164" fontId="1" fillId="0" borderId="16" xfId="0" applyNumberFormat="1" applyFont="1" applyFill="1" applyBorder="1"/>
    <xf numFmtId="164" fontId="2" fillId="0" borderId="9" xfId="0" applyNumberFormat="1" applyFont="1" applyBorder="1"/>
    <xf numFmtId="0" fontId="2" fillId="0" borderId="19" xfId="0" applyFont="1" applyBorder="1"/>
    <xf numFmtId="0" fontId="2" fillId="0" borderId="1" xfId="0" applyFont="1" applyBorder="1"/>
    <xf numFmtId="0" fontId="1" fillId="3" borderId="42" xfId="0" applyFont="1" applyFill="1" applyBorder="1"/>
    <xf numFmtId="4" fontId="1" fillId="3" borderId="42" xfId="0" applyNumberFormat="1" applyFont="1" applyFill="1" applyBorder="1"/>
    <xf numFmtId="4" fontId="1" fillId="3" borderId="43" xfId="0" applyNumberFormat="1" applyFont="1" applyFill="1" applyBorder="1"/>
    <xf numFmtId="0" fontId="2" fillId="0" borderId="9" xfId="0" applyFont="1" applyBorder="1"/>
    <xf numFmtId="167" fontId="2" fillId="0" borderId="9" xfId="0" applyNumberFormat="1" applyFont="1" applyBorder="1"/>
    <xf numFmtId="0" fontId="2" fillId="0" borderId="16" xfId="0" applyFont="1" applyBorder="1"/>
    <xf numFmtId="4" fontId="2" fillId="0" borderId="17" xfId="0" applyNumberFormat="1" applyFont="1" applyBorder="1"/>
    <xf numFmtId="0" fontId="3" fillId="0" borderId="31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right"/>
    </xf>
    <xf numFmtId="164" fontId="1" fillId="2" borderId="6" xfId="0" applyNumberFormat="1" applyFont="1" applyFill="1" applyBorder="1"/>
    <xf numFmtId="0" fontId="1" fillId="3" borderId="32" xfId="0" applyFont="1" applyFill="1" applyBorder="1" applyAlignment="1">
      <alignment horizontal="right"/>
    </xf>
    <xf numFmtId="4" fontId="1" fillId="3" borderId="9" xfId="0" applyNumberFormat="1" applyFont="1" applyFill="1" applyBorder="1"/>
    <xf numFmtId="164" fontId="1" fillId="3" borderId="8" xfId="0" applyNumberFormat="1" applyFont="1" applyFill="1" applyBorder="1"/>
    <xf numFmtId="4" fontId="1" fillId="3" borderId="10" xfId="0" applyNumberFormat="1" applyFont="1" applyFill="1" applyBorder="1"/>
    <xf numFmtId="0" fontId="1" fillId="3" borderId="8" xfId="0" applyFont="1" applyFill="1" applyBorder="1"/>
    <xf numFmtId="164" fontId="2" fillId="0" borderId="22" xfId="0" applyNumberFormat="1" applyFont="1" applyBorder="1"/>
    <xf numFmtId="164" fontId="2" fillId="0" borderId="18" xfId="0" applyNumberFormat="1" applyFont="1" applyBorder="1"/>
    <xf numFmtId="2" fontId="2" fillId="0" borderId="0" xfId="0" applyNumberFormat="1" applyFont="1" applyBorder="1"/>
    <xf numFmtId="2" fontId="2" fillId="0" borderId="19" xfId="0" applyNumberFormat="1" applyFont="1" applyBorder="1"/>
    <xf numFmtId="0" fontId="2" fillId="0" borderId="27" xfId="0" applyFont="1" applyBorder="1" applyAlignment="1">
      <alignment horizontal="left" wrapText="1"/>
    </xf>
    <xf numFmtId="2" fontId="2" fillId="0" borderId="24" xfId="0" applyNumberFormat="1" applyFont="1" applyBorder="1"/>
    <xf numFmtId="3" fontId="2" fillId="0" borderId="24" xfId="0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164" fontId="2" fillId="0" borderId="23" xfId="0" applyNumberFormat="1" applyFont="1" applyBorder="1"/>
    <xf numFmtId="164" fontId="2" fillId="0" borderId="13" xfId="0" applyNumberFormat="1" applyFont="1" applyBorder="1"/>
    <xf numFmtId="3" fontId="2" fillId="0" borderId="13" xfId="0" applyNumberFormat="1" applyFont="1" applyBorder="1"/>
    <xf numFmtId="0" fontId="2" fillId="0" borderId="46" xfId="0" applyFont="1" applyBorder="1" applyAlignment="1">
      <alignment horizontal="left" wrapText="1"/>
    </xf>
    <xf numFmtId="0" fontId="1" fillId="3" borderId="46" xfId="0" applyFont="1" applyFill="1" applyBorder="1" applyAlignment="1">
      <alignment horizontal="right"/>
    </xf>
    <xf numFmtId="0" fontId="1" fillId="3" borderId="35" xfId="0" applyFont="1" applyFill="1" applyBorder="1"/>
    <xf numFmtId="4" fontId="1" fillId="3" borderId="35" xfId="0" applyNumberFormat="1" applyFont="1" applyFill="1" applyBorder="1"/>
    <xf numFmtId="4" fontId="1" fillId="3" borderId="36" xfId="0" applyNumberFormat="1" applyFont="1" applyFill="1" applyBorder="1"/>
    <xf numFmtId="164" fontId="1" fillId="3" borderId="47" xfId="0" applyNumberFormat="1" applyFont="1" applyFill="1" applyBorder="1"/>
    <xf numFmtId="0" fontId="1" fillId="3" borderId="48" xfId="0" applyFont="1" applyFill="1" applyBorder="1"/>
    <xf numFmtId="167" fontId="2" fillId="0" borderId="1" xfId="0" applyNumberFormat="1" applyFont="1" applyBorder="1"/>
    <xf numFmtId="0" fontId="2" fillId="0" borderId="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164" fontId="2" fillId="0" borderId="16" xfId="0" applyNumberFormat="1" applyFont="1" applyBorder="1"/>
    <xf numFmtId="0" fontId="0" fillId="0" borderId="1" xfId="0" applyBorder="1"/>
    <xf numFmtId="0" fontId="2" fillId="0" borderId="7" xfId="0" applyFont="1" applyBorder="1"/>
    <xf numFmtId="0" fontId="2" fillId="0" borderId="1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4" fontId="2" fillId="0" borderId="0" xfId="0" applyNumberFormat="1" applyFont="1" applyBorder="1"/>
    <xf numFmtId="0" fontId="25" fillId="0" borderId="2" xfId="0" applyFont="1" applyBorder="1" applyAlignment="1">
      <alignment horizontal="right" wrapText="1"/>
    </xf>
    <xf numFmtId="0" fontId="9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8" fillId="2" borderId="51" xfId="0" applyFont="1" applyFill="1" applyBorder="1" applyAlignment="1">
      <alignment horizontal="left" vertical="center" wrapText="1"/>
    </xf>
    <xf numFmtId="0" fontId="28" fillId="2" borderId="52" xfId="0" applyFont="1" applyFill="1" applyBorder="1" applyAlignment="1">
      <alignment horizontal="left" vertical="center" wrapText="1"/>
    </xf>
    <xf numFmtId="0" fontId="28" fillId="2" borderId="53" xfId="0" applyFont="1" applyFill="1" applyBorder="1" applyAlignment="1">
      <alignment horizontal="left" vertical="center" wrapText="1"/>
    </xf>
    <xf numFmtId="0" fontId="28" fillId="2" borderId="52" xfId="0" applyFont="1" applyFill="1" applyBorder="1" applyAlignment="1">
      <alignment horizontal="center"/>
    </xf>
    <xf numFmtId="0" fontId="27" fillId="0" borderId="0" xfId="0" applyFont="1"/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2" fillId="0" borderId="0" xfId="0" applyNumberFormat="1" applyFont="1"/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4" fontId="1" fillId="2" borderId="18" xfId="0" applyNumberFormat="1" applyFont="1" applyFill="1" applyBorder="1"/>
    <xf numFmtId="168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3" borderId="1" xfId="0" applyFont="1" applyFill="1" applyBorder="1" applyAlignment="1"/>
    <xf numFmtId="168" fontId="1" fillId="3" borderId="6" xfId="0" applyNumberFormat="1" applyFont="1" applyFill="1" applyBorder="1"/>
    <xf numFmtId="2" fontId="1" fillId="3" borderId="6" xfId="0" applyNumberFormat="1" applyFont="1" applyFill="1" applyBorder="1"/>
    <xf numFmtId="2" fontId="1" fillId="3" borderId="1" xfId="0" applyNumberFormat="1" applyFont="1" applyFill="1" applyBorder="1"/>
    <xf numFmtId="2" fontId="1" fillId="3" borderId="7" xfId="0" applyNumberFormat="1" applyFont="1" applyFill="1" applyBorder="1"/>
    <xf numFmtId="0" fontId="2" fillId="0" borderId="1" xfId="0" applyFont="1" applyBorder="1" applyAlignment="1">
      <alignment wrapText="1"/>
    </xf>
    <xf numFmtId="2" fontId="2" fillId="0" borderId="18" xfId="0" applyNumberFormat="1" applyFont="1" applyBorder="1"/>
    <xf numFmtId="49" fontId="5" fillId="0" borderId="1" xfId="0" applyNumberFormat="1" applyFont="1" applyBorder="1" applyAlignment="1"/>
    <xf numFmtId="0" fontId="1" fillId="0" borderId="18" xfId="0" applyFont="1" applyBorder="1"/>
    <xf numFmtId="168" fontId="1" fillId="0" borderId="6" xfId="0" applyNumberFormat="1" applyFont="1" applyBorder="1"/>
    <xf numFmtId="2" fontId="1" fillId="0" borderId="6" xfId="0" applyNumberFormat="1" applyFont="1" applyBorder="1"/>
    <xf numFmtId="2" fontId="1" fillId="0" borderId="1" xfId="0" applyNumberFormat="1" applyFont="1" applyBorder="1"/>
    <xf numFmtId="2" fontId="1" fillId="0" borderId="7" xfId="0" applyNumberFormat="1" applyFont="1" applyBorder="1"/>
    <xf numFmtId="10" fontId="32" fillId="0" borderId="1" xfId="0" applyNumberFormat="1" applyFont="1" applyFill="1" applyBorder="1" applyAlignment="1">
      <alignment horizontal="left"/>
    </xf>
    <xf numFmtId="168" fontId="2" fillId="0" borderId="6" xfId="0" applyNumberFormat="1" applyFont="1" applyBorder="1"/>
    <xf numFmtId="3" fontId="2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4" fontId="1" fillId="0" borderId="7" xfId="0" applyNumberFormat="1" applyFont="1" applyFill="1" applyBorder="1"/>
    <xf numFmtId="2" fontId="1" fillId="0" borderId="1" xfId="0" applyNumberFormat="1" applyFont="1" applyFill="1" applyBorder="1"/>
    <xf numFmtId="2" fontId="1" fillId="0" borderId="7" xfId="0" applyNumberFormat="1" applyFont="1" applyFill="1" applyBorder="1"/>
    <xf numFmtId="49" fontId="32" fillId="0" borderId="56" xfId="0" applyNumberFormat="1" applyFont="1" applyBorder="1" applyAlignment="1">
      <alignment horizontal="left"/>
    </xf>
    <xf numFmtId="10" fontId="32" fillId="0" borderId="35" xfId="0" applyNumberFormat="1" applyFont="1" applyFill="1" applyBorder="1" applyAlignment="1">
      <alignment horizontal="left"/>
    </xf>
    <xf numFmtId="2" fontId="32" fillId="0" borderId="0" xfId="0" applyNumberFormat="1" applyFont="1" applyFill="1" applyBorder="1"/>
    <xf numFmtId="2" fontId="2" fillId="0" borderId="23" xfId="0" applyNumberFormat="1" applyFont="1" applyBorder="1"/>
    <xf numFmtId="2" fontId="2" fillId="0" borderId="9" xfId="0" applyNumberFormat="1" applyFont="1" applyFill="1" applyBorder="1"/>
    <xf numFmtId="0" fontId="1" fillId="3" borderId="22" xfId="0" applyFont="1" applyFill="1" applyBorder="1"/>
    <xf numFmtId="4" fontId="1" fillId="3" borderId="16" xfId="0" applyNumberFormat="1" applyFont="1" applyFill="1" applyBorder="1"/>
    <xf numFmtId="4" fontId="1" fillId="3" borderId="17" xfId="0" applyNumberFormat="1" applyFont="1" applyFill="1" applyBorder="1"/>
    <xf numFmtId="2" fontId="1" fillId="3" borderId="21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2" fontId="1" fillId="0" borderId="6" xfId="0" applyNumberFormat="1" applyFont="1" applyFill="1" applyBorder="1"/>
    <xf numFmtId="49" fontId="32" fillId="0" borderId="0" xfId="0" applyNumberFormat="1" applyFont="1" applyBorder="1" applyAlignment="1">
      <alignment horizontal="left"/>
    </xf>
    <xf numFmtId="165" fontId="32" fillId="0" borderId="0" xfId="0" applyNumberFormat="1" applyFont="1" applyFill="1" applyBorder="1" applyAlignment="1">
      <alignment horizontal="right"/>
    </xf>
    <xf numFmtId="2" fontId="32" fillId="0" borderId="46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/>
    </xf>
    <xf numFmtId="2" fontId="32" fillId="0" borderId="0" xfId="0" applyNumberFormat="1" applyFont="1" applyFill="1" applyBorder="1" applyAlignment="1">
      <alignment horizontal="right"/>
    </xf>
    <xf numFmtId="4" fontId="1" fillId="0" borderId="18" xfId="0" applyNumberFormat="1" applyFont="1" applyFill="1" applyBorder="1"/>
    <xf numFmtId="2" fontId="1" fillId="0" borderId="18" xfId="0" applyNumberFormat="1" applyFont="1" applyFill="1" applyBorder="1"/>
    <xf numFmtId="0" fontId="2" fillId="0" borderId="50" xfId="0" applyFont="1" applyBorder="1"/>
    <xf numFmtId="4" fontId="2" fillId="0" borderId="13" xfId="0" applyNumberFormat="1" applyFont="1" applyFill="1" applyBorder="1"/>
    <xf numFmtId="2" fontId="2" fillId="0" borderId="50" xfId="0" applyNumberFormat="1" applyFont="1" applyBorder="1"/>
    <xf numFmtId="2" fontId="2" fillId="0" borderId="13" xfId="0" applyNumberFormat="1" applyFont="1" applyFill="1" applyBorder="1"/>
    <xf numFmtId="2" fontId="2" fillId="0" borderId="13" xfId="0" applyNumberFormat="1" applyFont="1" applyBorder="1"/>
    <xf numFmtId="2" fontId="2" fillId="0" borderId="11" xfId="0" applyNumberFormat="1" applyFont="1" applyBorder="1"/>
    <xf numFmtId="4" fontId="1" fillId="3" borderId="22" xfId="0" applyNumberFormat="1" applyFont="1" applyFill="1" applyBorder="1"/>
    <xf numFmtId="168" fontId="1" fillId="3" borderId="21" xfId="0" applyNumberFormat="1" applyFont="1" applyFill="1" applyBorder="1"/>
    <xf numFmtId="168" fontId="1" fillId="0" borderId="6" xfId="0" applyNumberFormat="1" applyFont="1" applyFill="1" applyBorder="1"/>
    <xf numFmtId="49" fontId="32" fillId="0" borderId="18" xfId="0" applyNumberFormat="1" applyFont="1" applyBorder="1" applyAlignment="1">
      <alignment horizontal="left"/>
    </xf>
    <xf numFmtId="49" fontId="32" fillId="0" borderId="1" xfId="0" applyNumberFormat="1" applyFont="1" applyBorder="1" applyAlignment="1">
      <alignment horizontal="left"/>
    </xf>
    <xf numFmtId="168" fontId="32" fillId="0" borderId="6" xfId="0" applyNumberFormat="1" applyFont="1" applyBorder="1" applyAlignment="1">
      <alignment horizontal="left"/>
    </xf>
    <xf numFmtId="2" fontId="32" fillId="0" borderId="18" xfId="0" applyNumberFormat="1" applyFont="1" applyBorder="1" applyAlignment="1">
      <alignment horizontal="left"/>
    </xf>
    <xf numFmtId="165" fontId="32" fillId="0" borderId="1" xfId="0" applyNumberFormat="1" applyFont="1" applyFill="1" applyBorder="1" applyAlignment="1">
      <alignment horizontal="right"/>
    </xf>
    <xf numFmtId="2" fontId="32" fillId="0" borderId="1" xfId="0" applyNumberFormat="1" applyFont="1" applyFill="1" applyBorder="1" applyAlignment="1">
      <alignment horizontal="right"/>
    </xf>
    <xf numFmtId="2" fontId="32" fillId="0" borderId="6" xfId="0" applyNumberFormat="1" applyFont="1" applyBorder="1" applyAlignment="1">
      <alignment horizontal="left"/>
    </xf>
    <xf numFmtId="49" fontId="32" fillId="0" borderId="50" xfId="0" applyNumberFormat="1" applyFont="1" applyBorder="1" applyAlignment="1">
      <alignment horizontal="left"/>
    </xf>
    <xf numFmtId="49" fontId="32" fillId="0" borderId="13" xfId="0" applyNumberFormat="1" applyFont="1" applyBorder="1" applyAlignment="1">
      <alignment horizontal="left"/>
    </xf>
    <xf numFmtId="10" fontId="32" fillId="0" borderId="13" xfId="0" applyNumberFormat="1" applyFont="1" applyFill="1" applyBorder="1" applyAlignment="1">
      <alignment horizontal="left"/>
    </xf>
    <xf numFmtId="165" fontId="32" fillId="0" borderId="13" xfId="0" applyNumberFormat="1" applyFont="1" applyFill="1" applyBorder="1" applyAlignment="1">
      <alignment horizontal="right"/>
    </xf>
    <xf numFmtId="168" fontId="32" fillId="0" borderId="20" xfId="0" applyNumberFormat="1" applyFont="1" applyBorder="1" applyAlignment="1">
      <alignment horizontal="left"/>
    </xf>
    <xf numFmtId="2" fontId="32" fillId="0" borderId="50" xfId="0" applyNumberFormat="1" applyFont="1" applyBorder="1" applyAlignment="1">
      <alignment horizontal="left"/>
    </xf>
    <xf numFmtId="2" fontId="32" fillId="0" borderId="13" xfId="0" applyNumberFormat="1" applyFont="1" applyFill="1" applyBorder="1" applyAlignment="1">
      <alignment horizontal="right"/>
    </xf>
    <xf numFmtId="0" fontId="32" fillId="0" borderId="1" xfId="0" applyFont="1" applyFill="1" applyBorder="1"/>
    <xf numFmtId="2" fontId="32" fillId="0" borderId="1" xfId="0" applyNumberFormat="1" applyFont="1" applyFill="1" applyBorder="1"/>
    <xf numFmtId="168" fontId="1" fillId="0" borderId="1" xfId="0" applyNumberFormat="1" applyFont="1" applyFill="1" applyBorder="1"/>
    <xf numFmtId="49" fontId="2" fillId="0" borderId="1" xfId="0" applyNumberFormat="1" applyFont="1" applyBorder="1" applyAlignment="1"/>
    <xf numFmtId="2" fontId="32" fillId="0" borderId="20" xfId="0" applyNumberFormat="1" applyFont="1" applyBorder="1" applyAlignment="1">
      <alignment horizontal="left"/>
    </xf>
    <xf numFmtId="4" fontId="1" fillId="0" borderId="6" xfId="0" applyNumberFormat="1" applyFont="1" applyFill="1" applyBorder="1"/>
    <xf numFmtId="2" fontId="33" fillId="0" borderId="1" xfId="0" applyNumberFormat="1" applyFont="1" applyFill="1" applyBorder="1"/>
    <xf numFmtId="2" fontId="1" fillId="3" borderId="22" xfId="0" applyNumberFormat="1" applyFont="1" applyFill="1" applyBorder="1"/>
    <xf numFmtId="0" fontId="34" fillId="0" borderId="0" xfId="0" applyFont="1"/>
    <xf numFmtId="0" fontId="3" fillId="0" borderId="0" xfId="0" applyFont="1"/>
    <xf numFmtId="0" fontId="34" fillId="2" borderId="2" xfId="0" applyFont="1" applyFill="1" applyBorder="1" applyAlignment="1">
      <alignment horizontal="right"/>
    </xf>
    <xf numFmtId="0" fontId="34" fillId="3" borderId="2" xfId="0" applyFont="1" applyFill="1" applyBorder="1" applyAlignment="1">
      <alignment horizontal="right" wrapText="1"/>
    </xf>
    <xf numFmtId="4" fontId="34" fillId="3" borderId="1" xfId="0" applyNumberFormat="1" applyFont="1" applyFill="1" applyBorder="1"/>
    <xf numFmtId="0" fontId="3" fillId="0" borderId="2" xfId="0" applyFont="1" applyBorder="1" applyAlignment="1">
      <alignment horizontal="left" wrapText="1"/>
    </xf>
    <xf numFmtId="0" fontId="3" fillId="0" borderId="6" xfId="0" applyFont="1" applyBorder="1"/>
    <xf numFmtId="4" fontId="3" fillId="0" borderId="1" xfId="0" applyNumberFormat="1" applyFont="1" applyBorder="1"/>
    <xf numFmtId="1" fontId="3" fillId="0" borderId="1" xfId="0" applyNumberFormat="1" applyFont="1" applyBorder="1"/>
    <xf numFmtId="4" fontId="3" fillId="0" borderId="7" xfId="0" applyNumberFormat="1" applyFont="1" applyBorder="1"/>
    <xf numFmtId="0" fontId="3" fillId="0" borderId="2" xfId="0" applyFont="1" applyBorder="1" applyAlignment="1">
      <alignment horizontal="right" wrapText="1"/>
    </xf>
    <xf numFmtId="2" fontId="3" fillId="0" borderId="6" xfId="0" applyNumberFormat="1" applyFont="1" applyBorder="1"/>
    <xf numFmtId="0" fontId="35" fillId="0" borderId="1" xfId="0" applyFont="1" applyBorder="1" applyAlignment="1">
      <alignment horizontal="right" wrapText="1"/>
    </xf>
    <xf numFmtId="0" fontId="35" fillId="0" borderId="13" xfId="0" applyFont="1" applyBorder="1" applyAlignment="1">
      <alignment horizontal="right" wrapText="1"/>
    </xf>
    <xf numFmtId="0" fontId="35" fillId="0" borderId="2" xfId="0" applyFont="1" applyBorder="1" applyAlignment="1">
      <alignment horizontal="right" wrapText="1"/>
    </xf>
    <xf numFmtId="4" fontId="3" fillId="0" borderId="18" xfId="0" applyNumberFormat="1" applyFont="1" applyBorder="1"/>
    <xf numFmtId="1" fontId="3" fillId="0" borderId="18" xfId="0" applyNumberFormat="1" applyFont="1" applyBorder="1"/>
    <xf numFmtId="2" fontId="34" fillId="3" borderId="6" xfId="0" applyNumberFormat="1" applyFont="1" applyFill="1" applyBorder="1"/>
    <xf numFmtId="4" fontId="34" fillId="3" borderId="6" xfId="0" applyNumberFormat="1" applyFont="1" applyFill="1" applyBorder="1"/>
    <xf numFmtId="0" fontId="3" fillId="4" borderId="2" xfId="0" applyFont="1" applyFill="1" applyBorder="1" applyAlignment="1">
      <alignment horizontal="right" wrapText="1"/>
    </xf>
    <xf numFmtId="4" fontId="3" fillId="4" borderId="1" xfId="0" applyNumberFormat="1" applyFont="1" applyFill="1" applyBorder="1"/>
    <xf numFmtId="0" fontId="3" fillId="4" borderId="0" xfId="0" applyFont="1" applyFill="1"/>
    <xf numFmtId="0" fontId="3" fillId="0" borderId="8" xfId="0" applyFont="1" applyBorder="1"/>
    <xf numFmtId="4" fontId="3" fillId="0" borderId="9" xfId="0" applyNumberFormat="1" applyFont="1" applyBorder="1"/>
    <xf numFmtId="1" fontId="3" fillId="0" borderId="9" xfId="0" applyNumberFormat="1" applyFont="1" applyBorder="1"/>
    <xf numFmtId="0" fontId="3" fillId="0" borderId="0" xfId="0" applyFont="1" applyAlignment="1">
      <alignment vertical="center" wrapText="1"/>
    </xf>
    <xf numFmtId="0" fontId="37" fillId="0" borderId="1" xfId="0" applyFont="1" applyBorder="1" applyAlignment="1">
      <alignment horizontal="right" wrapText="1"/>
    </xf>
    <xf numFmtId="0" fontId="37" fillId="0" borderId="40" xfId="0" applyFont="1" applyBorder="1" applyAlignment="1">
      <alignment horizontal="right" wrapText="1"/>
    </xf>
    <xf numFmtId="0" fontId="3" fillId="0" borderId="1" xfId="0" applyFont="1" applyBorder="1"/>
    <xf numFmtId="0" fontId="39" fillId="0" borderId="0" xfId="0" applyFont="1"/>
    <xf numFmtId="0" fontId="5" fillId="0" borderId="0" xfId="2" applyFont="1"/>
    <xf numFmtId="2" fontId="2" fillId="6" borderId="6" xfId="0" applyNumberFormat="1" applyFont="1" applyFill="1" applyBorder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1" fillId="2" borderId="31" xfId="0" applyNumberFormat="1" applyFont="1" applyFill="1" applyBorder="1"/>
    <xf numFmtId="4" fontId="1" fillId="0" borderId="2" xfId="0" applyNumberFormat="1" applyFont="1" applyBorder="1"/>
    <xf numFmtId="2" fontId="2" fillId="0" borderId="31" xfId="0" applyNumberFormat="1" applyFont="1" applyBorder="1"/>
    <xf numFmtId="0" fontId="2" fillId="0" borderId="3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" fontId="1" fillId="3" borderId="39" xfId="0" applyNumberFormat="1" applyFont="1" applyFill="1" applyBorder="1"/>
    <xf numFmtId="2" fontId="1" fillId="0" borderId="18" xfId="0" applyNumberFormat="1" applyFont="1" applyBorder="1"/>
    <xf numFmtId="4" fontId="1" fillId="0" borderId="18" xfId="0" applyNumberFormat="1" applyFont="1" applyBorder="1"/>
    <xf numFmtId="0" fontId="1" fillId="2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1" fontId="2" fillId="0" borderId="31" xfId="0" applyNumberFormat="1" applyFont="1" applyBorder="1"/>
    <xf numFmtId="0" fontId="2" fillId="0" borderId="7" xfId="0" applyFont="1" applyBorder="1" applyAlignment="1">
      <alignment horizontal="center" vertical="center" wrapText="1"/>
    </xf>
    <xf numFmtId="2" fontId="1" fillId="2" borderId="6" xfId="0" applyNumberFormat="1" applyFont="1" applyFill="1" applyBorder="1"/>
    <xf numFmtId="4" fontId="1" fillId="3" borderId="6" xfId="0" applyNumberFormat="1" applyFont="1" applyFill="1" applyBorder="1"/>
    <xf numFmtId="1" fontId="2" fillId="6" borderId="6" xfId="0" applyNumberFormat="1" applyFont="1" applyFill="1" applyBorder="1"/>
    <xf numFmtId="4" fontId="2" fillId="6" borderId="6" xfId="0" applyNumberFormat="1" applyFont="1" applyFill="1" applyBorder="1"/>
    <xf numFmtId="0" fontId="2" fillId="6" borderId="6" xfId="0" applyFont="1" applyFill="1" applyBorder="1"/>
    <xf numFmtId="169" fontId="2" fillId="0" borderId="1" xfId="0" applyNumberFormat="1" applyFont="1" applyBorder="1"/>
    <xf numFmtId="3" fontId="1" fillId="3" borderId="1" xfId="0" applyNumberFormat="1" applyFont="1" applyFill="1" applyBorder="1"/>
    <xf numFmtId="4" fontId="2" fillId="6" borderId="1" xfId="0" applyNumberFormat="1" applyFont="1" applyFill="1" applyBorder="1"/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27" fillId="0" borderId="2" xfId="0" applyFont="1" applyBorder="1" applyAlignment="1">
      <alignment horizontal="left" wrapText="1"/>
    </xf>
    <xf numFmtId="10" fontId="2" fillId="0" borderId="0" xfId="0" applyNumberFormat="1" applyFont="1"/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0" fillId="2" borderId="6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4" fontId="30" fillId="2" borderId="7" xfId="0" applyNumberFormat="1" applyFont="1" applyFill="1" applyBorder="1" applyAlignment="1">
      <alignment horizontal="center" vertical="center"/>
    </xf>
    <xf numFmtId="0" fontId="34" fillId="9" borderId="64" xfId="0" applyFont="1" applyFill="1" applyBorder="1" applyAlignment="1">
      <alignment horizontal="center" vertical="center" wrapText="1"/>
    </xf>
    <xf numFmtId="0" fontId="34" fillId="9" borderId="6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4" fontId="34" fillId="9" borderId="1" xfId="0" applyNumberFormat="1" applyFont="1" applyFill="1" applyBorder="1" applyAlignment="1">
      <alignment horizontal="center" vertical="center"/>
    </xf>
    <xf numFmtId="4" fontId="34" fillId="9" borderId="7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7" fillId="0" borderId="1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0" fontId="34" fillId="9" borderId="7" xfId="0" applyFont="1" applyFill="1" applyBorder="1" applyAlignment="1">
      <alignment horizontal="center" vertical="center"/>
    </xf>
    <xf numFmtId="0" fontId="42" fillId="0" borderId="65" xfId="0" applyFont="1" applyBorder="1"/>
    <xf numFmtId="0" fontId="31" fillId="0" borderId="6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10" fontId="7" fillId="0" borderId="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0" fontId="2" fillId="0" borderId="0" xfId="0" applyNumberFormat="1" applyFont="1" applyBorder="1"/>
    <xf numFmtId="168" fontId="7" fillId="0" borderId="6" xfId="0" applyNumberFormat="1" applyFont="1" applyFill="1" applyBorder="1" applyAlignment="1">
      <alignment horizontal="center" vertical="center"/>
    </xf>
    <xf numFmtId="168" fontId="31" fillId="0" borderId="6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0" fontId="3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3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10" fontId="30" fillId="3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/>
    </xf>
    <xf numFmtId="4" fontId="30" fillId="0" borderId="1" xfId="0" applyNumberFormat="1" applyFont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4" fontId="3" fillId="0" borderId="0" xfId="0" applyNumberFormat="1" applyFont="1"/>
    <xf numFmtId="0" fontId="8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164" fontId="2" fillId="0" borderId="0" xfId="0" applyNumberFormat="1" applyFont="1"/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wrapText="1"/>
    </xf>
    <xf numFmtId="0" fontId="3" fillId="0" borderId="18" xfId="0" applyFont="1" applyBorder="1"/>
    <xf numFmtId="0" fontId="3" fillId="0" borderId="23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" fontId="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Border="1"/>
    <xf numFmtId="4" fontId="43" fillId="0" borderId="7" xfId="0" applyNumberFormat="1" applyFont="1" applyBorder="1"/>
    <xf numFmtId="4" fontId="34" fillId="2" borderId="6" xfId="0" applyNumberFormat="1" applyFont="1" applyFill="1" applyBorder="1"/>
    <xf numFmtId="0" fontId="3" fillId="4" borderId="18" xfId="0" applyFont="1" applyFill="1" applyBorder="1"/>
    <xf numFmtId="4" fontId="3" fillId="0" borderId="40" xfId="0" applyNumberFormat="1" applyFont="1" applyBorder="1"/>
    <xf numFmtId="2" fontId="3" fillId="0" borderId="1" xfId="0" applyNumberFormat="1" applyFont="1" applyBorder="1"/>
    <xf numFmtId="0" fontId="3" fillId="0" borderId="0" xfId="0" applyFont="1" applyAlignment="1">
      <alignment horizontal="right" wrapText="1"/>
    </xf>
    <xf numFmtId="0" fontId="2" fillId="0" borderId="48" xfId="0" applyFont="1" applyBorder="1"/>
    <xf numFmtId="3" fontId="2" fillId="0" borderId="35" xfId="0" applyNumberFormat="1" applyFont="1" applyBorder="1"/>
    <xf numFmtId="4" fontId="2" fillId="0" borderId="15" xfId="0" applyNumberFormat="1" applyFont="1" applyBorder="1"/>
    <xf numFmtId="164" fontId="2" fillId="0" borderId="26" xfId="0" applyNumberFormat="1" applyFont="1" applyBorder="1"/>
    <xf numFmtId="4" fontId="1" fillId="2" borderId="6" xfId="0" applyNumberFormat="1" applyFont="1" applyFill="1" applyBorder="1"/>
    <xf numFmtId="4" fontId="43" fillId="3" borderId="6" xfId="0" applyNumberFormat="1" applyFont="1" applyFill="1" applyBorder="1"/>
    <xf numFmtId="4" fontId="43" fillId="3" borderId="1" xfId="0" applyNumberFormat="1" applyFont="1" applyFill="1" applyBorder="1"/>
    <xf numFmtId="4" fontId="43" fillId="3" borderId="7" xfId="0" applyNumberFormat="1" applyFont="1" applyFill="1" applyBorder="1"/>
    <xf numFmtId="4" fontId="43" fillId="0" borderId="6" xfId="0" applyNumberFormat="1" applyFont="1" applyBorder="1"/>
    <xf numFmtId="4" fontId="2" fillId="0" borderId="6" xfId="0" applyNumberFormat="1" applyFont="1" applyBorder="1"/>
    <xf numFmtId="4" fontId="2" fillId="3" borderId="6" xfId="0" applyNumberFormat="1" applyFont="1" applyFill="1" applyBorder="1"/>
    <xf numFmtId="4" fontId="2" fillId="0" borderId="48" xfId="0" applyNumberFormat="1" applyFont="1" applyBorder="1"/>
    <xf numFmtId="4" fontId="2" fillId="3" borderId="34" xfId="0" applyNumberFormat="1" applyFont="1" applyFill="1" applyBorder="1"/>
    <xf numFmtId="4" fontId="2" fillId="0" borderId="20" xfId="0" applyNumberFormat="1" applyFont="1" applyBorder="1"/>
    <xf numFmtId="4" fontId="1" fillId="2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left" wrapText="1"/>
    </xf>
    <xf numFmtId="4" fontId="2" fillId="3" borderId="15" xfId="0" applyNumberFormat="1" applyFont="1" applyFill="1" applyBorder="1" applyAlignment="1">
      <alignment horizontal="right"/>
    </xf>
    <xf numFmtId="4" fontId="2" fillId="0" borderId="8" xfId="0" applyNumberFormat="1" applyFont="1" applyBorder="1"/>
    <xf numFmtId="0" fontId="7" fillId="0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7" fillId="10" borderId="2" xfId="0" applyFont="1" applyFill="1" applyBorder="1" applyAlignment="1">
      <alignment horizontal="right" wrapText="1"/>
    </xf>
    <xf numFmtId="0" fontId="3" fillId="10" borderId="0" xfId="0" applyFont="1" applyFill="1"/>
    <xf numFmtId="0" fontId="37" fillId="10" borderId="40" xfId="0" applyFont="1" applyFill="1" applyBorder="1" applyAlignment="1">
      <alignment horizontal="right" wrapText="1"/>
    </xf>
    <xf numFmtId="0" fontId="3" fillId="10" borderId="2" xfId="0" applyFont="1" applyFill="1" applyBorder="1" applyAlignment="1">
      <alignment horizontal="right" wrapText="1"/>
    </xf>
    <xf numFmtId="0" fontId="37" fillId="10" borderId="1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horizontal="right" wrapText="1"/>
    </xf>
    <xf numFmtId="4" fontId="44" fillId="3" borderId="6" xfId="0" applyNumberFormat="1" applyFont="1" applyFill="1" applyBorder="1"/>
    <xf numFmtId="0" fontId="27" fillId="11" borderId="6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4" fontId="28" fillId="2" borderId="61" xfId="0" applyNumberFormat="1" applyFont="1" applyFill="1" applyBorder="1" applyAlignment="1">
      <alignment horizontal="center" vertical="center"/>
    </xf>
    <xf numFmtId="4" fontId="28" fillId="2" borderId="62" xfId="0" applyNumberFormat="1" applyFont="1" applyFill="1" applyBorder="1" applyAlignment="1">
      <alignment horizontal="center" vertical="center"/>
    </xf>
    <xf numFmtId="4" fontId="28" fillId="2" borderId="42" xfId="0" applyNumberFormat="1" applyFont="1" applyFill="1" applyBorder="1" applyAlignment="1">
      <alignment horizontal="center" vertical="center"/>
    </xf>
    <xf numFmtId="4" fontId="28" fillId="2" borderId="5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4" fontId="30" fillId="0" borderId="7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34" fillId="5" borderId="61" xfId="0" applyFont="1" applyFill="1" applyBorder="1" applyAlignment="1">
      <alignment horizontal="left" vertical="center" wrapText="1"/>
    </xf>
    <xf numFmtId="0" fontId="34" fillId="5" borderId="42" xfId="0" applyFont="1" applyFill="1" applyBorder="1" applyAlignment="1">
      <alignment horizontal="left" vertical="center" wrapText="1"/>
    </xf>
    <xf numFmtId="0" fontId="34" fillId="5" borderId="60" xfId="0" applyFont="1" applyFill="1" applyBorder="1" applyAlignment="1">
      <alignment horizontal="center" vertical="center" wrapText="1"/>
    </xf>
    <xf numFmtId="0" fontId="34" fillId="5" borderId="61" xfId="0" applyFont="1" applyFill="1" applyBorder="1" applyAlignment="1">
      <alignment horizontal="center" vertical="center" wrapText="1"/>
    </xf>
    <xf numFmtId="4" fontId="34" fillId="5" borderId="42" xfId="0" applyNumberFormat="1" applyFont="1" applyFill="1" applyBorder="1" applyAlignment="1">
      <alignment horizontal="center" vertical="center" wrapText="1"/>
    </xf>
    <xf numFmtId="0" fontId="34" fillId="5" borderId="42" xfId="0" applyFont="1" applyFill="1" applyBorder="1" applyAlignment="1">
      <alignment vertical="center" wrapText="1"/>
    </xf>
    <xf numFmtId="0" fontId="34" fillId="5" borderId="42" xfId="0" applyFont="1" applyFill="1" applyBorder="1" applyAlignment="1">
      <alignment horizontal="center" vertical="center" wrapText="1"/>
    </xf>
    <xf numFmtId="4" fontId="34" fillId="5" borderId="43" xfId="0" applyNumberFormat="1" applyFont="1" applyFill="1" applyBorder="1" applyAlignment="1">
      <alignment horizontal="center" vertical="center" wrapText="1"/>
    </xf>
    <xf numFmtId="0" fontId="45" fillId="5" borderId="4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" fontId="30" fillId="0" borderId="36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6" fillId="0" borderId="0" xfId="3"/>
    <xf numFmtId="0" fontId="39" fillId="0" borderId="0" xfId="3" applyFont="1"/>
    <xf numFmtId="0" fontId="38" fillId="0" borderId="6" xfId="3" applyFont="1" applyBorder="1" applyAlignment="1">
      <alignment horizontal="center" vertical="center" wrapText="1"/>
    </xf>
    <xf numFmtId="0" fontId="38" fillId="0" borderId="1" xfId="3" applyFont="1" applyBorder="1" applyAlignment="1">
      <alignment horizontal="center" vertical="center" wrapText="1"/>
    </xf>
    <xf numFmtId="0" fontId="38" fillId="0" borderId="7" xfId="3" applyFont="1" applyBorder="1" applyAlignment="1">
      <alignment horizontal="center" vertical="center" wrapText="1"/>
    </xf>
    <xf numFmtId="0" fontId="38" fillId="0" borderId="31" xfId="3" applyFont="1" applyBorder="1" applyAlignment="1">
      <alignment horizontal="center" vertical="center" wrapText="1"/>
    </xf>
    <xf numFmtId="0" fontId="40" fillId="2" borderId="31" xfId="3" applyFont="1" applyFill="1" applyBorder="1" applyAlignment="1">
      <alignment horizontal="right"/>
    </xf>
    <xf numFmtId="4" fontId="40" fillId="2" borderId="6" xfId="3" applyNumberFormat="1" applyFont="1" applyFill="1" applyBorder="1"/>
    <xf numFmtId="4" fontId="40" fillId="2" borderId="1" xfId="3" applyNumberFormat="1" applyFont="1" applyFill="1" applyBorder="1"/>
    <xf numFmtId="4" fontId="40" fillId="2" borderId="7" xfId="3" applyNumberFormat="1" applyFont="1" applyFill="1" applyBorder="1"/>
    <xf numFmtId="0" fontId="40" fillId="2" borderId="6" xfId="3" applyFont="1" applyFill="1" applyBorder="1"/>
    <xf numFmtId="0" fontId="40" fillId="3" borderId="32" xfId="3" applyFont="1" applyFill="1" applyBorder="1" applyAlignment="1">
      <alignment horizontal="right"/>
    </xf>
    <xf numFmtId="4" fontId="40" fillId="3" borderId="8" xfId="3" applyNumberFormat="1" applyFont="1" applyFill="1" applyBorder="1"/>
    <xf numFmtId="4" fontId="40" fillId="3" borderId="9" xfId="3" applyNumberFormat="1" applyFont="1" applyFill="1" applyBorder="1"/>
    <xf numFmtId="4" fontId="40" fillId="3" borderId="10" xfId="3" applyNumberFormat="1" applyFont="1" applyFill="1" applyBorder="1"/>
    <xf numFmtId="0" fontId="38" fillId="8" borderId="15" xfId="3" applyFont="1" applyFill="1" applyBorder="1" applyAlignment="1">
      <alignment vertical="center" wrapText="1"/>
    </xf>
    <xf numFmtId="2" fontId="40" fillId="0" borderId="34" xfId="3" applyNumberFormat="1" applyFont="1" applyBorder="1"/>
    <xf numFmtId="2" fontId="40" fillId="0" borderId="19" xfId="3" applyNumberFormat="1" applyFont="1" applyBorder="1"/>
    <xf numFmtId="2" fontId="40" fillId="0" borderId="15" xfId="3" applyNumberFormat="1" applyFont="1" applyBorder="1"/>
    <xf numFmtId="2" fontId="40" fillId="0" borderId="21" xfId="3" applyNumberFormat="1" applyFont="1" applyBorder="1"/>
    <xf numFmtId="2" fontId="40" fillId="0" borderId="16" xfId="3" applyNumberFormat="1" applyFont="1" applyBorder="1"/>
    <xf numFmtId="2" fontId="40" fillId="0" borderId="17" xfId="3" applyNumberFormat="1" applyFont="1" applyBorder="1"/>
    <xf numFmtId="2" fontId="40" fillId="0" borderId="12" xfId="3" applyNumberFormat="1" applyFont="1" applyBorder="1"/>
    <xf numFmtId="0" fontId="38" fillId="0" borderId="14" xfId="3" applyFont="1" applyBorder="1"/>
    <xf numFmtId="164" fontId="38" fillId="0" borderId="8" xfId="3" applyNumberFormat="1" applyFont="1" applyBorder="1"/>
    <xf numFmtId="0" fontId="38" fillId="0" borderId="9" xfId="3" applyFont="1" applyBorder="1"/>
    <xf numFmtId="2" fontId="38" fillId="0" borderId="9" xfId="3" applyNumberFormat="1" applyFont="1" applyBorder="1" applyAlignment="1">
      <alignment vertical="center" wrapText="1"/>
    </xf>
    <xf numFmtId="2" fontId="38" fillId="0" borderId="1" xfId="3" applyNumberFormat="1" applyFont="1" applyBorder="1" applyAlignment="1">
      <alignment vertical="center" wrapText="1"/>
    </xf>
    <xf numFmtId="2" fontId="38" fillId="0" borderId="7" xfId="3" applyNumberFormat="1" applyFont="1" applyBorder="1" applyAlignment="1">
      <alignment vertical="center" wrapText="1"/>
    </xf>
    <xf numFmtId="0" fontId="38" fillId="0" borderId="8" xfId="3" applyFont="1" applyBorder="1" applyAlignment="1">
      <alignment vertical="center" wrapText="1"/>
    </xf>
    <xf numFmtId="0" fontId="38" fillId="0" borderId="9" xfId="3" applyFont="1" applyBorder="1" applyAlignment="1">
      <alignment vertical="center" wrapText="1"/>
    </xf>
    <xf numFmtId="2" fontId="38" fillId="0" borderId="10" xfId="3" applyNumberFormat="1" applyFont="1" applyBorder="1" applyAlignment="1">
      <alignment vertical="center" wrapText="1"/>
    </xf>
    <xf numFmtId="0" fontId="38" fillId="0" borderId="20" xfId="3" applyFont="1" applyBorder="1" applyAlignment="1">
      <alignment vertical="center" wrapText="1"/>
    </xf>
    <xf numFmtId="2" fontId="38" fillId="0" borderId="13" xfId="3" applyNumberFormat="1" applyFont="1" applyBorder="1" applyAlignment="1">
      <alignment vertical="center" wrapText="1"/>
    </xf>
    <xf numFmtId="0" fontId="38" fillId="0" borderId="13" xfId="3" applyFont="1" applyBorder="1" applyAlignment="1">
      <alignment vertical="center" wrapText="1"/>
    </xf>
    <xf numFmtId="2" fontId="38" fillId="0" borderId="11" xfId="3" applyNumberFormat="1" applyFont="1" applyBorder="1" applyAlignment="1">
      <alignment vertical="center" wrapText="1"/>
    </xf>
    <xf numFmtId="0" fontId="40" fillId="3" borderId="57" xfId="3" applyFont="1" applyFill="1" applyBorder="1" applyAlignment="1">
      <alignment horizontal="right"/>
    </xf>
    <xf numFmtId="4" fontId="40" fillId="3" borderId="55" xfId="3" applyNumberFormat="1" applyFont="1" applyFill="1" applyBorder="1"/>
    <xf numFmtId="4" fontId="40" fillId="3" borderId="58" xfId="3" applyNumberFormat="1" applyFont="1" applyFill="1" applyBorder="1"/>
    <xf numFmtId="4" fontId="40" fillId="3" borderId="54" xfId="3" applyNumberFormat="1" applyFont="1" applyFill="1" applyBorder="1"/>
    <xf numFmtId="4" fontId="40" fillId="3" borderId="59" xfId="3" applyNumberFormat="1" applyFont="1" applyFill="1" applyBorder="1"/>
    <xf numFmtId="0" fontId="38" fillId="8" borderId="38" xfId="3" applyFont="1" applyFill="1" applyBorder="1" applyAlignment="1">
      <alignment vertical="center" wrapText="1"/>
    </xf>
    <xf numFmtId="0" fontId="38" fillId="0" borderId="31" xfId="3" applyFont="1" applyBorder="1"/>
    <xf numFmtId="0" fontId="38" fillId="0" borderId="6" xfId="3" applyFont="1" applyBorder="1"/>
    <xf numFmtId="0" fontId="38" fillId="0" borderId="1" xfId="3" applyFont="1" applyBorder="1"/>
    <xf numFmtId="0" fontId="38" fillId="0" borderId="7" xfId="3" applyFont="1" applyBorder="1"/>
    <xf numFmtId="164" fontId="38" fillId="0" borderId="6" xfId="3" applyNumberFormat="1" applyFont="1" applyBorder="1" applyAlignment="1">
      <alignment vertical="center" wrapText="1"/>
    </xf>
    <xf numFmtId="0" fontId="38" fillId="0" borderId="1" xfId="3" applyFont="1" applyBorder="1" applyAlignment="1">
      <alignment vertical="center" wrapText="1"/>
    </xf>
    <xf numFmtId="0" fontId="38" fillId="0" borderId="6" xfId="3" applyFont="1" applyBorder="1" applyAlignment="1">
      <alignment vertical="center" wrapText="1"/>
    </xf>
    <xf numFmtId="0" fontId="38" fillId="0" borderId="33" xfId="3" applyFont="1" applyBorder="1"/>
    <xf numFmtId="0" fontId="38" fillId="0" borderId="8" xfId="3" applyFont="1" applyBorder="1"/>
    <xf numFmtId="0" fontId="38" fillId="0" borderId="10" xfId="3" applyFont="1" applyBorder="1"/>
    <xf numFmtId="164" fontId="38" fillId="0" borderId="8" xfId="3" applyNumberFormat="1" applyFont="1" applyBorder="1" applyAlignment="1">
      <alignment vertical="center" wrapText="1"/>
    </xf>
    <xf numFmtId="4" fontId="40" fillId="3" borderId="42" xfId="3" applyNumberFormat="1" applyFont="1" applyFill="1" applyBorder="1"/>
    <xf numFmtId="4" fontId="40" fillId="3" borderId="60" xfId="3" applyNumberFormat="1" applyFont="1" applyFill="1" applyBorder="1"/>
    <xf numFmtId="4" fontId="40" fillId="3" borderId="61" xfId="3" applyNumberFormat="1" applyFont="1" applyFill="1" applyBorder="1"/>
    <xf numFmtId="4" fontId="40" fillId="3" borderId="43" xfId="3" applyNumberFormat="1" applyFont="1" applyFill="1" applyBorder="1"/>
    <xf numFmtId="0" fontId="38" fillId="8" borderId="3" xfId="3" applyFont="1" applyFill="1" applyBorder="1" applyAlignment="1">
      <alignment vertical="center" wrapText="1"/>
    </xf>
    <xf numFmtId="2" fontId="40" fillId="0" borderId="22" xfId="3" applyNumberFormat="1" applyFont="1" applyBorder="1"/>
    <xf numFmtId="0" fontId="38" fillId="0" borderId="18" xfId="3" applyFont="1" applyBorder="1" applyAlignment="1">
      <alignment vertical="center" wrapText="1"/>
    </xf>
    <xf numFmtId="0" fontId="38" fillId="0" borderId="32" xfId="3" applyFont="1" applyBorder="1"/>
    <xf numFmtId="0" fontId="38" fillId="0" borderId="23" xfId="3" applyFont="1" applyBorder="1" applyAlignment="1">
      <alignment vertical="center" wrapText="1"/>
    </xf>
    <xf numFmtId="0" fontId="40" fillId="3" borderId="37" xfId="3" applyFont="1" applyFill="1" applyBorder="1" applyAlignment="1">
      <alignment horizontal="right" wrapText="1"/>
    </xf>
    <xf numFmtId="4" fontId="40" fillId="3" borderId="26" xfId="3" applyNumberFormat="1" applyFont="1" applyFill="1" applyBorder="1"/>
    <xf numFmtId="4" fontId="40" fillId="3" borderId="24" xfId="3" applyNumberFormat="1" applyFont="1" applyFill="1" applyBorder="1"/>
    <xf numFmtId="4" fontId="40" fillId="3" borderId="25" xfId="3" applyNumberFormat="1" applyFont="1" applyFill="1" applyBorder="1"/>
    <xf numFmtId="4" fontId="40" fillId="3" borderId="48" xfId="3" applyNumberFormat="1" applyFont="1" applyFill="1" applyBorder="1"/>
    <xf numFmtId="4" fontId="40" fillId="3" borderId="35" xfId="3" applyNumberFormat="1" applyFont="1" applyFill="1" applyBorder="1"/>
    <xf numFmtId="4" fontId="40" fillId="3" borderId="36" xfId="3" applyNumberFormat="1" applyFont="1" applyFill="1" applyBorder="1"/>
    <xf numFmtId="164" fontId="38" fillId="0" borderId="6" xfId="3" applyNumberFormat="1" applyFont="1" applyBorder="1"/>
    <xf numFmtId="164" fontId="38" fillId="0" borderId="26" xfId="3" applyNumberFormat="1" applyFont="1" applyBorder="1"/>
    <xf numFmtId="0" fontId="38" fillId="0" borderId="24" xfId="3" applyFont="1" applyBorder="1"/>
    <xf numFmtId="0" fontId="38" fillId="0" borderId="24" xfId="3" applyFont="1" applyBorder="1" applyAlignment="1">
      <alignment vertical="center" wrapText="1"/>
    </xf>
    <xf numFmtId="0" fontId="38" fillId="0" borderId="26" xfId="3" applyFont="1" applyBorder="1" applyAlignment="1">
      <alignment vertical="center" wrapText="1"/>
    </xf>
    <xf numFmtId="2" fontId="38" fillId="0" borderId="24" xfId="3" applyNumberFormat="1" applyFont="1" applyBorder="1" applyAlignment="1">
      <alignment vertical="center" wrapText="1"/>
    </xf>
    <xf numFmtId="2" fontId="38" fillId="0" borderId="25" xfId="3" applyNumberFormat="1" applyFont="1" applyBorder="1" applyAlignment="1">
      <alignment vertical="center" wrapText="1"/>
    </xf>
    <xf numFmtId="0" fontId="40" fillId="3" borderId="37" xfId="3" applyFont="1" applyFill="1" applyBorder="1" applyAlignment="1">
      <alignment horizontal="right"/>
    </xf>
    <xf numFmtId="0" fontId="38" fillId="0" borderId="19" xfId="3" applyFont="1" applyBorder="1"/>
    <xf numFmtId="0" fontId="38" fillId="0" borderId="34" xfId="3" applyFont="1" applyBorder="1" applyAlignment="1">
      <alignment vertical="center" wrapText="1"/>
    </xf>
    <xf numFmtId="2" fontId="38" fillId="0" borderId="19" xfId="3" applyNumberFormat="1" applyFont="1" applyBorder="1" applyAlignment="1">
      <alignment vertical="center" wrapText="1"/>
    </xf>
    <xf numFmtId="0" fontId="38" fillId="0" borderId="19" xfId="3" applyFont="1" applyBorder="1" applyAlignment="1">
      <alignment vertical="center" wrapText="1"/>
    </xf>
    <xf numFmtId="2" fontId="38" fillId="0" borderId="12" xfId="3" applyNumberFormat="1" applyFont="1" applyBorder="1" applyAlignment="1">
      <alignment vertical="center" wrapText="1"/>
    </xf>
    <xf numFmtId="4" fontId="40" fillId="3" borderId="62" xfId="3" applyNumberFormat="1" applyFont="1" applyFill="1" applyBorder="1"/>
    <xf numFmtId="0" fontId="46" fillId="0" borderId="6" xfId="3" applyBorder="1"/>
    <xf numFmtId="0" fontId="46" fillId="0" borderId="1" xfId="3" applyBorder="1"/>
    <xf numFmtId="0" fontId="46" fillId="0" borderId="7" xfId="3" applyBorder="1"/>
    <xf numFmtId="164" fontId="38" fillId="0" borderId="18" xfId="3" applyNumberFormat="1" applyFont="1" applyBorder="1" applyAlignment="1">
      <alignment vertical="center" wrapText="1"/>
    </xf>
    <xf numFmtId="164" fontId="38" fillId="0" borderId="23" xfId="3" applyNumberFormat="1" applyFont="1" applyBorder="1" applyAlignment="1">
      <alignment vertical="center" wrapText="1"/>
    </xf>
    <xf numFmtId="2" fontId="38" fillId="0" borderId="6" xfId="3" applyNumberFormat="1" applyFont="1" applyBorder="1"/>
    <xf numFmtId="2" fontId="38" fillId="0" borderId="6" xfId="3" applyNumberFormat="1" applyFont="1" applyBorder="1" applyAlignment="1">
      <alignment vertical="center" wrapText="1"/>
    </xf>
    <xf numFmtId="164" fontId="38" fillId="0" borderId="8" xfId="3" applyNumberFormat="1" applyFont="1" applyBorder="1" applyAlignment="1">
      <alignment horizontal="right"/>
    </xf>
    <xf numFmtId="1" fontId="38" fillId="0" borderId="6" xfId="3" applyNumberFormat="1" applyFont="1" applyBorder="1" applyAlignment="1">
      <alignment vertical="center" wrapText="1"/>
    </xf>
    <xf numFmtId="166" fontId="38" fillId="0" borderId="6" xfId="3" applyNumberFormat="1" applyFont="1" applyBorder="1" applyAlignment="1">
      <alignment vertical="center" wrapText="1"/>
    </xf>
    <xf numFmtId="0" fontId="41" fillId="0" borderId="0" xfId="3" applyFont="1" applyAlignment="1">
      <alignment vertical="center" wrapText="1"/>
    </xf>
    <xf numFmtId="0" fontId="38" fillId="0" borderId="0" xfId="3" applyFont="1" applyAlignment="1">
      <alignment vertical="center"/>
    </xf>
    <xf numFmtId="4" fontId="7" fillId="0" borderId="0" xfId="0" applyNumberFormat="1" applyFont="1"/>
    <xf numFmtId="2" fontId="7" fillId="0" borderId="0" xfId="0" applyNumberFormat="1" applyFont="1" applyAlignment="1">
      <alignment horizontal="center"/>
    </xf>
    <xf numFmtId="0" fontId="47" fillId="0" borderId="0" xfId="0" applyFont="1"/>
    <xf numFmtId="9" fontId="30" fillId="0" borderId="1" xfId="0" applyNumberFormat="1" applyFont="1" applyBorder="1" applyAlignment="1">
      <alignment horizontal="center" vertical="center" wrapText="1"/>
    </xf>
    <xf numFmtId="9" fontId="30" fillId="0" borderId="1" xfId="0" applyNumberFormat="1" applyFont="1" applyBorder="1" applyAlignment="1">
      <alignment horizontal="center"/>
    </xf>
    <xf numFmtId="0" fontId="48" fillId="0" borderId="0" xfId="0" applyFont="1"/>
    <xf numFmtId="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51" fillId="0" borderId="0" xfId="4" applyFont="1" applyAlignment="1">
      <alignment horizontal="right"/>
    </xf>
    <xf numFmtId="0" fontId="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52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left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3" fontId="7" fillId="12" borderId="1" xfId="0" applyNumberFormat="1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wrapText="1"/>
    </xf>
    <xf numFmtId="2" fontId="7" fillId="12" borderId="1" xfId="0" applyNumberFormat="1" applyFont="1" applyFill="1" applyBorder="1" applyAlignment="1">
      <alignment horizontal="center" wrapText="1"/>
    </xf>
    <xf numFmtId="49" fontId="29" fillId="12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49" fontId="29" fillId="0" borderId="1" xfId="0" applyNumberFormat="1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left" wrapText="1"/>
    </xf>
    <xf numFmtId="2" fontId="30" fillId="0" borderId="1" xfId="0" applyNumberFormat="1" applyFont="1" applyBorder="1" applyAlignment="1">
      <alignment horizontal="center" wrapText="1"/>
    </xf>
    <xf numFmtId="49" fontId="50" fillId="0" borderId="1" xfId="0" applyNumberFormat="1" applyFont="1" applyBorder="1" applyAlignment="1">
      <alignment horizontal="left" wrapText="1"/>
    </xf>
    <xf numFmtId="0" fontId="51" fillId="0" borderId="1" xfId="0" applyFont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/>
    </xf>
    <xf numFmtId="4" fontId="31" fillId="12" borderId="1" xfId="0" applyNumberFormat="1" applyFont="1" applyFill="1" applyBorder="1" applyAlignment="1">
      <alignment horizontal="center" vertical="center"/>
    </xf>
    <xf numFmtId="164" fontId="31" fillId="12" borderId="1" xfId="0" applyNumberFormat="1" applyFont="1" applyFill="1" applyBorder="1" applyAlignment="1">
      <alignment horizontal="center" vertical="center"/>
    </xf>
    <xf numFmtId="0" fontId="52" fillId="12" borderId="1" xfId="0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wrapText="1"/>
    </xf>
    <xf numFmtId="0" fontId="31" fillId="0" borderId="1" xfId="0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wrapText="1"/>
    </xf>
    <xf numFmtId="0" fontId="52" fillId="0" borderId="68" xfId="0" applyFont="1" applyBorder="1"/>
    <xf numFmtId="0" fontId="52" fillId="0" borderId="68" xfId="0" applyFont="1" applyBorder="1" applyAlignment="1">
      <alignment horizontal="center"/>
    </xf>
    <xf numFmtId="4" fontId="52" fillId="0" borderId="68" xfId="0" applyNumberFormat="1" applyFont="1" applyBorder="1"/>
    <xf numFmtId="2" fontId="52" fillId="0" borderId="68" xfId="0" applyNumberFormat="1" applyFont="1" applyBorder="1" applyAlignment="1">
      <alignment horizontal="center"/>
    </xf>
    <xf numFmtId="4" fontId="52" fillId="0" borderId="68" xfId="0" applyNumberFormat="1" applyFont="1" applyBorder="1" applyAlignment="1">
      <alignment horizontal="center"/>
    </xf>
    <xf numFmtId="0" fontId="52" fillId="0" borderId="69" xfId="0" applyFont="1" applyBorder="1" applyAlignment="1">
      <alignment horizontal="center"/>
    </xf>
    <xf numFmtId="0" fontId="51" fillId="0" borderId="68" xfId="0" applyFont="1" applyBorder="1" applyAlignment="1">
      <alignment wrapText="1"/>
    </xf>
    <xf numFmtId="0" fontId="7" fillId="12" borderId="70" xfId="0" applyFont="1" applyFill="1" applyBorder="1" applyAlignment="1">
      <alignment horizontal="center" wrapText="1"/>
    </xf>
    <xf numFmtId="2" fontId="7" fillId="12" borderId="70" xfId="0" applyNumberFormat="1" applyFont="1" applyFill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49" fontId="7" fillId="12" borderId="1" xfId="0" applyNumberFormat="1" applyFont="1" applyFill="1" applyBorder="1" applyAlignment="1">
      <alignment horizontal="center" wrapText="1"/>
    </xf>
    <xf numFmtId="0" fontId="31" fillId="12" borderId="1" xfId="0" applyFont="1" applyFill="1" applyBorder="1" applyAlignment="1">
      <alignment horizontal="center"/>
    </xf>
    <xf numFmtId="4" fontId="31" fillId="12" borderId="1" xfId="0" applyNumberFormat="1" applyFont="1" applyFill="1" applyBorder="1" applyAlignment="1">
      <alignment horizontal="center"/>
    </xf>
    <xf numFmtId="164" fontId="31" fillId="12" borderId="1" xfId="0" applyNumberFormat="1" applyFont="1" applyFill="1" applyBorder="1" applyAlignment="1">
      <alignment horizontal="center"/>
    </xf>
    <xf numFmtId="4" fontId="52" fillId="12" borderId="1" xfId="0" applyNumberFormat="1" applyFont="1" applyFill="1" applyBorder="1" applyAlignment="1">
      <alignment horizontal="center"/>
    </xf>
    <xf numFmtId="49" fontId="49" fillId="12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49" fontId="49" fillId="0" borderId="1" xfId="0" applyNumberFormat="1" applyFont="1" applyBorder="1" applyAlignment="1">
      <alignment horizontal="left" wrapText="1"/>
    </xf>
    <xf numFmtId="4" fontId="52" fillId="0" borderId="69" xfId="0" applyNumberFormat="1" applyFont="1" applyBorder="1" applyAlignment="1">
      <alignment horizontal="center"/>
    </xf>
    <xf numFmtId="2" fontId="2" fillId="0" borderId="0" xfId="0" applyNumberFormat="1" applyFont="1" applyFill="1"/>
    <xf numFmtId="4" fontId="2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right"/>
    </xf>
    <xf numFmtId="3" fontId="1" fillId="2" borderId="13" xfId="0" applyNumberFormat="1" applyFont="1" applyFill="1" applyBorder="1"/>
    <xf numFmtId="3" fontId="1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54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4" fillId="0" borderId="0" xfId="0" applyNumberFormat="1" applyFont="1" applyAlignment="1">
      <alignment vertical="center" wrapText="1"/>
    </xf>
    <xf numFmtId="0" fontId="1" fillId="4" borderId="0" xfId="0" applyFont="1" applyFill="1"/>
    <xf numFmtId="0" fontId="17" fillId="0" borderId="0" xfId="0" applyFont="1"/>
    <xf numFmtId="0" fontId="2" fillId="4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4" fontId="55" fillId="0" borderId="34" xfId="0" applyNumberFormat="1" applyFont="1" applyBorder="1" applyAlignment="1">
      <alignment horizontal="center" vertical="center" wrapText="1"/>
    </xf>
    <xf numFmtId="4" fontId="5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2" fillId="0" borderId="1" xfId="0" applyNumberFormat="1" applyFont="1" applyBorder="1"/>
    <xf numFmtId="3" fontId="2" fillId="0" borderId="6" xfId="0" applyNumberFormat="1" applyFont="1" applyBorder="1" applyAlignment="1">
      <alignment horizontal="center"/>
    </xf>
    <xf numFmtId="49" fontId="1" fillId="4" borderId="0" xfId="0" applyNumberFormat="1" applyFont="1" applyFill="1"/>
    <xf numFmtId="4" fontId="1" fillId="4" borderId="0" xfId="0" applyNumberFormat="1" applyFont="1" applyFill="1"/>
    <xf numFmtId="0" fontId="7" fillId="0" borderId="57" xfId="0" applyFont="1" applyBorder="1" applyAlignment="1">
      <alignment horizontal="left" vertical="center" wrapText="1"/>
    </xf>
    <xf numFmtId="0" fontId="7" fillId="4" borderId="71" xfId="0" applyFont="1" applyFill="1" applyBorder="1" applyAlignment="1">
      <alignment horizontal="left" vertical="center" wrapText="1"/>
    </xf>
    <xf numFmtId="0" fontId="7" fillId="4" borderId="57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49" fontId="2" fillId="0" borderId="13" xfId="0" applyNumberFormat="1" applyFont="1" applyBorder="1"/>
    <xf numFmtId="0" fontId="7" fillId="4" borderId="44" xfId="0" applyFont="1" applyFill="1" applyBorder="1" applyAlignment="1">
      <alignment vertical="center" wrapText="1"/>
    </xf>
    <xf numFmtId="4" fontId="1" fillId="0" borderId="13" xfId="0" applyNumberFormat="1" applyFont="1" applyBorder="1" applyAlignment="1">
      <alignment wrapText="1"/>
    </xf>
    <xf numFmtId="4" fontId="1" fillId="0" borderId="11" xfId="0" applyNumberFormat="1" applyFont="1" applyBorder="1"/>
    <xf numFmtId="49" fontId="2" fillId="0" borderId="19" xfId="0" applyNumberFormat="1" applyFont="1" applyBorder="1"/>
    <xf numFmtId="4" fontId="1" fillId="0" borderId="19" xfId="0" applyNumberFormat="1" applyFont="1" applyBorder="1" applyAlignment="1">
      <alignment wrapText="1"/>
    </xf>
    <xf numFmtId="49" fontId="2" fillId="0" borderId="35" xfId="0" applyNumberFormat="1" applyFont="1" applyBorder="1"/>
    <xf numFmtId="4" fontId="1" fillId="0" borderId="35" xfId="0" applyNumberFormat="1" applyFont="1" applyBorder="1" applyAlignment="1">
      <alignment wrapText="1"/>
    </xf>
    <xf numFmtId="4" fontId="1" fillId="0" borderId="36" xfId="0" applyNumberFormat="1" applyFont="1" applyBorder="1"/>
    <xf numFmtId="4" fontId="1" fillId="0" borderId="13" xfId="0" applyNumberFormat="1" applyFont="1" applyBorder="1"/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3" borderId="0" xfId="0" applyFont="1" applyFill="1"/>
    <xf numFmtId="0" fontId="2" fillId="0" borderId="2" xfId="0" applyFont="1" applyBorder="1" applyAlignment="1">
      <alignment horizontal="left"/>
    </xf>
    <xf numFmtId="4" fontId="9" fillId="0" borderId="1" xfId="0" applyNumberFormat="1" applyFont="1" applyBorder="1"/>
    <xf numFmtId="0" fontId="5" fillId="0" borderId="1" xfId="0" applyFont="1" applyBorder="1" applyAlignment="1">
      <alignment horizontal="justify" vertical="center" wrapText="1"/>
    </xf>
    <xf numFmtId="4" fontId="9" fillId="0" borderId="7" xfId="0" applyNumberFormat="1" applyFont="1" applyBorder="1"/>
    <xf numFmtId="4" fontId="2" fillId="0" borderId="1" xfId="0" applyNumberFormat="1" applyFont="1" applyBorder="1" applyAlignment="1">
      <alignment horizontal="right"/>
    </xf>
    <xf numFmtId="0" fontId="56" fillId="0" borderId="1" xfId="0" applyFont="1" applyBorder="1" applyAlignment="1">
      <alignment horizontal="justify" vertical="center" wrapText="1"/>
    </xf>
    <xf numFmtId="0" fontId="56" fillId="0" borderId="7" xfId="0" applyFont="1" applyBorder="1" applyAlignment="1">
      <alignment vertical="center"/>
    </xf>
    <xf numFmtId="0" fontId="2" fillId="3" borderId="7" xfId="0" applyFont="1" applyFill="1" applyBorder="1" applyAlignment="1">
      <alignment horizontal="right" wrapText="1"/>
    </xf>
    <xf numFmtId="0" fontId="56" fillId="0" borderId="7" xfId="0" applyFont="1" applyBorder="1"/>
    <xf numFmtId="0" fontId="2" fillId="3" borderId="12" xfId="0" applyFont="1" applyFill="1" applyBorder="1" applyAlignment="1">
      <alignment horizontal="right" wrapText="1"/>
    </xf>
    <xf numFmtId="168" fontId="2" fillId="13" borderId="6" xfId="0" applyNumberFormat="1" applyFont="1" applyFill="1" applyBorder="1"/>
    <xf numFmtId="168" fontId="9" fillId="4" borderId="6" xfId="0" applyNumberFormat="1" applyFont="1" applyFill="1" applyBorder="1"/>
    <xf numFmtId="168" fontId="2" fillId="0" borderId="6" xfId="0" applyNumberFormat="1" applyFont="1" applyBorder="1" applyAlignment="1">
      <alignment horizontal="center"/>
    </xf>
    <xf numFmtId="168" fontId="2" fillId="0" borderId="31" xfId="0" applyNumberFormat="1" applyFont="1" applyBorder="1" applyAlignment="1">
      <alignment horizontal="center"/>
    </xf>
    <xf numFmtId="49" fontId="2" fillId="0" borderId="0" xfId="0" applyNumberFormat="1" applyFont="1"/>
    <xf numFmtId="4" fontId="2" fillId="11" borderId="16" xfId="0" applyNumberFormat="1" applyFont="1" applyFill="1" applyBorder="1"/>
    <xf numFmtId="4" fontId="2" fillId="11" borderId="7" xfId="0" applyNumberFormat="1" applyFont="1" applyFill="1" applyBorder="1"/>
    <xf numFmtId="4" fontId="2" fillId="11" borderId="1" xfId="0" applyNumberFormat="1" applyFont="1" applyFill="1" applyBorder="1"/>
    <xf numFmtId="4" fontId="5" fillId="11" borderId="9" xfId="0" applyNumberFormat="1" applyFont="1" applyFill="1" applyBorder="1"/>
    <xf numFmtId="2" fontId="34" fillId="9" borderId="1" xfId="0" applyNumberFormat="1" applyFont="1" applyFill="1" applyBorder="1" applyAlignment="1">
      <alignment horizontal="center" vertical="center"/>
    </xf>
    <xf numFmtId="2" fontId="34" fillId="9" borderId="7" xfId="0" applyNumberFormat="1" applyFont="1" applyFill="1" applyBorder="1" applyAlignment="1">
      <alignment horizontal="center" vertical="center"/>
    </xf>
    <xf numFmtId="170" fontId="57" fillId="11" borderId="1" xfId="0" applyNumberFormat="1" applyFont="1" applyFill="1" applyBorder="1" applyAlignment="1">
      <alignment horizontal="center" vertical="center"/>
    </xf>
    <xf numFmtId="4" fontId="7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/>
    <xf numFmtId="0" fontId="34" fillId="11" borderId="1" xfId="0" applyFont="1" applyFill="1" applyBorder="1" applyAlignment="1">
      <alignment horizontal="center" vertical="center"/>
    </xf>
    <xf numFmtId="170" fontId="57" fillId="11" borderId="9" xfId="0" applyNumberFormat="1" applyFont="1" applyFill="1" applyBorder="1" applyAlignment="1">
      <alignment horizontal="center" vertical="center"/>
    </xf>
    <xf numFmtId="0" fontId="2" fillId="11" borderId="18" xfId="0" applyFont="1" applyFill="1" applyBorder="1"/>
    <xf numFmtId="1" fontId="2" fillId="11" borderId="18" xfId="0" applyNumberFormat="1" applyFont="1" applyFill="1" applyBorder="1"/>
    <xf numFmtId="0" fontId="1" fillId="2" borderId="0" xfId="0" applyFont="1" applyFill="1" applyBorder="1"/>
    <xf numFmtId="4" fontId="1" fillId="2" borderId="0" xfId="0" applyNumberFormat="1" applyFont="1" applyFill="1" applyBorder="1"/>
    <xf numFmtId="0" fontId="1" fillId="3" borderId="49" xfId="0" applyFont="1" applyFill="1" applyBorder="1" applyAlignment="1">
      <alignment horizontal="right"/>
    </xf>
    <xf numFmtId="3" fontId="1" fillId="3" borderId="13" xfId="0" applyNumberFormat="1" applyFont="1" applyFill="1" applyBorder="1"/>
    <xf numFmtId="0" fontId="2" fillId="3" borderId="0" xfId="0" applyFont="1" applyFill="1"/>
    <xf numFmtId="0" fontId="43" fillId="3" borderId="0" xfId="0" applyFont="1" applyFill="1"/>
    <xf numFmtId="4" fontId="43" fillId="3" borderId="0" xfId="0" applyNumberFormat="1" applyFont="1" applyFill="1"/>
    <xf numFmtId="4" fontId="1" fillId="2" borderId="13" xfId="0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7" fillId="7" borderId="4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11" borderId="3" xfId="0" applyFont="1" applyFill="1" applyBorder="1" applyAlignment="1">
      <alignment horizontal="center"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/>
    </xf>
    <xf numFmtId="0" fontId="41" fillId="0" borderId="0" xfId="3" applyFont="1" applyAlignment="1">
      <alignment horizontal="left" vertical="center" wrapText="1"/>
    </xf>
    <xf numFmtId="0" fontId="30" fillId="0" borderId="0" xfId="3" applyFont="1" applyAlignment="1">
      <alignment horizontal="center" wrapText="1"/>
    </xf>
    <xf numFmtId="0" fontId="38" fillId="0" borderId="3" xfId="3" applyFont="1" applyBorder="1" applyAlignment="1">
      <alignment horizontal="center" vertical="center" wrapText="1"/>
    </xf>
    <xf numFmtId="0" fontId="38" fillId="0" borderId="31" xfId="3" applyFont="1" applyBorder="1" applyAlignment="1">
      <alignment horizontal="center" vertical="center" wrapText="1"/>
    </xf>
    <xf numFmtId="0" fontId="38" fillId="0" borderId="4" xfId="3" applyFont="1" applyBorder="1" applyAlignment="1">
      <alignment horizontal="center" vertical="center" wrapText="1"/>
    </xf>
    <xf numFmtId="0" fontId="38" fillId="0" borderId="5" xfId="3" applyFont="1" applyBorder="1" applyAlignment="1">
      <alignment horizontal="center" vertical="center" wrapText="1"/>
    </xf>
    <xf numFmtId="0" fontId="38" fillId="0" borderId="21" xfId="3" applyFont="1" applyBorder="1" applyAlignment="1">
      <alignment horizontal="center" vertical="center" wrapText="1"/>
    </xf>
    <xf numFmtId="0" fontId="38" fillId="0" borderId="16" xfId="3" applyFont="1" applyBorder="1" applyAlignment="1">
      <alignment horizontal="center" vertical="center" wrapText="1"/>
    </xf>
    <xf numFmtId="0" fontId="38" fillId="0" borderId="17" xfId="3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</cellXfs>
  <cellStyles count="5">
    <cellStyle name="Normal" xfId="0" builtinId="0"/>
    <cellStyle name="Normal 2" xfId="3" xr:uid="{82A737B7-B7DD-40EC-A7E9-9B3F7617CB6E}"/>
    <cellStyle name="Normal 3" xfId="1" xr:uid="{00000000-0005-0000-0000-000001000000}"/>
    <cellStyle name="Normal 3 2" xfId="4" xr:uid="{F0C12FA9-2BA7-480B-8B12-273EF8D085D3}"/>
    <cellStyle name="Normal 4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5"/>
  <sheetViews>
    <sheetView tabSelected="1" zoomScale="66" zoomScaleNormal="66" zoomScaleSheetLayoutView="80" workbookViewId="0">
      <selection activeCell="U15" sqref="U15"/>
    </sheetView>
  </sheetViews>
  <sheetFormatPr defaultRowHeight="16.5" x14ac:dyDescent="0.25"/>
  <cols>
    <col min="1" max="1" width="58.140625" style="2" customWidth="1"/>
    <col min="2" max="2" width="14" style="2" customWidth="1"/>
    <col min="3" max="3" width="16" style="2" customWidth="1"/>
    <col min="4" max="11" width="14" style="2" customWidth="1"/>
    <col min="12" max="12" width="15.28515625" style="2" customWidth="1"/>
    <col min="13" max="13" width="15.140625" style="2" customWidth="1"/>
    <col min="14" max="19" width="14" style="2" hidden="1" customWidth="1"/>
    <col min="20" max="20" width="17.5703125" style="2" customWidth="1"/>
    <col min="21" max="22" width="15.85546875" style="2" customWidth="1"/>
    <col min="23" max="16384" width="9.140625" style="2"/>
  </cols>
  <sheetData>
    <row r="2" spans="1:19" s="1" customFormat="1" ht="42.75" customHeight="1" x14ac:dyDescent="0.25">
      <c r="A2" s="860" t="s">
        <v>1187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5" spans="1:19" ht="17.25" thickBot="1" x14ac:dyDescent="0.3"/>
    <row r="6" spans="1:19" ht="24" customHeight="1" x14ac:dyDescent="0.25">
      <c r="A6" s="861"/>
      <c r="B6" s="857" t="s">
        <v>2</v>
      </c>
      <c r="C6" s="858"/>
      <c r="D6" s="858"/>
      <c r="E6" s="858"/>
      <c r="F6" s="858"/>
      <c r="G6" s="859"/>
      <c r="H6" s="863" t="s">
        <v>4</v>
      </c>
      <c r="I6" s="864"/>
      <c r="J6" s="864"/>
      <c r="K6" s="864"/>
      <c r="L6" s="864"/>
      <c r="M6" s="865"/>
      <c r="N6" s="857" t="s">
        <v>5</v>
      </c>
      <c r="O6" s="858"/>
      <c r="P6" s="858"/>
      <c r="Q6" s="858"/>
      <c r="R6" s="858"/>
      <c r="S6" s="859"/>
    </row>
    <row r="7" spans="1:19" ht="104.25" customHeight="1" x14ac:dyDescent="0.25">
      <c r="A7" s="862"/>
      <c r="B7" s="3" t="s">
        <v>78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19" s="1" customFormat="1" ht="26.25" customHeight="1" x14ac:dyDescent="0.25">
      <c r="A8" s="770" t="s">
        <v>0</v>
      </c>
      <c r="B8" s="771">
        <f>SUM(B10:B35)</f>
        <v>3412.3268754432456</v>
      </c>
      <c r="C8" s="771"/>
      <c r="D8" s="771"/>
      <c r="E8" s="856">
        <f>E9+E32</f>
        <v>573894.42000000016</v>
      </c>
      <c r="F8" s="856">
        <f t="shared" ref="F8:G8" si="0">F9+F32</f>
        <v>138203.60636399998</v>
      </c>
      <c r="G8" s="856">
        <f t="shared" si="0"/>
        <v>712097.98636400001</v>
      </c>
      <c r="H8" s="771">
        <f>SUM(H10:H35)</f>
        <v>4393.1752560926789</v>
      </c>
      <c r="I8" s="771"/>
      <c r="J8" s="771"/>
      <c r="K8" s="856">
        <f>K9+K32</f>
        <v>591467.80000000005</v>
      </c>
      <c r="L8" s="856">
        <f t="shared" ref="L8:S8" si="1">L9+L32</f>
        <v>143140.93817099999</v>
      </c>
      <c r="M8" s="856">
        <f t="shared" si="1"/>
        <v>737588.95817100001</v>
      </c>
      <c r="N8" s="771">
        <f t="shared" si="1"/>
        <v>0</v>
      </c>
      <c r="O8" s="771">
        <f t="shared" si="1"/>
        <v>0</v>
      </c>
      <c r="P8" s="771">
        <f t="shared" si="1"/>
        <v>0</v>
      </c>
      <c r="Q8" s="771">
        <f t="shared" si="1"/>
        <v>0</v>
      </c>
      <c r="R8" s="771">
        <f t="shared" si="1"/>
        <v>0</v>
      </c>
      <c r="S8" s="771">
        <f t="shared" si="1"/>
        <v>0</v>
      </c>
    </row>
    <row r="9" spans="1:19" s="1" customFormat="1" ht="26.25" customHeight="1" x14ac:dyDescent="0.25">
      <c r="A9" s="851"/>
      <c r="B9" s="852"/>
      <c r="C9" s="852"/>
      <c r="D9" s="852"/>
      <c r="E9" s="127">
        <f>ROUND(SUM(E10:E31),2)</f>
        <v>280376.69</v>
      </c>
      <c r="F9" s="127">
        <f>ROUND(SUM(F10:F31),2)</f>
        <v>67535.91</v>
      </c>
      <c r="G9" s="127">
        <f>ROUND(SUM(G10:G31),2)</f>
        <v>347912.56</v>
      </c>
      <c r="H9" s="852"/>
      <c r="I9" s="852"/>
      <c r="J9" s="852"/>
      <c r="K9" s="127">
        <f>ROUND(SUM(K10:K31),2)</f>
        <v>374401.6</v>
      </c>
      <c r="L9" s="127">
        <f t="shared" ref="L9:M9" si="2">ROUND(SUM(L10:L31),2)</f>
        <v>90887.78</v>
      </c>
      <c r="M9" s="127">
        <f t="shared" si="2"/>
        <v>468269.6</v>
      </c>
      <c r="N9" s="849"/>
      <c r="O9" s="850"/>
      <c r="P9" s="850"/>
      <c r="Q9" s="850"/>
      <c r="R9" s="850"/>
      <c r="S9" s="850"/>
    </row>
    <row r="10" spans="1:19" x14ac:dyDescent="0.25">
      <c r="A10" s="233" t="s">
        <v>1010</v>
      </c>
      <c r="B10" s="134">
        <v>23.218749999999993</v>
      </c>
      <c r="C10" s="134"/>
      <c r="D10" s="134"/>
      <c r="E10" s="134">
        <f>BKUS!J9</f>
        <v>11577.79</v>
      </c>
      <c r="F10" s="134">
        <f>BKUS!K9</f>
        <v>2789.0800000000004</v>
      </c>
      <c r="G10" s="134">
        <f>BKUS!L9</f>
        <v>14366.869999999999</v>
      </c>
      <c r="H10" s="134">
        <v>45.098101265822784</v>
      </c>
      <c r="I10" s="134"/>
      <c r="J10" s="134"/>
      <c r="K10" s="134">
        <f>BKUS!R9</f>
        <v>10649.67</v>
      </c>
      <c r="L10" s="134">
        <f>BKUS!S9</f>
        <v>2565.5000000000005</v>
      </c>
      <c r="M10" s="134">
        <f>BKUS!T9</f>
        <v>13215.17</v>
      </c>
    </row>
    <row r="11" spans="1:19" x14ac:dyDescent="0.25">
      <c r="A11" s="233" t="s">
        <v>1011</v>
      </c>
      <c r="B11" s="134">
        <v>119.41032818181817</v>
      </c>
      <c r="C11" s="134"/>
      <c r="D11" s="134"/>
      <c r="E11" s="134">
        <f>PSKUS!E9</f>
        <v>36625.480000000003</v>
      </c>
      <c r="F11" s="134">
        <f>PSKUS!F9</f>
        <v>8823.0781319999987</v>
      </c>
      <c r="G11" s="134">
        <f>PSKUS!G9</f>
        <v>45448.520000000004</v>
      </c>
      <c r="H11" s="134">
        <v>264.23101265822788</v>
      </c>
      <c r="I11" s="134"/>
      <c r="J11" s="134"/>
      <c r="K11" s="134">
        <f>PSKUS!K9</f>
        <v>47206.5</v>
      </c>
      <c r="L11" s="134">
        <f>PSKUS!L9</f>
        <v>11372.045849999997</v>
      </c>
      <c r="M11" s="134">
        <f>PSKUS!M9</f>
        <v>58578.559999999998</v>
      </c>
    </row>
    <row r="12" spans="1:19" x14ac:dyDescent="0.25">
      <c r="A12" s="233" t="s">
        <v>1012</v>
      </c>
      <c r="B12" s="134">
        <v>566.02499999999998</v>
      </c>
      <c r="C12" s="134"/>
      <c r="D12" s="134"/>
      <c r="E12" s="134">
        <f>RAKUS!E9</f>
        <v>202971.10000000003</v>
      </c>
      <c r="F12" s="134">
        <f>RAKUS!F9</f>
        <v>48895.83</v>
      </c>
      <c r="G12" s="134">
        <f>RAKUS!G9</f>
        <v>251866.92999999982</v>
      </c>
      <c r="H12" s="134">
        <v>916.43500000000006</v>
      </c>
      <c r="I12" s="134"/>
      <c r="J12" s="134"/>
      <c r="K12" s="134">
        <f>RAKUS!K9</f>
        <v>172020.87000000008</v>
      </c>
      <c r="L12" s="134">
        <f>RAKUS!L9</f>
        <v>41440.080000000024</v>
      </c>
      <c r="M12" s="134">
        <f>RAKUS!M9</f>
        <v>213460.9499999999</v>
      </c>
      <c r="N12" s="28"/>
      <c r="O12" s="28"/>
      <c r="P12" s="28"/>
      <c r="Q12" s="28"/>
      <c r="R12" s="28"/>
      <c r="S12" s="28"/>
    </row>
    <row r="13" spans="1:19" x14ac:dyDescent="0.25">
      <c r="A13" s="233" t="s">
        <v>1013</v>
      </c>
      <c r="B13" s="134">
        <v>48.972740443246067</v>
      </c>
      <c r="C13" s="134"/>
      <c r="D13" s="134"/>
      <c r="E13" s="134">
        <f>'Jūrm_prec.18.05.'!F9</f>
        <v>19565.426763276646</v>
      </c>
      <c r="F13" s="134">
        <f>'Jūrm_prec.18.05.'!G9</f>
        <v>4713.3113072733449</v>
      </c>
      <c r="G13" s="134">
        <f>'Jūrm_prec.18.05.'!H9</f>
        <v>24278.738070549989</v>
      </c>
      <c r="H13" s="134">
        <v>109.00491717203107</v>
      </c>
      <c r="I13" s="134"/>
      <c r="J13" s="134"/>
      <c r="K13" s="134">
        <f>'Jūrm_prec.18.05.'!L9</f>
        <v>21439.190395877911</v>
      </c>
      <c r="L13" s="134">
        <f>'Jūrm_prec.18.05.'!M9</f>
        <v>5164.7009663669887</v>
      </c>
      <c r="M13" s="134">
        <f>'Jūrm_prec.18.05.'!N9</f>
        <v>26603.891362244896</v>
      </c>
    </row>
    <row r="14" spans="1:19" x14ac:dyDescent="0.25">
      <c r="A14" s="233" t="s">
        <v>1014</v>
      </c>
      <c r="B14" s="134"/>
      <c r="C14" s="134"/>
      <c r="D14" s="134"/>
      <c r="E14" s="134"/>
      <c r="F14" s="134"/>
      <c r="G14" s="134"/>
      <c r="H14" s="134">
        <v>117.42721518987342</v>
      </c>
      <c r="I14" s="134"/>
      <c r="J14" s="134"/>
      <c r="K14" s="134">
        <f>Vidzem!K9</f>
        <v>19882.670000000002</v>
      </c>
      <c r="L14" s="134">
        <f>Vidzem!L9</f>
        <v>4789.7352029999993</v>
      </c>
      <c r="M14" s="134">
        <f>Vidzem!M9</f>
        <v>24672.405203000002</v>
      </c>
    </row>
    <row r="15" spans="1:19" x14ac:dyDescent="0.25">
      <c r="A15" s="233" t="s">
        <v>1016</v>
      </c>
      <c r="B15" s="134"/>
      <c r="C15" s="134"/>
      <c r="D15" s="134"/>
      <c r="E15" s="134"/>
      <c r="F15" s="134"/>
      <c r="G15" s="134"/>
      <c r="H15" s="134">
        <v>29.270000000000003</v>
      </c>
      <c r="I15" s="134"/>
      <c r="J15" s="134"/>
      <c r="K15" s="134">
        <f>Aluksn!K9</f>
        <v>7015.8044200000004</v>
      </c>
      <c r="L15" s="134">
        <f>Aluksn!L9</f>
        <v>1690.1072847780001</v>
      </c>
      <c r="M15" s="134">
        <f>Aluksn!M9</f>
        <v>8705.9117047780001</v>
      </c>
    </row>
    <row r="16" spans="1:19" x14ac:dyDescent="0.25">
      <c r="A16" s="233" t="s">
        <v>1017</v>
      </c>
      <c r="B16" s="134"/>
      <c r="C16" s="134"/>
      <c r="D16" s="134"/>
      <c r="E16" s="134"/>
      <c r="F16" s="134"/>
      <c r="G16" s="134"/>
      <c r="H16" s="134">
        <v>37.337514384349831</v>
      </c>
      <c r="I16" s="134"/>
      <c r="J16" s="134"/>
      <c r="K16" s="134">
        <f>Balv!K9</f>
        <v>10509.320000000002</v>
      </c>
      <c r="L16" s="134">
        <f>Balv!L9</f>
        <v>2531.7000000000003</v>
      </c>
      <c r="M16" s="134">
        <f>Balv!M9</f>
        <v>13041.019999999997</v>
      </c>
    </row>
    <row r="17" spans="1:14" x14ac:dyDescent="0.25">
      <c r="A17" s="233" t="s">
        <v>1019</v>
      </c>
      <c r="B17" s="134"/>
      <c r="C17" s="134"/>
      <c r="D17" s="134"/>
      <c r="E17" s="134"/>
      <c r="F17" s="134"/>
      <c r="G17" s="134"/>
      <c r="H17" s="134">
        <v>110.07</v>
      </c>
      <c r="I17" s="134"/>
      <c r="J17" s="134"/>
      <c r="K17" s="134">
        <f>Cēsis!K9</f>
        <v>19111.599999999999</v>
      </c>
      <c r="L17" s="134">
        <f>Cēsis!L9</f>
        <v>4603.97</v>
      </c>
      <c r="M17" s="134">
        <f>Cēsis!M9</f>
        <v>23715.57</v>
      </c>
    </row>
    <row r="18" spans="1:14" x14ac:dyDescent="0.25">
      <c r="A18" s="233" t="s">
        <v>1020</v>
      </c>
      <c r="B18" s="134"/>
      <c r="C18" s="134"/>
      <c r="D18" s="134"/>
      <c r="E18" s="134"/>
      <c r="F18" s="134"/>
      <c r="G18" s="134"/>
      <c r="H18" s="134">
        <v>22.259472047999999</v>
      </c>
      <c r="I18" s="134"/>
      <c r="J18" s="134"/>
      <c r="K18" s="134">
        <f>'R.2.sl.'!K9</f>
        <v>4377.2999999999993</v>
      </c>
      <c r="L18" s="134">
        <f>'R.2.sl.'!L9</f>
        <v>1054.492776</v>
      </c>
      <c r="M18" s="134">
        <f>'R.2.sl.'!M9</f>
        <v>5431.7927760000002</v>
      </c>
    </row>
    <row r="19" spans="1:14" x14ac:dyDescent="0.25">
      <c r="A19" s="233" t="s">
        <v>1021</v>
      </c>
      <c r="B19" s="134"/>
      <c r="C19" s="134"/>
      <c r="D19" s="134"/>
      <c r="E19" s="134"/>
      <c r="F19" s="134"/>
      <c r="G19" s="134"/>
      <c r="H19" s="134">
        <v>0.90303999999999995</v>
      </c>
      <c r="I19" s="134"/>
      <c r="J19" s="134"/>
      <c r="K19" s="134">
        <f>'R.DzN'!K9</f>
        <v>203.70738392000001</v>
      </c>
      <c r="L19" s="134">
        <f>'R.DzN'!L9</f>
        <v>49.073108786328007</v>
      </c>
      <c r="M19" s="134">
        <f>'R.DzN'!M9</f>
        <v>252.780492706328</v>
      </c>
    </row>
    <row r="20" spans="1:14" x14ac:dyDescent="0.25">
      <c r="A20" s="233" t="s">
        <v>1022</v>
      </c>
      <c r="B20" s="134">
        <v>1</v>
      </c>
      <c r="C20" s="134"/>
      <c r="D20" s="134"/>
      <c r="E20" s="134">
        <f>RPNC!E10</f>
        <v>202.39</v>
      </c>
      <c r="F20" s="134">
        <f>RPNC!F10</f>
        <v>48.76</v>
      </c>
      <c r="G20" s="134">
        <f>RPNC!G10</f>
        <v>251.15</v>
      </c>
      <c r="H20" s="134">
        <f>RPNC!H10</f>
        <v>53.449367088607602</v>
      </c>
      <c r="I20" s="134"/>
      <c r="J20" s="134"/>
      <c r="K20" s="134">
        <f>RPNC!K10</f>
        <v>5227.29</v>
      </c>
      <c r="L20" s="134">
        <f>RPNC!L10</f>
        <v>1259.2737910000001</v>
      </c>
      <c r="M20" s="134">
        <f>RPNC!M10</f>
        <v>6486.5637910000005</v>
      </c>
    </row>
    <row r="21" spans="1:14" x14ac:dyDescent="0.25">
      <c r="A21" s="233" t="s">
        <v>1023</v>
      </c>
      <c r="B21" s="134"/>
      <c r="C21" s="134"/>
      <c r="D21" s="134"/>
      <c r="E21" s="134"/>
      <c r="F21" s="134"/>
      <c r="G21" s="134"/>
      <c r="H21" s="134">
        <v>2.4</v>
      </c>
      <c r="I21" s="134"/>
      <c r="J21" s="134"/>
      <c r="K21" s="134">
        <f>Vaivari!K9</f>
        <v>566.4</v>
      </c>
      <c r="L21" s="134">
        <f>Vaivari!L9</f>
        <v>136.44999999999999</v>
      </c>
      <c r="M21" s="134">
        <f>Vaivari!M9</f>
        <v>702.85</v>
      </c>
    </row>
    <row r="22" spans="1:14" x14ac:dyDescent="0.25">
      <c r="A22" s="233" t="s">
        <v>1024</v>
      </c>
      <c r="B22" s="134"/>
      <c r="C22" s="134"/>
      <c r="D22" s="134"/>
      <c r="E22" s="134"/>
      <c r="F22" s="134"/>
      <c r="G22" s="134"/>
      <c r="H22" s="134">
        <v>7</v>
      </c>
      <c r="I22" s="134"/>
      <c r="J22" s="134"/>
      <c r="K22" s="134">
        <f>Piejura!K9</f>
        <v>1898</v>
      </c>
      <c r="L22" s="134">
        <f>Piejura!L9</f>
        <v>450.55619999999999</v>
      </c>
      <c r="M22" s="134">
        <f>Piejura!M9</f>
        <v>2348.5562</v>
      </c>
    </row>
    <row r="23" spans="1:14" x14ac:dyDescent="0.25">
      <c r="A23" s="233" t="s">
        <v>1025</v>
      </c>
      <c r="B23" s="134"/>
      <c r="C23" s="134"/>
      <c r="D23" s="134"/>
      <c r="E23" s="134"/>
      <c r="F23" s="134"/>
      <c r="G23" s="134"/>
      <c r="H23" s="134">
        <v>42.096014492753618</v>
      </c>
      <c r="I23" s="134"/>
      <c r="J23" s="134"/>
      <c r="K23" s="134">
        <f>Daug_psih!K9</f>
        <v>7458.2594202898554</v>
      </c>
      <c r="L23" s="134">
        <f>Daug_psih!L9</f>
        <v>1783.3259160869568</v>
      </c>
      <c r="M23" s="134">
        <f>Daug_psih!M9</f>
        <v>9241.5853363768128</v>
      </c>
    </row>
    <row r="24" spans="1:14" x14ac:dyDescent="0.25">
      <c r="A24" s="233" t="s">
        <v>1026</v>
      </c>
      <c r="B24" s="134">
        <v>9.2400568181818183</v>
      </c>
      <c r="C24" s="134"/>
      <c r="D24" s="134"/>
      <c r="E24" s="134">
        <f>Rezekne!E9</f>
        <v>3650.280539772727</v>
      </c>
      <c r="F24" s="134">
        <f>Rezekne!F9</f>
        <v>872.40890021306814</v>
      </c>
      <c r="G24" s="134">
        <f>Rezekne!G9</f>
        <v>4522.6894399857956</v>
      </c>
      <c r="H24" s="134">
        <f>Rezekne!H9</f>
        <v>9.9612758161225852</v>
      </c>
      <c r="I24" s="134"/>
      <c r="J24" s="134"/>
      <c r="K24" s="134">
        <f>Rezekne!K9</f>
        <v>1475.4931545636243</v>
      </c>
      <c r="L24" s="134">
        <f>Rezekne!L9</f>
        <v>351.74467814956694</v>
      </c>
      <c r="M24" s="134">
        <f>Rezekne!M9</f>
        <v>1827.2378327131914</v>
      </c>
    </row>
    <row r="25" spans="1:14" x14ac:dyDescent="0.25">
      <c r="A25" s="233" t="s">
        <v>1027</v>
      </c>
      <c r="B25" s="134"/>
      <c r="C25" s="134"/>
      <c r="D25" s="134"/>
      <c r="E25" s="134"/>
      <c r="F25" s="134"/>
      <c r="G25" s="134"/>
      <c r="H25" s="134">
        <v>3</v>
      </c>
      <c r="I25" s="134"/>
      <c r="J25" s="134"/>
      <c r="K25" s="134">
        <f>Kraslava!K9</f>
        <v>761.2</v>
      </c>
      <c r="L25" s="134">
        <f>Kraslava!L9</f>
        <v>183.38</v>
      </c>
      <c r="M25" s="134">
        <f>Kraslava!M9</f>
        <v>944.58</v>
      </c>
    </row>
    <row r="26" spans="1:14" x14ac:dyDescent="0.25">
      <c r="A26" s="233" t="s">
        <v>1028</v>
      </c>
      <c r="B26" s="134"/>
      <c r="C26" s="134"/>
      <c r="D26" s="134"/>
      <c r="E26" s="134"/>
      <c r="F26" s="134"/>
      <c r="G26" s="134"/>
      <c r="H26" s="134">
        <v>10.913154108973206</v>
      </c>
      <c r="I26" s="134"/>
      <c r="J26" s="134"/>
      <c r="K26" s="134">
        <f>Gintermuiza!K9</f>
        <v>9468.9999999999982</v>
      </c>
      <c r="L26" s="134">
        <f>Gintermuiza!L9</f>
        <v>2281.0700000000002</v>
      </c>
      <c r="M26" s="134">
        <f>Gintermuiza!M9</f>
        <v>11750.070000000002</v>
      </c>
    </row>
    <row r="27" spans="1:14" x14ac:dyDescent="0.25">
      <c r="A27" s="233" t="s">
        <v>1029</v>
      </c>
      <c r="B27" s="134"/>
      <c r="C27" s="134"/>
      <c r="D27" s="134"/>
      <c r="E27" s="134"/>
      <c r="F27" s="134"/>
      <c r="G27" s="134"/>
      <c r="H27" s="134">
        <v>27.055879999999998</v>
      </c>
      <c r="I27" s="134"/>
      <c r="J27" s="134"/>
      <c r="K27" s="134">
        <f>Kuldiga!K9</f>
        <v>4272.7277002000001</v>
      </c>
      <c r="L27" s="134">
        <f>Kuldiga!L9</f>
        <v>1029.30921197818</v>
      </c>
      <c r="M27" s="134">
        <f>Kuldiga!M9</f>
        <v>5302.0438222845405</v>
      </c>
    </row>
    <row r="28" spans="1:14" x14ac:dyDescent="0.25">
      <c r="A28" s="233" t="s">
        <v>149</v>
      </c>
      <c r="B28" s="134"/>
      <c r="C28" s="134"/>
      <c r="D28" s="134"/>
      <c r="E28" s="134"/>
      <c r="F28" s="134"/>
      <c r="G28" s="134"/>
      <c r="H28" s="134">
        <v>50.95</v>
      </c>
      <c r="I28" s="134"/>
      <c r="J28" s="134"/>
      <c r="K28" s="134">
        <f>Jelgava!M9</f>
        <v>12265.97</v>
      </c>
      <c r="L28" s="134">
        <f>Jelgava!N9</f>
        <v>2954.87</v>
      </c>
      <c r="M28" s="134">
        <f>Jelgava!O9</f>
        <v>15220.84</v>
      </c>
      <c r="N28" s="2">
        <v>15220.84</v>
      </c>
    </row>
    <row r="29" spans="1:14" x14ac:dyDescent="0.25">
      <c r="A29" s="233" t="s">
        <v>1030</v>
      </c>
      <c r="B29" s="134">
        <v>14.55</v>
      </c>
      <c r="C29" s="134"/>
      <c r="D29" s="134"/>
      <c r="E29" s="134">
        <f>Ogre!E12</f>
        <v>3713.25</v>
      </c>
      <c r="F29" s="134">
        <f>Ogre!F12</f>
        <v>894.53</v>
      </c>
      <c r="G29" s="134">
        <f>Ogre!G12</f>
        <v>4607.7800000000007</v>
      </c>
      <c r="H29" s="134">
        <f>Ogre!H12</f>
        <v>68.642531645569605</v>
      </c>
      <c r="I29" s="134"/>
      <c r="J29" s="134"/>
      <c r="K29" s="134">
        <f>Ogre!K12</f>
        <v>16714.190000000002</v>
      </c>
      <c r="L29" s="134">
        <f>Ogre!L12</f>
        <v>4026.46</v>
      </c>
      <c r="M29" s="134">
        <f>Ogre!M12</f>
        <v>20740.649999999998</v>
      </c>
    </row>
    <row r="30" spans="1:14" x14ac:dyDescent="0.25">
      <c r="A30" s="233" t="s">
        <v>1031</v>
      </c>
      <c r="B30" s="134"/>
      <c r="C30" s="134"/>
      <c r="D30" s="134"/>
      <c r="E30" s="134"/>
      <c r="F30" s="134"/>
      <c r="G30" s="134"/>
      <c r="H30" s="134">
        <v>10</v>
      </c>
      <c r="I30" s="134"/>
      <c r="J30" s="134"/>
      <c r="K30" s="134">
        <f>Jekabp!K9</f>
        <v>1705.1509999999998</v>
      </c>
      <c r="L30" s="134">
        <f>Jekabp!L9</f>
        <v>410.77087590000002</v>
      </c>
      <c r="M30" s="134">
        <f>Jekabp!M9</f>
        <v>2115.9218759</v>
      </c>
    </row>
    <row r="31" spans="1:14" x14ac:dyDescent="0.25">
      <c r="A31" s="233" t="s">
        <v>1032</v>
      </c>
      <c r="B31" s="134">
        <v>0</v>
      </c>
      <c r="C31" s="134"/>
      <c r="D31" s="134"/>
      <c r="E31" s="134">
        <f>Liep_reg!E9</f>
        <v>2070.9700000000003</v>
      </c>
      <c r="F31" s="134">
        <f>Liep_reg!F9</f>
        <v>498.90999999999997</v>
      </c>
      <c r="G31" s="134">
        <f>Liep_reg!G9</f>
        <v>2569.8799999999997</v>
      </c>
      <c r="H31" s="134">
        <f>Liep_reg!H9</f>
        <v>20.837399999999995</v>
      </c>
      <c r="I31" s="134"/>
      <c r="J31" s="134"/>
      <c r="K31" s="134">
        <f>Liep_reg!M9</f>
        <v>171.29147999999998</v>
      </c>
      <c r="L31" s="134">
        <f>Liep_reg!N9</f>
        <v>759.15999999999985</v>
      </c>
      <c r="M31" s="134">
        <f>Liep_reg!O9</f>
        <v>3910.6529600000013</v>
      </c>
    </row>
    <row r="32" spans="1:14" x14ac:dyDescent="0.25">
      <c r="A32" s="853"/>
      <c r="B32" s="853"/>
      <c r="C32" s="853"/>
      <c r="D32" s="853"/>
      <c r="E32" s="855">
        <f>SUM(E33:E35)</f>
        <v>293517.7300000001</v>
      </c>
      <c r="F32" s="855">
        <f t="shared" ref="F32:G32" si="3">SUM(F33:F35)</f>
        <v>70667.696363999974</v>
      </c>
      <c r="G32" s="855">
        <f t="shared" si="3"/>
        <v>364185.42636399996</v>
      </c>
      <c r="H32" s="854"/>
      <c r="I32" s="854"/>
      <c r="J32" s="854"/>
      <c r="K32" s="855">
        <f>SUM(K33:K35)</f>
        <v>217066.2</v>
      </c>
      <c r="L32" s="855">
        <f t="shared" ref="L32:M32" si="4">SUM(L33:L35)</f>
        <v>52253.158170999995</v>
      </c>
      <c r="M32" s="855">
        <f t="shared" si="4"/>
        <v>269319.35817100009</v>
      </c>
    </row>
    <row r="33" spans="1:13" x14ac:dyDescent="0.25">
      <c r="A33" s="134" t="s">
        <v>1034</v>
      </c>
      <c r="B33" s="134">
        <v>2498.41</v>
      </c>
      <c r="C33" s="134"/>
      <c r="D33" s="134"/>
      <c r="E33" s="134">
        <f>NMPD!E9</f>
        <v>266819.2900000001</v>
      </c>
      <c r="F33" s="134">
        <f>NMPD!F9</f>
        <v>64276.766960999979</v>
      </c>
      <c r="G33" s="134">
        <f>NMPD!G9</f>
        <v>331096.05696099997</v>
      </c>
      <c r="H33" s="134">
        <f>NMPD!H9</f>
        <v>2309.3333602223479</v>
      </c>
      <c r="I33" s="134"/>
      <c r="J33" s="134"/>
      <c r="K33" s="134">
        <f>NMPD!K9</f>
        <v>190036.19</v>
      </c>
      <c r="L33" s="134">
        <f>NMPD!L9</f>
        <v>45779.718171</v>
      </c>
      <c r="M33" s="134">
        <f>NMPD!M9</f>
        <v>235815.9081710001</v>
      </c>
    </row>
    <row r="34" spans="1:13" x14ac:dyDescent="0.25">
      <c r="A34" s="134" t="s">
        <v>1110</v>
      </c>
      <c r="B34" s="134">
        <v>44</v>
      </c>
      <c r="C34" s="134"/>
      <c r="D34" s="134"/>
      <c r="E34" s="134">
        <f>NVD!E9</f>
        <v>11680.4</v>
      </c>
      <c r="F34" s="134">
        <f>NVD!F9</f>
        <v>2813.8094029999997</v>
      </c>
      <c r="G34" s="134">
        <f>NVD!G9</f>
        <v>14494.209402999999</v>
      </c>
      <c r="H34" s="134">
        <f>NVD!H9</f>
        <v>44</v>
      </c>
      <c r="I34" s="134"/>
      <c r="J34" s="134"/>
      <c r="K34" s="134">
        <f>NVD!K9</f>
        <v>10779.439999999997</v>
      </c>
      <c r="L34" s="134">
        <f>NVD!L9</f>
        <v>2596.7499999999995</v>
      </c>
      <c r="M34" s="134">
        <f>NVD!M9</f>
        <v>13376.19</v>
      </c>
    </row>
    <row r="35" spans="1:13" x14ac:dyDescent="0.25">
      <c r="A35" s="134" t="s">
        <v>1186</v>
      </c>
      <c r="B35" s="134">
        <v>87.5</v>
      </c>
      <c r="C35" s="134"/>
      <c r="D35" s="134"/>
      <c r="E35" s="134">
        <f>SPKC!E9</f>
        <v>15018.039999999997</v>
      </c>
      <c r="F35" s="134">
        <f>SPKC!F9</f>
        <v>3577.12</v>
      </c>
      <c r="G35" s="134">
        <f>SPKC!G9</f>
        <v>18595.16</v>
      </c>
      <c r="H35" s="134">
        <f>SPKC!H9</f>
        <v>81.5</v>
      </c>
      <c r="I35" s="134"/>
      <c r="J35" s="134"/>
      <c r="K35" s="134">
        <f>SPKC!K9</f>
        <v>16250.569999999996</v>
      </c>
      <c r="L35" s="134">
        <f>SPKC!L9</f>
        <v>3876.6899999999982</v>
      </c>
      <c r="M35" s="134">
        <f>SPKC!M9</f>
        <v>20127.260000000002</v>
      </c>
    </row>
  </sheetData>
  <mergeCells count="5">
    <mergeCell ref="N6:S6"/>
    <mergeCell ref="A2:S2"/>
    <mergeCell ref="A6:A7"/>
    <mergeCell ref="B6:G6"/>
    <mergeCell ref="H6:M6"/>
  </mergeCells>
  <phoneticPr fontId="53" type="noConversion"/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8"/>
  <sheetViews>
    <sheetView zoomScale="70" zoomScaleNormal="70" workbookViewId="0">
      <selection activeCell="F143" sqref="F143"/>
    </sheetView>
  </sheetViews>
  <sheetFormatPr defaultRowHeight="16.5" x14ac:dyDescent="0.25"/>
  <cols>
    <col min="1" max="1" width="42.7109375" style="2" customWidth="1"/>
    <col min="2" max="2" width="14" style="2" customWidth="1"/>
    <col min="3" max="3" width="16" style="2" customWidth="1"/>
    <col min="4" max="6" width="14" style="2" customWidth="1"/>
    <col min="7" max="7" width="16.7109375" style="2" customWidth="1"/>
    <col min="8" max="13" width="14" style="2" customWidth="1"/>
    <col min="14" max="19" width="14" style="2" hidden="1" customWidth="1"/>
    <col min="20" max="20" width="15.85546875" style="2" customWidth="1"/>
    <col min="21" max="16384" width="9.140625" style="2"/>
  </cols>
  <sheetData>
    <row r="2" spans="1:19" s="1" customFormat="1" ht="44.2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19" x14ac:dyDescent="0.25">
      <c r="A4" s="2" t="s">
        <v>230</v>
      </c>
    </row>
    <row r="5" spans="1:19" ht="17.25" thickBot="1" x14ac:dyDescent="0.3"/>
    <row r="6" spans="1:19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908" t="s">
        <v>4</v>
      </c>
      <c r="I6" s="909"/>
      <c r="J6" s="909"/>
      <c r="K6" s="909"/>
      <c r="L6" s="909"/>
      <c r="M6" s="910"/>
      <c r="N6" s="857" t="s">
        <v>5</v>
      </c>
      <c r="O6" s="858"/>
      <c r="P6" s="858"/>
      <c r="Q6" s="858"/>
      <c r="R6" s="858"/>
      <c r="S6" s="859"/>
    </row>
    <row r="7" spans="1:19" ht="104.25" customHeight="1" x14ac:dyDescent="0.25">
      <c r="A7" s="907"/>
      <c r="B7" s="3" t="s">
        <v>28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19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19" s="1" customFormat="1" ht="26.25" customHeight="1" x14ac:dyDescent="0.25">
      <c r="A9" s="10" t="s">
        <v>0</v>
      </c>
      <c r="B9" s="11"/>
      <c r="C9" s="12"/>
      <c r="D9" s="12"/>
      <c r="E9" s="12">
        <f>E10+E66</f>
        <v>0</v>
      </c>
      <c r="F9" s="12">
        <f>F10+F66</f>
        <v>0</v>
      </c>
      <c r="G9" s="12">
        <f>G10+G66</f>
        <v>0</v>
      </c>
      <c r="H9" s="13">
        <f t="shared" ref="H9:J9" si="0">H10+H66</f>
        <v>37.337514384349831</v>
      </c>
      <c r="I9" s="13">
        <f t="shared" si="0"/>
        <v>0</v>
      </c>
      <c r="J9" s="13">
        <f t="shared" si="0"/>
        <v>0</v>
      </c>
      <c r="K9" s="13">
        <f>K10+K66</f>
        <v>10509.320000000002</v>
      </c>
      <c r="L9" s="13">
        <f>L10+L66</f>
        <v>2531.7000000000003</v>
      </c>
      <c r="M9" s="13">
        <f>M10+M66</f>
        <v>13041.019999999997</v>
      </c>
      <c r="N9" s="11"/>
      <c r="O9" s="12"/>
      <c r="P9" s="12"/>
      <c r="Q9" s="12"/>
      <c r="R9" s="12"/>
      <c r="S9" s="13"/>
    </row>
    <row r="10" spans="1:19" s="1" customFormat="1" ht="21.75" customHeight="1" thickBot="1" x14ac:dyDescent="0.3">
      <c r="A10" s="126" t="s">
        <v>132</v>
      </c>
      <c r="B10" s="127"/>
      <c r="C10" s="127"/>
      <c r="D10" s="127"/>
      <c r="E10" s="127">
        <f>E11+E41+E59</f>
        <v>0</v>
      </c>
      <c r="F10" s="127">
        <f>F11+F41+F59</f>
        <v>0</v>
      </c>
      <c r="G10" s="127">
        <f>G11+G41+G59</f>
        <v>0</v>
      </c>
      <c r="H10" s="127">
        <f>H11+H41+H59</f>
        <v>37.337514384349831</v>
      </c>
      <c r="I10" s="127">
        <f t="shared" ref="I10:J10" si="1">I11+I41+I59</f>
        <v>0</v>
      </c>
      <c r="J10" s="127">
        <f t="shared" si="1"/>
        <v>0</v>
      </c>
      <c r="K10" s="127">
        <f>K11+K41+K59</f>
        <v>10509.320000000002</v>
      </c>
      <c r="L10" s="127">
        <f>L11+L41+L59</f>
        <v>2531.7000000000003</v>
      </c>
      <c r="M10" s="127">
        <f>M11+M41+M59</f>
        <v>13041.019999999997</v>
      </c>
      <c r="N10" s="15"/>
      <c r="O10" s="16"/>
      <c r="P10" s="16"/>
      <c r="Q10" s="16"/>
      <c r="R10" s="16"/>
      <c r="S10" s="17"/>
    </row>
    <row r="11" spans="1:19" ht="55.5" customHeight="1" x14ac:dyDescent="0.25">
      <c r="A11" s="128" t="s">
        <v>14</v>
      </c>
      <c r="B11" s="130">
        <f>B40</f>
        <v>0</v>
      </c>
      <c r="C11" s="130"/>
      <c r="D11" s="130"/>
      <c r="E11" s="130">
        <f>E40</f>
        <v>0</v>
      </c>
      <c r="F11" s="130">
        <f>F40</f>
        <v>0</v>
      </c>
      <c r="G11" s="131">
        <f>G40</f>
        <v>0</v>
      </c>
      <c r="H11" s="130">
        <f>SUM(H12:H40)</f>
        <v>22.575949367088608</v>
      </c>
      <c r="I11" s="208"/>
      <c r="J11" s="130"/>
      <c r="K11" s="130">
        <f>SUM(K12:K40)</f>
        <v>7736.77</v>
      </c>
      <c r="L11" s="130">
        <f>SUM(L12:L40)</f>
        <v>1863.8</v>
      </c>
      <c r="M11" s="130">
        <f>SUM(M12:M40)</f>
        <v>9600.5699999999979</v>
      </c>
      <c r="N11" s="19"/>
      <c r="O11" s="20"/>
      <c r="P11" s="20"/>
      <c r="Q11" s="20"/>
      <c r="R11" s="20"/>
      <c r="S11" s="21"/>
    </row>
    <row r="12" spans="1:19" ht="18.75" customHeight="1" x14ac:dyDescent="0.25">
      <c r="A12" s="132" t="s">
        <v>80</v>
      </c>
      <c r="B12" s="136"/>
      <c r="C12" s="20"/>
      <c r="D12" s="134"/>
      <c r="E12" s="20"/>
      <c r="F12" s="20"/>
      <c r="G12" s="21"/>
      <c r="H12" s="136">
        <v>0.151898734177215</v>
      </c>
      <c r="I12" s="20">
        <v>1649.125</v>
      </c>
      <c r="J12" s="20">
        <v>20</v>
      </c>
      <c r="K12" s="20">
        <f>ROUND(I12*0.2*H12, 2)</f>
        <v>50.1</v>
      </c>
      <c r="L12" s="20">
        <f>ROUND(K12*0.2409, 2)</f>
        <v>12.07</v>
      </c>
      <c r="M12" s="21">
        <f>K12+L12</f>
        <v>62.17</v>
      </c>
      <c r="N12" s="20"/>
      <c r="O12" s="136"/>
      <c r="P12" s="20"/>
      <c r="Q12" s="20"/>
      <c r="R12" s="20"/>
      <c r="S12" s="21"/>
    </row>
    <row r="13" spans="1:19" ht="18.75" customHeight="1" x14ac:dyDescent="0.25">
      <c r="A13" s="132" t="s">
        <v>80</v>
      </c>
      <c r="B13" s="136"/>
      <c r="C13" s="20"/>
      <c r="D13" s="134"/>
      <c r="E13" s="20"/>
      <c r="F13" s="20"/>
      <c r="G13" s="21"/>
      <c r="H13" s="136">
        <v>0.72151898734177211</v>
      </c>
      <c r="I13" s="20">
        <v>1614.4273684210525</v>
      </c>
      <c r="J13" s="20">
        <v>20</v>
      </c>
      <c r="K13" s="20">
        <f t="shared" ref="K13:K63" si="2">ROUND(I13*0.2*H13, 2)</f>
        <v>232.97</v>
      </c>
      <c r="L13" s="20">
        <f t="shared" ref="L13:L63" si="3">ROUND(K13*0.2409, 2)</f>
        <v>56.12</v>
      </c>
      <c r="M13" s="21">
        <f t="shared" ref="M13:M58" si="4">K13+L13</f>
        <v>289.08999999999997</v>
      </c>
      <c r="N13" s="20"/>
      <c r="O13" s="20"/>
      <c r="P13" s="20"/>
      <c r="Q13" s="20"/>
      <c r="R13" s="20"/>
      <c r="S13" s="21"/>
    </row>
    <row r="14" spans="1:19" ht="18.75" customHeight="1" x14ac:dyDescent="0.25">
      <c r="A14" s="132" t="s">
        <v>80</v>
      </c>
      <c r="B14" s="136"/>
      <c r="C14" s="20"/>
      <c r="D14" s="134"/>
      <c r="E14" s="20"/>
      <c r="F14" s="20"/>
      <c r="G14" s="21"/>
      <c r="H14" s="136">
        <v>0.740506329113924</v>
      </c>
      <c r="I14" s="20">
        <v>2469.4859829059833</v>
      </c>
      <c r="J14" s="20">
        <v>20</v>
      </c>
      <c r="K14" s="20">
        <f t="shared" si="2"/>
        <v>365.73</v>
      </c>
      <c r="L14" s="20">
        <f t="shared" si="3"/>
        <v>88.1</v>
      </c>
      <c r="M14" s="21">
        <f t="shared" si="4"/>
        <v>453.83000000000004</v>
      </c>
      <c r="N14" s="20"/>
      <c r="O14" s="20"/>
      <c r="P14" s="20"/>
      <c r="Q14" s="20"/>
      <c r="R14" s="20"/>
      <c r="S14" s="21"/>
    </row>
    <row r="15" spans="1:19" ht="18.75" customHeight="1" x14ac:dyDescent="0.25">
      <c r="A15" s="132" t="s">
        <v>80</v>
      </c>
      <c r="B15" s="136"/>
      <c r="C15" s="20"/>
      <c r="D15" s="134"/>
      <c r="E15" s="20"/>
      <c r="F15" s="20"/>
      <c r="G15" s="21"/>
      <c r="H15" s="136">
        <v>1.2151898734177216</v>
      </c>
      <c r="I15" s="20">
        <v>1649.1496875</v>
      </c>
      <c r="J15" s="20">
        <v>20</v>
      </c>
      <c r="K15" s="20">
        <f t="shared" si="2"/>
        <v>400.81</v>
      </c>
      <c r="L15" s="20">
        <f t="shared" si="3"/>
        <v>96.56</v>
      </c>
      <c r="M15" s="21">
        <f t="shared" si="4"/>
        <v>497.37</v>
      </c>
      <c r="N15" s="20"/>
      <c r="O15" s="20"/>
      <c r="P15" s="20"/>
      <c r="Q15" s="20"/>
      <c r="R15" s="20"/>
      <c r="S15" s="21"/>
    </row>
    <row r="16" spans="1:19" ht="18.75" customHeight="1" x14ac:dyDescent="0.25">
      <c r="A16" s="132" t="s">
        <v>80</v>
      </c>
      <c r="B16" s="136"/>
      <c r="C16" s="20"/>
      <c r="D16" s="134"/>
      <c r="E16" s="20"/>
      <c r="F16" s="20"/>
      <c r="G16" s="21"/>
      <c r="H16" s="136">
        <v>1.6708860759493671</v>
      </c>
      <c r="I16" s="20">
        <v>1649.1489393939394</v>
      </c>
      <c r="J16" s="20">
        <v>20</v>
      </c>
      <c r="K16" s="20">
        <f t="shared" si="2"/>
        <v>551.11</v>
      </c>
      <c r="L16" s="20">
        <f t="shared" si="3"/>
        <v>132.76</v>
      </c>
      <c r="M16" s="21">
        <f t="shared" si="4"/>
        <v>683.87</v>
      </c>
      <c r="N16" s="20"/>
      <c r="O16" s="20"/>
      <c r="P16" s="20"/>
      <c r="Q16" s="20"/>
      <c r="R16" s="20"/>
      <c r="S16" s="21"/>
    </row>
    <row r="17" spans="1:19" ht="18.75" customHeight="1" x14ac:dyDescent="0.25">
      <c r="A17" s="132" t="s">
        <v>80</v>
      </c>
      <c r="B17" s="136"/>
      <c r="C17" s="20"/>
      <c r="D17" s="134"/>
      <c r="E17" s="20"/>
      <c r="F17" s="20"/>
      <c r="G17" s="21"/>
      <c r="H17" s="136">
        <v>0.41139240506329117</v>
      </c>
      <c r="I17" s="20">
        <v>1684.6689230769227</v>
      </c>
      <c r="J17" s="20">
        <v>20</v>
      </c>
      <c r="K17" s="20">
        <f t="shared" si="2"/>
        <v>138.61000000000001</v>
      </c>
      <c r="L17" s="20">
        <f t="shared" si="3"/>
        <v>33.39</v>
      </c>
      <c r="M17" s="21">
        <f t="shared" si="4"/>
        <v>172</v>
      </c>
      <c r="N17" s="20"/>
      <c r="O17" s="20"/>
      <c r="P17" s="20"/>
      <c r="Q17" s="20"/>
      <c r="R17" s="20"/>
      <c r="S17" s="21"/>
    </row>
    <row r="18" spans="1:19" ht="18.75" customHeight="1" x14ac:dyDescent="0.25">
      <c r="A18" s="132" t="s">
        <v>80</v>
      </c>
      <c r="B18" s="136"/>
      <c r="C18" s="20"/>
      <c r="D18" s="134"/>
      <c r="E18" s="20"/>
      <c r="F18" s="20"/>
      <c r="G18" s="21"/>
      <c r="H18" s="136">
        <v>0.60759493670886078</v>
      </c>
      <c r="I18" s="20">
        <v>1649.1579166666666</v>
      </c>
      <c r="J18" s="20">
        <v>20</v>
      </c>
      <c r="K18" s="20">
        <f t="shared" si="2"/>
        <v>200.4</v>
      </c>
      <c r="L18" s="20">
        <f t="shared" si="3"/>
        <v>48.28</v>
      </c>
      <c r="M18" s="21">
        <f t="shared" si="4"/>
        <v>248.68</v>
      </c>
      <c r="N18" s="20"/>
      <c r="O18" s="20"/>
      <c r="P18" s="20"/>
      <c r="Q18" s="20"/>
      <c r="R18" s="20"/>
      <c r="S18" s="21"/>
    </row>
    <row r="19" spans="1:19" ht="18.75" customHeight="1" x14ac:dyDescent="0.25">
      <c r="A19" s="132" t="s">
        <v>80</v>
      </c>
      <c r="B19" s="136"/>
      <c r="C19" s="20"/>
      <c r="D19" s="134"/>
      <c r="E19" s="20"/>
      <c r="F19" s="20"/>
      <c r="G19" s="21"/>
      <c r="H19" s="136">
        <v>1.3670886075949367</v>
      </c>
      <c r="I19" s="20">
        <v>2088.920925925926</v>
      </c>
      <c r="J19" s="20">
        <v>20</v>
      </c>
      <c r="K19" s="20">
        <f t="shared" si="2"/>
        <v>571.15</v>
      </c>
      <c r="L19" s="20">
        <f t="shared" si="3"/>
        <v>137.59</v>
      </c>
      <c r="M19" s="21">
        <f t="shared" si="4"/>
        <v>708.74</v>
      </c>
      <c r="N19" s="20"/>
      <c r="O19" s="20"/>
      <c r="P19" s="20"/>
      <c r="Q19" s="20"/>
      <c r="R19" s="20"/>
      <c r="S19" s="21"/>
    </row>
    <row r="20" spans="1:19" ht="18.75" customHeight="1" x14ac:dyDescent="0.25">
      <c r="A20" s="132" t="s">
        <v>80</v>
      </c>
      <c r="B20" s="136"/>
      <c r="C20" s="20"/>
      <c r="D20" s="134"/>
      <c r="E20" s="20"/>
      <c r="F20" s="20"/>
      <c r="G20" s="21"/>
      <c r="H20" s="136">
        <v>2.1708860759493671</v>
      </c>
      <c r="I20" s="20">
        <v>1677.0387172011663</v>
      </c>
      <c r="J20" s="20">
        <v>20</v>
      </c>
      <c r="K20" s="20">
        <f t="shared" si="2"/>
        <v>728.13</v>
      </c>
      <c r="L20" s="20">
        <f t="shared" si="3"/>
        <v>175.41</v>
      </c>
      <c r="M20" s="21">
        <f t="shared" si="4"/>
        <v>903.54</v>
      </c>
      <c r="N20" s="20"/>
      <c r="O20" s="20"/>
      <c r="P20" s="20"/>
      <c r="Q20" s="20"/>
      <c r="R20" s="20"/>
      <c r="S20" s="21"/>
    </row>
    <row r="21" spans="1:19" s="214" customFormat="1" ht="18.75" customHeight="1" x14ac:dyDescent="0.25">
      <c r="A21" s="209" t="s">
        <v>80</v>
      </c>
      <c r="B21" s="210"/>
      <c r="C21" s="211"/>
      <c r="D21" s="212"/>
      <c r="E21" s="211"/>
      <c r="F21" s="211"/>
      <c r="G21" s="213"/>
      <c r="H21" s="210">
        <v>0.10759493670886076</v>
      </c>
      <c r="I21" s="211">
        <v>1603.2352941176471</v>
      </c>
      <c r="J21" s="211">
        <v>20</v>
      </c>
      <c r="K21" s="20">
        <f t="shared" si="2"/>
        <v>34.5</v>
      </c>
      <c r="L21" s="20">
        <f t="shared" si="3"/>
        <v>8.31</v>
      </c>
      <c r="M21" s="213">
        <f t="shared" si="4"/>
        <v>42.81</v>
      </c>
      <c r="N21" s="211"/>
      <c r="O21" s="211"/>
      <c r="P21" s="211"/>
      <c r="Q21" s="211"/>
      <c r="R21" s="211"/>
      <c r="S21" s="213"/>
    </row>
    <row r="22" spans="1:19" s="214" customFormat="1" ht="18.75" customHeight="1" x14ac:dyDescent="0.25">
      <c r="A22" s="209" t="s">
        <v>80</v>
      </c>
      <c r="B22" s="210"/>
      <c r="C22" s="211"/>
      <c r="D22" s="212"/>
      <c r="E22" s="211"/>
      <c r="F22" s="211"/>
      <c r="G22" s="213"/>
      <c r="H22" s="210">
        <v>0.15189873417721519</v>
      </c>
      <c r="I22" s="211">
        <v>1540.5</v>
      </c>
      <c r="J22" s="211">
        <v>20</v>
      </c>
      <c r="K22" s="20">
        <f t="shared" si="2"/>
        <v>46.8</v>
      </c>
      <c r="L22" s="20">
        <f t="shared" si="3"/>
        <v>11.27</v>
      </c>
      <c r="M22" s="213">
        <f t="shared" si="4"/>
        <v>58.069999999999993</v>
      </c>
      <c r="N22" s="211"/>
      <c r="O22" s="211"/>
      <c r="P22" s="211"/>
      <c r="Q22" s="211"/>
      <c r="R22" s="211"/>
      <c r="S22" s="213"/>
    </row>
    <row r="23" spans="1:19" s="214" customFormat="1" ht="18.75" customHeight="1" x14ac:dyDescent="0.25">
      <c r="A23" s="209" t="s">
        <v>80</v>
      </c>
      <c r="B23" s="210"/>
      <c r="C23" s="211"/>
      <c r="D23" s="212"/>
      <c r="E23" s="211"/>
      <c r="F23" s="211"/>
      <c r="G23" s="213"/>
      <c r="H23" s="210">
        <v>0.22151898734177214</v>
      </c>
      <c r="I23" s="211">
        <v>1232.4000000000001</v>
      </c>
      <c r="J23" s="211">
        <v>20</v>
      </c>
      <c r="K23" s="20">
        <f t="shared" si="2"/>
        <v>54.6</v>
      </c>
      <c r="L23" s="20">
        <f t="shared" si="3"/>
        <v>13.15</v>
      </c>
      <c r="M23" s="213">
        <f t="shared" si="4"/>
        <v>67.75</v>
      </c>
      <c r="N23" s="211"/>
      <c r="O23" s="211"/>
      <c r="P23" s="211"/>
      <c r="Q23" s="211"/>
      <c r="R23" s="211"/>
      <c r="S23" s="213"/>
    </row>
    <row r="24" spans="1:19" s="214" customFormat="1" ht="18.75" customHeight="1" x14ac:dyDescent="0.25">
      <c r="A24" s="209" t="s">
        <v>80</v>
      </c>
      <c r="B24" s="210"/>
      <c r="C24" s="211"/>
      <c r="D24" s="212"/>
      <c r="E24" s="211"/>
      <c r="F24" s="211"/>
      <c r="G24" s="213"/>
      <c r="H24" s="210">
        <v>0.30379746835443039</v>
      </c>
      <c r="I24" s="211">
        <v>1703.4375</v>
      </c>
      <c r="J24" s="211">
        <v>20</v>
      </c>
      <c r="K24" s="20">
        <f t="shared" si="2"/>
        <v>103.5</v>
      </c>
      <c r="L24" s="20">
        <f t="shared" si="3"/>
        <v>24.93</v>
      </c>
      <c r="M24" s="213">
        <f t="shared" si="4"/>
        <v>128.43</v>
      </c>
      <c r="N24" s="211"/>
      <c r="O24" s="211"/>
      <c r="P24" s="211"/>
      <c r="Q24" s="211"/>
      <c r="R24" s="211"/>
      <c r="S24" s="213"/>
    </row>
    <row r="25" spans="1:19" s="214" customFormat="1" ht="18.75" customHeight="1" x14ac:dyDescent="0.25">
      <c r="A25" s="209" t="s">
        <v>80</v>
      </c>
      <c r="B25" s="210"/>
      <c r="C25" s="211"/>
      <c r="D25" s="212"/>
      <c r="E25" s="211"/>
      <c r="F25" s="211"/>
      <c r="G25" s="213"/>
      <c r="H25" s="210">
        <v>0.30379746835443039</v>
      </c>
      <c r="I25" s="211">
        <v>1703.4375</v>
      </c>
      <c r="J25" s="211">
        <v>20</v>
      </c>
      <c r="K25" s="20">
        <f t="shared" si="2"/>
        <v>103.5</v>
      </c>
      <c r="L25" s="20">
        <f t="shared" si="3"/>
        <v>24.93</v>
      </c>
      <c r="M25" s="213">
        <f t="shared" si="4"/>
        <v>128.43</v>
      </c>
      <c r="N25" s="211"/>
      <c r="O25" s="211"/>
      <c r="P25" s="211"/>
      <c r="Q25" s="211"/>
      <c r="R25" s="211"/>
      <c r="S25" s="213"/>
    </row>
    <row r="26" spans="1:19" s="214" customFormat="1" ht="18.75" customHeight="1" x14ac:dyDescent="0.25">
      <c r="A26" s="209" t="s">
        <v>80</v>
      </c>
      <c r="B26" s="210"/>
      <c r="C26" s="211"/>
      <c r="D26" s="212"/>
      <c r="E26" s="211"/>
      <c r="F26" s="211"/>
      <c r="G26" s="213"/>
      <c r="H26" s="210">
        <v>0.45569620253164556</v>
      </c>
      <c r="I26" s="211">
        <v>1728.125</v>
      </c>
      <c r="J26" s="211">
        <v>20</v>
      </c>
      <c r="K26" s="20">
        <f t="shared" si="2"/>
        <v>157.5</v>
      </c>
      <c r="L26" s="20">
        <f t="shared" si="3"/>
        <v>37.94</v>
      </c>
      <c r="M26" s="213">
        <f t="shared" si="4"/>
        <v>195.44</v>
      </c>
      <c r="N26" s="211"/>
      <c r="O26" s="211"/>
      <c r="P26" s="211"/>
      <c r="Q26" s="211"/>
      <c r="R26" s="211"/>
      <c r="S26" s="213"/>
    </row>
    <row r="27" spans="1:19" s="214" customFormat="1" ht="18.75" customHeight="1" x14ac:dyDescent="0.25">
      <c r="A27" s="209" t="s">
        <v>80</v>
      </c>
      <c r="B27" s="210"/>
      <c r="C27" s="211"/>
      <c r="D27" s="212"/>
      <c r="E27" s="211"/>
      <c r="F27" s="211"/>
      <c r="G27" s="213"/>
      <c r="H27" s="210">
        <v>0.53797468354430378</v>
      </c>
      <c r="I27" s="211">
        <v>1667.3647058823531</v>
      </c>
      <c r="J27" s="211">
        <v>20</v>
      </c>
      <c r="K27" s="20">
        <f t="shared" si="2"/>
        <v>179.4</v>
      </c>
      <c r="L27" s="20">
        <f t="shared" si="3"/>
        <v>43.22</v>
      </c>
      <c r="M27" s="213">
        <f t="shared" si="4"/>
        <v>222.62</v>
      </c>
      <c r="N27" s="211"/>
      <c r="O27" s="211"/>
      <c r="P27" s="211"/>
      <c r="Q27" s="211"/>
      <c r="R27" s="211"/>
      <c r="S27" s="213"/>
    </row>
    <row r="28" spans="1:19" s="214" customFormat="1" ht="18.75" customHeight="1" x14ac:dyDescent="0.25">
      <c r="A28" s="209" t="s">
        <v>80</v>
      </c>
      <c r="B28" s="210"/>
      <c r="C28" s="211"/>
      <c r="D28" s="212"/>
      <c r="E28" s="211"/>
      <c r="F28" s="211"/>
      <c r="G28" s="213"/>
      <c r="H28" s="210">
        <v>0.71518987341772156</v>
      </c>
      <c r="I28" s="211">
        <v>1494.1486725663715</v>
      </c>
      <c r="J28" s="211">
        <v>20</v>
      </c>
      <c r="K28" s="20">
        <f t="shared" si="2"/>
        <v>213.72</v>
      </c>
      <c r="L28" s="20">
        <f t="shared" si="3"/>
        <v>51.49</v>
      </c>
      <c r="M28" s="213">
        <f t="shared" si="4"/>
        <v>265.20999999999998</v>
      </c>
      <c r="N28" s="211"/>
      <c r="O28" s="211"/>
      <c r="P28" s="211"/>
      <c r="Q28" s="211"/>
      <c r="R28" s="211"/>
      <c r="S28" s="213"/>
    </row>
    <row r="29" spans="1:19" s="214" customFormat="1" ht="18.75" customHeight="1" x14ac:dyDescent="0.25">
      <c r="A29" s="209" t="s">
        <v>80</v>
      </c>
      <c r="B29" s="210"/>
      <c r="C29" s="211"/>
      <c r="D29" s="212"/>
      <c r="E29" s="211"/>
      <c r="F29" s="211"/>
      <c r="G29" s="213"/>
      <c r="H29" s="210">
        <v>0.56329113924050633</v>
      </c>
      <c r="I29" s="211">
        <v>1855.523595505618</v>
      </c>
      <c r="J29" s="211">
        <v>20</v>
      </c>
      <c r="K29" s="20">
        <f t="shared" si="2"/>
        <v>209.04</v>
      </c>
      <c r="L29" s="20">
        <f t="shared" si="3"/>
        <v>50.36</v>
      </c>
      <c r="M29" s="213">
        <f t="shared" si="4"/>
        <v>259.39999999999998</v>
      </c>
      <c r="N29" s="211"/>
      <c r="O29" s="211"/>
      <c r="P29" s="211"/>
      <c r="Q29" s="211"/>
      <c r="R29" s="211"/>
      <c r="S29" s="213"/>
    </row>
    <row r="30" spans="1:19" s="214" customFormat="1" ht="18.75" customHeight="1" x14ac:dyDescent="0.25">
      <c r="A30" s="209" t="s">
        <v>80</v>
      </c>
      <c r="B30" s="210"/>
      <c r="C30" s="211"/>
      <c r="D30" s="212"/>
      <c r="E30" s="211"/>
      <c r="F30" s="211"/>
      <c r="G30" s="213"/>
      <c r="H30" s="210">
        <v>1.0443037974683544</v>
      </c>
      <c r="I30" s="211">
        <v>1680.5454545454545</v>
      </c>
      <c r="J30" s="211">
        <v>20</v>
      </c>
      <c r="K30" s="20">
        <f t="shared" si="2"/>
        <v>351</v>
      </c>
      <c r="L30" s="20">
        <f t="shared" si="3"/>
        <v>84.56</v>
      </c>
      <c r="M30" s="213">
        <f t="shared" si="4"/>
        <v>435.56</v>
      </c>
      <c r="N30" s="211"/>
      <c r="O30" s="211"/>
      <c r="P30" s="211"/>
      <c r="Q30" s="211"/>
      <c r="R30" s="211"/>
      <c r="S30" s="213"/>
    </row>
    <row r="31" spans="1:19" s="214" customFormat="1" ht="18.75" customHeight="1" x14ac:dyDescent="0.25">
      <c r="A31" s="209" t="s">
        <v>80</v>
      </c>
      <c r="B31" s="210"/>
      <c r="C31" s="211"/>
      <c r="D31" s="212"/>
      <c r="E31" s="211"/>
      <c r="F31" s="211"/>
      <c r="G31" s="213"/>
      <c r="H31" s="210">
        <v>0.20253164556962025</v>
      </c>
      <c r="I31" s="211">
        <v>1407.1875</v>
      </c>
      <c r="J31" s="211">
        <v>20</v>
      </c>
      <c r="K31" s="20">
        <f t="shared" si="2"/>
        <v>57</v>
      </c>
      <c r="L31" s="20">
        <f t="shared" si="3"/>
        <v>13.73</v>
      </c>
      <c r="M31" s="213">
        <f t="shared" si="4"/>
        <v>70.73</v>
      </c>
      <c r="N31" s="211"/>
      <c r="O31" s="211"/>
      <c r="P31" s="211"/>
      <c r="Q31" s="211"/>
      <c r="R31" s="211"/>
      <c r="S31" s="213"/>
    </row>
    <row r="32" spans="1:19" s="214" customFormat="1" ht="18.75" customHeight="1" x14ac:dyDescent="0.25">
      <c r="A32" s="209" t="s">
        <v>80</v>
      </c>
      <c r="B32" s="210"/>
      <c r="C32" s="211"/>
      <c r="D32" s="212"/>
      <c r="E32" s="211"/>
      <c r="F32" s="211"/>
      <c r="G32" s="213"/>
      <c r="H32" s="210">
        <v>0.56329113924050633</v>
      </c>
      <c r="I32" s="211">
        <v>1755.3977528089886</v>
      </c>
      <c r="J32" s="211">
        <v>20</v>
      </c>
      <c r="K32" s="20">
        <f t="shared" si="2"/>
        <v>197.76</v>
      </c>
      <c r="L32" s="20">
        <f t="shared" si="3"/>
        <v>47.64</v>
      </c>
      <c r="M32" s="213">
        <f t="shared" si="4"/>
        <v>245.39999999999998</v>
      </c>
      <c r="N32" s="211"/>
      <c r="O32" s="211"/>
      <c r="P32" s="211"/>
      <c r="Q32" s="211"/>
      <c r="R32" s="211"/>
      <c r="S32" s="213"/>
    </row>
    <row r="33" spans="1:19" s="214" customFormat="1" ht="18.75" customHeight="1" x14ac:dyDescent="0.25">
      <c r="A33" s="209" t="s">
        <v>80</v>
      </c>
      <c r="B33" s="210"/>
      <c r="C33" s="211"/>
      <c r="D33" s="212"/>
      <c r="E33" s="211"/>
      <c r="F33" s="211"/>
      <c r="G33" s="213"/>
      <c r="H33" s="210">
        <v>1.2151898734177216</v>
      </c>
      <c r="I33" s="211">
        <v>1536.796875</v>
      </c>
      <c r="J33" s="211">
        <v>20</v>
      </c>
      <c r="K33" s="20">
        <f t="shared" si="2"/>
        <v>373.5</v>
      </c>
      <c r="L33" s="20">
        <f t="shared" si="3"/>
        <v>89.98</v>
      </c>
      <c r="M33" s="213">
        <f t="shared" si="4"/>
        <v>463.48</v>
      </c>
      <c r="N33" s="211"/>
      <c r="O33" s="211"/>
      <c r="P33" s="211"/>
      <c r="Q33" s="211"/>
      <c r="R33" s="211"/>
      <c r="S33" s="213"/>
    </row>
    <row r="34" spans="1:19" s="214" customFormat="1" ht="18.75" customHeight="1" x14ac:dyDescent="0.25">
      <c r="A34" s="209" t="s">
        <v>80</v>
      </c>
      <c r="B34" s="210"/>
      <c r="C34" s="211"/>
      <c r="D34" s="212"/>
      <c r="E34" s="211"/>
      <c r="F34" s="211"/>
      <c r="G34" s="213"/>
      <c r="H34" s="210">
        <v>1.1329113924050633</v>
      </c>
      <c r="I34" s="211">
        <v>1697.3083798882681</v>
      </c>
      <c r="J34" s="211">
        <v>20</v>
      </c>
      <c r="K34" s="20">
        <f t="shared" si="2"/>
        <v>384.58</v>
      </c>
      <c r="L34" s="20">
        <f t="shared" si="3"/>
        <v>92.65</v>
      </c>
      <c r="M34" s="213">
        <f t="shared" si="4"/>
        <v>477.23</v>
      </c>
      <c r="N34" s="211"/>
      <c r="O34" s="211"/>
      <c r="P34" s="211"/>
      <c r="Q34" s="211"/>
      <c r="R34" s="211"/>
      <c r="S34" s="213"/>
    </row>
    <row r="35" spans="1:19" s="214" customFormat="1" ht="18.75" customHeight="1" x14ac:dyDescent="0.25">
      <c r="A35" s="209" t="s">
        <v>80</v>
      </c>
      <c r="B35" s="210"/>
      <c r="C35" s="211"/>
      <c r="D35" s="212"/>
      <c r="E35" s="211"/>
      <c r="F35" s="211"/>
      <c r="G35" s="213"/>
      <c r="H35" s="210">
        <v>1.4430379746835442</v>
      </c>
      <c r="I35" s="211">
        <v>1832.5921052631577</v>
      </c>
      <c r="J35" s="211">
        <v>20</v>
      </c>
      <c r="K35" s="20">
        <f t="shared" si="2"/>
        <v>528.9</v>
      </c>
      <c r="L35" s="20">
        <f t="shared" si="3"/>
        <v>127.41</v>
      </c>
      <c r="M35" s="213">
        <f t="shared" si="4"/>
        <v>656.31</v>
      </c>
      <c r="N35" s="211"/>
      <c r="O35" s="211"/>
      <c r="P35" s="211"/>
      <c r="Q35" s="211"/>
      <c r="R35" s="211"/>
      <c r="S35" s="213"/>
    </row>
    <row r="36" spans="1:19" s="214" customFormat="1" ht="18.75" customHeight="1" x14ac:dyDescent="0.25">
      <c r="A36" s="209" t="s">
        <v>80</v>
      </c>
      <c r="B36" s="210"/>
      <c r="C36" s="211"/>
      <c r="D36" s="212"/>
      <c r="E36" s="211"/>
      <c r="F36" s="211"/>
      <c r="G36" s="213"/>
      <c r="H36" s="210">
        <v>0.36708860759493672</v>
      </c>
      <c r="I36" s="211">
        <v>1806.1034482758621</v>
      </c>
      <c r="J36" s="211">
        <v>20</v>
      </c>
      <c r="K36" s="20">
        <f t="shared" si="2"/>
        <v>132.6</v>
      </c>
      <c r="L36" s="20">
        <f t="shared" si="3"/>
        <v>31.94</v>
      </c>
      <c r="M36" s="213">
        <f t="shared" si="4"/>
        <v>164.54</v>
      </c>
      <c r="N36" s="211"/>
      <c r="O36" s="211"/>
      <c r="P36" s="211"/>
      <c r="Q36" s="211"/>
      <c r="R36" s="211"/>
      <c r="S36" s="213"/>
    </row>
    <row r="37" spans="1:19" s="214" customFormat="1" ht="18.75" customHeight="1" x14ac:dyDescent="0.25">
      <c r="A37" s="209" t="s">
        <v>80</v>
      </c>
      <c r="B37" s="210"/>
      <c r="C37" s="211"/>
      <c r="D37" s="212"/>
      <c r="E37" s="211"/>
      <c r="F37" s="211"/>
      <c r="G37" s="213"/>
      <c r="H37" s="210">
        <v>1.0822784810126582</v>
      </c>
      <c r="I37" s="211">
        <v>1535.0947368421052</v>
      </c>
      <c r="J37" s="211">
        <v>20</v>
      </c>
      <c r="K37" s="20">
        <f t="shared" si="2"/>
        <v>332.28</v>
      </c>
      <c r="L37" s="20">
        <f t="shared" si="3"/>
        <v>80.05</v>
      </c>
      <c r="M37" s="213">
        <f t="shared" si="4"/>
        <v>412.33</v>
      </c>
      <c r="N37" s="211"/>
      <c r="O37" s="211"/>
      <c r="P37" s="211"/>
      <c r="Q37" s="211"/>
      <c r="R37" s="211"/>
      <c r="S37" s="213"/>
    </row>
    <row r="38" spans="1:19" s="214" customFormat="1" ht="18.75" customHeight="1" x14ac:dyDescent="0.25">
      <c r="A38" s="209" t="s">
        <v>80</v>
      </c>
      <c r="B38" s="210"/>
      <c r="C38" s="211"/>
      <c r="D38" s="212"/>
      <c r="E38" s="211"/>
      <c r="F38" s="211"/>
      <c r="G38" s="213"/>
      <c r="H38" s="210">
        <v>0.87341772151898733</v>
      </c>
      <c r="I38" s="211">
        <v>1648.695652173913</v>
      </c>
      <c r="J38" s="211">
        <v>20</v>
      </c>
      <c r="K38" s="20">
        <f t="shared" si="2"/>
        <v>288</v>
      </c>
      <c r="L38" s="20">
        <f t="shared" si="3"/>
        <v>69.38</v>
      </c>
      <c r="M38" s="213">
        <f t="shared" si="4"/>
        <v>357.38</v>
      </c>
      <c r="N38" s="211"/>
      <c r="O38" s="211"/>
      <c r="P38" s="211"/>
      <c r="Q38" s="211"/>
      <c r="R38" s="211"/>
      <c r="S38" s="213"/>
    </row>
    <row r="39" spans="1:19" s="214" customFormat="1" ht="18.75" customHeight="1" x14ac:dyDescent="0.25">
      <c r="A39" s="209" t="s">
        <v>80</v>
      </c>
      <c r="B39" s="210"/>
      <c r="C39" s="211"/>
      <c r="D39" s="212"/>
      <c r="E39" s="211"/>
      <c r="F39" s="211"/>
      <c r="G39" s="213"/>
      <c r="H39" s="215">
        <v>1.018987341772152</v>
      </c>
      <c r="I39" s="211">
        <v>1668.7155279503104</v>
      </c>
      <c r="J39" s="211">
        <v>20</v>
      </c>
      <c r="K39" s="20">
        <f t="shared" si="2"/>
        <v>340.08</v>
      </c>
      <c r="L39" s="20">
        <f t="shared" si="3"/>
        <v>81.93</v>
      </c>
      <c r="M39" s="213">
        <f t="shared" si="4"/>
        <v>422.01</v>
      </c>
      <c r="N39" s="211"/>
      <c r="O39" s="211"/>
      <c r="P39" s="211"/>
      <c r="Q39" s="211"/>
      <c r="R39" s="211"/>
      <c r="S39" s="213"/>
    </row>
    <row r="40" spans="1:19" ht="18.75" customHeight="1" thickBot="1" x14ac:dyDescent="0.3">
      <c r="A40" s="132" t="s">
        <v>80</v>
      </c>
      <c r="B40" s="136"/>
      <c r="C40" s="20"/>
      <c r="D40" s="134"/>
      <c r="E40" s="20"/>
      <c r="F40" s="20"/>
      <c r="G40" s="21"/>
      <c r="H40" s="141">
        <v>1.2151898734177216</v>
      </c>
      <c r="I40" s="23">
        <v>1684.921875</v>
      </c>
      <c r="J40" s="23">
        <v>20</v>
      </c>
      <c r="K40" s="20">
        <f t="shared" si="2"/>
        <v>409.5</v>
      </c>
      <c r="L40" s="20">
        <f t="shared" si="3"/>
        <v>98.65</v>
      </c>
      <c r="M40" s="24">
        <f t="shared" si="4"/>
        <v>508.15</v>
      </c>
      <c r="N40" s="23"/>
      <c r="O40" s="23"/>
      <c r="P40" s="23"/>
      <c r="Q40" s="23"/>
      <c r="R40" s="23"/>
      <c r="S40" s="24"/>
    </row>
    <row r="41" spans="1:19" ht="49.5" customHeight="1" x14ac:dyDescent="0.25">
      <c r="A41" s="128" t="s">
        <v>12</v>
      </c>
      <c r="B41" s="216">
        <f>SUM(B42:B58)</f>
        <v>0</v>
      </c>
      <c r="C41" s="130"/>
      <c r="D41" s="130"/>
      <c r="E41" s="130">
        <f>SUM(E42:E58)</f>
        <v>0</v>
      </c>
      <c r="F41" s="130">
        <f>SUM(F42:F58)</f>
        <v>0</v>
      </c>
      <c r="G41" s="131">
        <f>SUM(G42:G58)</f>
        <v>0</v>
      </c>
      <c r="H41" s="217">
        <f>SUM(H42:H58)</f>
        <v>11.723590333716915</v>
      </c>
      <c r="I41" s="208"/>
      <c r="J41" s="130"/>
      <c r="K41" s="130">
        <f>SUM(K42:K58)</f>
        <v>2295.6099999999997</v>
      </c>
      <c r="L41" s="130">
        <f>SUM(L42:L58)</f>
        <v>553</v>
      </c>
      <c r="M41" s="131">
        <f>SUM(M42:M58)</f>
        <v>2848.6099999999997</v>
      </c>
      <c r="N41" s="218"/>
      <c r="O41" s="145"/>
      <c r="P41" s="145"/>
      <c r="Q41" s="145"/>
      <c r="R41" s="145"/>
      <c r="S41" s="146"/>
    </row>
    <row r="42" spans="1:19" x14ac:dyDescent="0.25">
      <c r="A42" s="132" t="s">
        <v>24</v>
      </c>
      <c r="B42" s="219"/>
      <c r="C42" s="20"/>
      <c r="D42" s="134"/>
      <c r="E42" s="20"/>
      <c r="F42" s="20"/>
      <c r="G42" s="21"/>
      <c r="H42" s="133">
        <v>0.16455696202531644</v>
      </c>
      <c r="I42" s="20">
        <v>775.59769230769234</v>
      </c>
      <c r="J42" s="20">
        <v>20</v>
      </c>
      <c r="K42" s="20">
        <f t="shared" si="2"/>
        <v>25.53</v>
      </c>
      <c r="L42" s="20">
        <f t="shared" si="3"/>
        <v>6.15</v>
      </c>
      <c r="M42" s="213">
        <f t="shared" si="4"/>
        <v>31.68</v>
      </c>
      <c r="N42" s="171"/>
      <c r="O42" s="20"/>
      <c r="P42" s="20"/>
      <c r="Q42" s="20"/>
      <c r="R42" s="20"/>
      <c r="S42" s="21"/>
    </row>
    <row r="43" spans="1:19" x14ac:dyDescent="0.25">
      <c r="A43" s="132" t="s">
        <v>24</v>
      </c>
      <c r="B43" s="219"/>
      <c r="C43" s="20"/>
      <c r="D43" s="134"/>
      <c r="E43" s="20"/>
      <c r="F43" s="20"/>
      <c r="G43" s="21"/>
      <c r="H43" s="133">
        <v>0.59493670886075944</v>
      </c>
      <c r="I43" s="20">
        <v>718.47978723404265</v>
      </c>
      <c r="J43" s="20">
        <v>20</v>
      </c>
      <c r="K43" s="20">
        <f t="shared" si="2"/>
        <v>85.49</v>
      </c>
      <c r="L43" s="20">
        <f t="shared" si="3"/>
        <v>20.59</v>
      </c>
      <c r="M43" s="213">
        <f t="shared" si="4"/>
        <v>106.08</v>
      </c>
      <c r="N43" s="171"/>
      <c r="O43" s="20"/>
      <c r="P43" s="20"/>
      <c r="Q43" s="20"/>
      <c r="R43" s="20"/>
      <c r="S43" s="21"/>
    </row>
    <row r="44" spans="1:19" x14ac:dyDescent="0.25">
      <c r="A44" s="220" t="s">
        <v>24</v>
      </c>
      <c r="B44" s="136"/>
      <c r="C44" s="20"/>
      <c r="D44" s="134"/>
      <c r="E44" s="20"/>
      <c r="F44" s="20"/>
      <c r="G44" s="21"/>
      <c r="H44" s="133">
        <v>0.70886075949367089</v>
      </c>
      <c r="I44" s="20">
        <v>655.7</v>
      </c>
      <c r="J44" s="20">
        <v>20</v>
      </c>
      <c r="K44" s="20">
        <f t="shared" si="2"/>
        <v>92.96</v>
      </c>
      <c r="L44" s="20">
        <f t="shared" si="3"/>
        <v>22.39</v>
      </c>
      <c r="M44" s="213">
        <f t="shared" si="4"/>
        <v>115.35</v>
      </c>
      <c r="N44" s="171"/>
      <c r="O44" s="20"/>
      <c r="P44" s="20"/>
      <c r="Q44" s="20"/>
      <c r="R44" s="20"/>
      <c r="S44" s="21"/>
    </row>
    <row r="45" spans="1:19" x14ac:dyDescent="0.25">
      <c r="A45" s="220" t="s">
        <v>24</v>
      </c>
      <c r="B45" s="219"/>
      <c r="C45" s="20"/>
      <c r="D45" s="134"/>
      <c r="E45" s="20"/>
      <c r="F45" s="20"/>
      <c r="G45" s="21"/>
      <c r="H45" s="133">
        <v>0.759493670886076</v>
      </c>
      <c r="I45" s="20">
        <v>1027.6583333333333</v>
      </c>
      <c r="J45" s="20">
        <v>20</v>
      </c>
      <c r="K45" s="20">
        <f t="shared" si="2"/>
        <v>156.1</v>
      </c>
      <c r="L45" s="20">
        <f t="shared" si="3"/>
        <v>37.6</v>
      </c>
      <c r="M45" s="213">
        <f t="shared" si="4"/>
        <v>193.7</v>
      </c>
      <c r="N45" s="171"/>
      <c r="O45" s="20"/>
      <c r="P45" s="20"/>
      <c r="Q45" s="20"/>
      <c r="R45" s="20"/>
      <c r="S45" s="21"/>
    </row>
    <row r="46" spans="1:19" x14ac:dyDescent="0.25">
      <c r="A46" s="220" t="s">
        <v>24</v>
      </c>
      <c r="B46" s="219"/>
      <c r="C46" s="20"/>
      <c r="D46" s="134"/>
      <c r="E46" s="20"/>
      <c r="F46" s="20"/>
      <c r="G46" s="21"/>
      <c r="H46" s="133">
        <v>1.2531645569620253</v>
      </c>
      <c r="I46" s="20">
        <v>951.86222222222216</v>
      </c>
      <c r="J46" s="20">
        <v>20</v>
      </c>
      <c r="K46" s="20">
        <f t="shared" si="2"/>
        <v>238.57</v>
      </c>
      <c r="L46" s="20">
        <f t="shared" si="3"/>
        <v>57.47</v>
      </c>
      <c r="M46" s="213">
        <f t="shared" si="4"/>
        <v>296.03999999999996</v>
      </c>
      <c r="N46" s="171"/>
      <c r="O46" s="20"/>
      <c r="P46" s="20"/>
      <c r="Q46" s="20"/>
      <c r="R46" s="20"/>
      <c r="S46" s="21"/>
    </row>
    <row r="47" spans="1:19" x14ac:dyDescent="0.25">
      <c r="A47" s="220" t="s">
        <v>24</v>
      </c>
      <c r="B47" s="219"/>
      <c r="C47" s="20"/>
      <c r="D47" s="134"/>
      <c r="E47" s="20"/>
      <c r="F47" s="20"/>
      <c r="G47" s="21"/>
      <c r="H47" s="133">
        <v>0.82278481012658233</v>
      </c>
      <c r="I47" s="20">
        <v>1034.024923076923</v>
      </c>
      <c r="J47" s="20">
        <v>20</v>
      </c>
      <c r="K47" s="20">
        <f t="shared" si="2"/>
        <v>170.16</v>
      </c>
      <c r="L47" s="20">
        <f t="shared" si="3"/>
        <v>40.99</v>
      </c>
      <c r="M47" s="213">
        <f t="shared" si="4"/>
        <v>211.15</v>
      </c>
      <c r="N47" s="171"/>
      <c r="O47" s="20"/>
      <c r="P47" s="20"/>
      <c r="Q47" s="20"/>
      <c r="R47" s="20"/>
      <c r="S47" s="21"/>
    </row>
    <row r="48" spans="1:19" x14ac:dyDescent="0.25">
      <c r="A48" s="220" t="s">
        <v>24</v>
      </c>
      <c r="B48" s="219"/>
      <c r="C48" s="20"/>
      <c r="D48" s="134"/>
      <c r="E48" s="20"/>
      <c r="F48" s="20"/>
      <c r="G48" s="21"/>
      <c r="H48" s="133">
        <v>1.0632911392405062</v>
      </c>
      <c r="I48" s="20">
        <v>1121.837619047619</v>
      </c>
      <c r="J48" s="20">
        <v>20</v>
      </c>
      <c r="K48" s="20">
        <f t="shared" si="2"/>
        <v>238.57</v>
      </c>
      <c r="L48" s="20">
        <f t="shared" si="3"/>
        <v>57.47</v>
      </c>
      <c r="M48" s="213">
        <f t="shared" si="4"/>
        <v>296.03999999999996</v>
      </c>
      <c r="N48" s="171"/>
      <c r="O48" s="20"/>
      <c r="P48" s="20"/>
      <c r="Q48" s="20"/>
      <c r="R48" s="20"/>
      <c r="S48" s="21"/>
    </row>
    <row r="49" spans="1:19" x14ac:dyDescent="0.25">
      <c r="A49" s="220" t="s">
        <v>24</v>
      </c>
      <c r="B49" s="136"/>
      <c r="C49" s="20"/>
      <c r="D49" s="134"/>
      <c r="E49" s="20"/>
      <c r="F49" s="20"/>
      <c r="G49" s="21"/>
      <c r="H49" s="133">
        <v>1.2151898734177216</v>
      </c>
      <c r="I49" s="20">
        <v>1030.0777083333332</v>
      </c>
      <c r="J49" s="20">
        <v>20</v>
      </c>
      <c r="K49" s="20">
        <f t="shared" si="2"/>
        <v>250.35</v>
      </c>
      <c r="L49" s="20">
        <f t="shared" si="3"/>
        <v>60.31</v>
      </c>
      <c r="M49" s="213">
        <f t="shared" si="4"/>
        <v>310.65999999999997</v>
      </c>
      <c r="N49" s="171"/>
      <c r="O49" s="20"/>
      <c r="P49" s="20"/>
      <c r="Q49" s="20"/>
      <c r="R49" s="20"/>
      <c r="S49" s="21"/>
    </row>
    <row r="50" spans="1:19" x14ac:dyDescent="0.25">
      <c r="A50" s="220" t="s">
        <v>21</v>
      </c>
      <c r="B50" s="221"/>
      <c r="C50" s="145"/>
      <c r="D50" s="222"/>
      <c r="E50" s="145"/>
      <c r="F50" s="145"/>
      <c r="G50" s="146"/>
      <c r="H50" s="133">
        <v>0.189873417721519</v>
      </c>
      <c r="I50" s="20">
        <v>745.75999999999988</v>
      </c>
      <c r="J50" s="20">
        <v>20</v>
      </c>
      <c r="K50" s="20">
        <f t="shared" si="2"/>
        <v>28.32</v>
      </c>
      <c r="L50" s="20">
        <f t="shared" si="3"/>
        <v>6.82</v>
      </c>
      <c r="M50" s="213">
        <f t="shared" si="4"/>
        <v>35.14</v>
      </c>
      <c r="N50" s="171"/>
      <c r="O50" s="20"/>
      <c r="P50" s="20"/>
      <c r="Q50" s="20"/>
      <c r="R50" s="20"/>
      <c r="S50" s="20"/>
    </row>
    <row r="51" spans="1:19" x14ac:dyDescent="0.25">
      <c r="A51" s="220" t="s">
        <v>21</v>
      </c>
      <c r="B51" s="221"/>
      <c r="C51" s="145"/>
      <c r="D51" s="222"/>
      <c r="E51" s="145"/>
      <c r="F51" s="145"/>
      <c r="G51" s="146"/>
      <c r="H51" s="133">
        <v>0.189873417721519</v>
      </c>
      <c r="I51" s="20">
        <v>1024.1559999999999</v>
      </c>
      <c r="J51" s="20">
        <v>20</v>
      </c>
      <c r="K51" s="20">
        <f t="shared" si="2"/>
        <v>38.89</v>
      </c>
      <c r="L51" s="20">
        <f t="shared" si="3"/>
        <v>9.3699999999999992</v>
      </c>
      <c r="M51" s="213">
        <f t="shared" si="4"/>
        <v>48.26</v>
      </c>
      <c r="N51" s="171"/>
      <c r="O51" s="20"/>
      <c r="P51" s="20"/>
      <c r="Q51" s="20"/>
      <c r="R51" s="20"/>
      <c r="S51" s="20"/>
    </row>
    <row r="52" spans="1:19" x14ac:dyDescent="0.25">
      <c r="A52" s="220" t="s">
        <v>21</v>
      </c>
      <c r="B52" s="221"/>
      <c r="C52" s="145"/>
      <c r="D52" s="222"/>
      <c r="E52" s="145"/>
      <c r="F52" s="145"/>
      <c r="G52" s="146"/>
      <c r="H52" s="133">
        <v>0.379746835443038</v>
      </c>
      <c r="I52" s="20">
        <v>1024.1823333333332</v>
      </c>
      <c r="J52" s="20">
        <v>20</v>
      </c>
      <c r="K52" s="20">
        <f t="shared" si="2"/>
        <v>77.790000000000006</v>
      </c>
      <c r="L52" s="20">
        <f t="shared" si="3"/>
        <v>18.739999999999998</v>
      </c>
      <c r="M52" s="213">
        <f t="shared" si="4"/>
        <v>96.53</v>
      </c>
      <c r="N52" s="171"/>
      <c r="O52" s="20"/>
      <c r="P52" s="20"/>
      <c r="Q52" s="20"/>
      <c r="R52" s="20"/>
      <c r="S52" s="20"/>
    </row>
    <row r="53" spans="1:19" x14ac:dyDescent="0.25">
      <c r="A53" s="223" t="s">
        <v>231</v>
      </c>
      <c r="B53" s="221"/>
      <c r="C53" s="145"/>
      <c r="D53" s="222"/>
      <c r="E53" s="145"/>
      <c r="F53" s="145"/>
      <c r="G53" s="146"/>
      <c r="H53" s="133">
        <v>0.14545454545454545</v>
      </c>
      <c r="I53" s="20">
        <v>944.96875</v>
      </c>
      <c r="J53" s="20">
        <v>20</v>
      </c>
      <c r="K53" s="20">
        <f t="shared" si="2"/>
        <v>27.49</v>
      </c>
      <c r="L53" s="20">
        <f t="shared" si="3"/>
        <v>6.62</v>
      </c>
      <c r="M53" s="213">
        <f t="shared" si="4"/>
        <v>34.11</v>
      </c>
      <c r="N53" s="171"/>
      <c r="O53" s="20"/>
      <c r="P53" s="20"/>
      <c r="Q53" s="20"/>
      <c r="R53" s="20"/>
      <c r="S53" s="20"/>
    </row>
    <row r="54" spans="1:19" x14ac:dyDescent="0.25">
      <c r="A54" s="223" t="s">
        <v>231</v>
      </c>
      <c r="B54" s="221"/>
      <c r="C54" s="145"/>
      <c r="D54" s="222"/>
      <c r="E54" s="145"/>
      <c r="F54" s="145"/>
      <c r="G54" s="146"/>
      <c r="H54" s="133">
        <v>0.29090909090909089</v>
      </c>
      <c r="I54" s="20">
        <v>1151.9750000000001</v>
      </c>
      <c r="J54" s="20">
        <v>20</v>
      </c>
      <c r="K54" s="20">
        <f t="shared" si="2"/>
        <v>67.02</v>
      </c>
      <c r="L54" s="20">
        <f t="shared" si="3"/>
        <v>16.149999999999999</v>
      </c>
      <c r="M54" s="213">
        <f t="shared" si="4"/>
        <v>83.169999999999987</v>
      </c>
      <c r="N54" s="171"/>
      <c r="O54" s="20"/>
      <c r="P54" s="20"/>
      <c r="Q54" s="20"/>
      <c r="R54" s="20"/>
      <c r="S54" s="20"/>
    </row>
    <row r="55" spans="1:19" x14ac:dyDescent="0.25">
      <c r="A55" s="223" t="s">
        <v>231</v>
      </c>
      <c r="B55" s="221"/>
      <c r="C55" s="145"/>
      <c r="D55" s="222"/>
      <c r="E55" s="145"/>
      <c r="F55" s="145"/>
      <c r="G55" s="146"/>
      <c r="H55" s="133">
        <v>0.43636363636363634</v>
      </c>
      <c r="I55" s="20">
        <v>1214.9270833333333</v>
      </c>
      <c r="J55" s="20">
        <v>20</v>
      </c>
      <c r="K55" s="20">
        <f t="shared" si="2"/>
        <v>106.03</v>
      </c>
      <c r="L55" s="20">
        <f t="shared" si="3"/>
        <v>25.54</v>
      </c>
      <c r="M55" s="213">
        <f t="shared" si="4"/>
        <v>131.57</v>
      </c>
      <c r="N55" s="171"/>
      <c r="O55" s="20"/>
      <c r="P55" s="20"/>
      <c r="Q55" s="20"/>
      <c r="R55" s="20"/>
      <c r="S55" s="20"/>
    </row>
    <row r="56" spans="1:19" x14ac:dyDescent="0.25">
      <c r="A56" s="223" t="s">
        <v>231</v>
      </c>
      <c r="B56" s="221"/>
      <c r="C56" s="145"/>
      <c r="D56" s="222"/>
      <c r="E56" s="145"/>
      <c r="F56" s="145"/>
      <c r="G56" s="146"/>
      <c r="H56" s="133">
        <v>0.43636363636363634</v>
      </c>
      <c r="I56" s="20">
        <v>944.94583333333333</v>
      </c>
      <c r="J56" s="20">
        <v>20</v>
      </c>
      <c r="K56" s="20">
        <f t="shared" si="2"/>
        <v>82.47</v>
      </c>
      <c r="L56" s="20">
        <f t="shared" si="3"/>
        <v>19.87</v>
      </c>
      <c r="M56" s="213">
        <f t="shared" si="4"/>
        <v>102.34</v>
      </c>
      <c r="N56" s="171"/>
      <c r="O56" s="20"/>
      <c r="P56" s="20"/>
      <c r="Q56" s="20"/>
      <c r="R56" s="20"/>
      <c r="S56" s="20"/>
    </row>
    <row r="57" spans="1:19" x14ac:dyDescent="0.25">
      <c r="A57" s="223" t="s">
        <v>231</v>
      </c>
      <c r="B57" s="221"/>
      <c r="C57" s="145"/>
      <c r="D57" s="222"/>
      <c r="E57" s="145"/>
      <c r="F57" s="145"/>
      <c r="G57" s="146"/>
      <c r="H57" s="133">
        <v>1.3090909090909091</v>
      </c>
      <c r="I57" s="20">
        <v>1034.9395833333333</v>
      </c>
      <c r="J57" s="20">
        <v>20</v>
      </c>
      <c r="K57" s="20">
        <f t="shared" si="2"/>
        <v>270.97000000000003</v>
      </c>
      <c r="L57" s="20">
        <f t="shared" si="3"/>
        <v>65.28</v>
      </c>
      <c r="M57" s="213">
        <f t="shared" si="4"/>
        <v>336.25</v>
      </c>
      <c r="N57" s="171"/>
      <c r="O57" s="20"/>
      <c r="P57" s="20"/>
      <c r="Q57" s="20"/>
      <c r="R57" s="20"/>
      <c r="S57" s="20"/>
    </row>
    <row r="58" spans="1:19" ht="17.25" thickBot="1" x14ac:dyDescent="0.3">
      <c r="A58" s="224" t="s">
        <v>231</v>
      </c>
      <c r="B58" s="142"/>
      <c r="C58" s="23"/>
      <c r="D58" s="154"/>
      <c r="E58" s="23"/>
      <c r="F58" s="23"/>
      <c r="G58" s="24"/>
      <c r="H58" s="141">
        <v>1.7636363636363637</v>
      </c>
      <c r="I58" s="23">
        <v>960.7876288659794</v>
      </c>
      <c r="J58" s="23">
        <v>20</v>
      </c>
      <c r="K58" s="20">
        <f t="shared" si="2"/>
        <v>338.9</v>
      </c>
      <c r="L58" s="20">
        <f t="shared" si="3"/>
        <v>81.64</v>
      </c>
      <c r="M58" s="226">
        <f t="shared" si="4"/>
        <v>420.53999999999996</v>
      </c>
      <c r="N58" s="184"/>
      <c r="O58" s="23"/>
      <c r="P58" s="23"/>
      <c r="Q58" s="23"/>
      <c r="R58" s="23"/>
      <c r="S58" s="24"/>
    </row>
    <row r="59" spans="1:19" ht="57" customHeight="1" x14ac:dyDescent="0.25">
      <c r="A59" s="151" t="s">
        <v>13</v>
      </c>
      <c r="B59" s="227">
        <f>SUM(B60:B63)</f>
        <v>0</v>
      </c>
      <c r="C59" s="227"/>
      <c r="D59" s="227"/>
      <c r="E59" s="228">
        <f>SUM(E60:E63)</f>
        <v>0</v>
      </c>
      <c r="F59" s="228">
        <f>SUM(F60:F63)</f>
        <v>0</v>
      </c>
      <c r="G59" s="229">
        <f>SUM(G60:G63)</f>
        <v>0</v>
      </c>
      <c r="H59" s="217">
        <f>SUM(H60:H63)</f>
        <v>3.0379746835443036</v>
      </c>
      <c r="I59" s="230"/>
      <c r="J59" s="216"/>
      <c r="K59" s="130">
        <f>SUM(K60:K63)</f>
        <v>476.94000000000005</v>
      </c>
      <c r="L59" s="130">
        <f>SUM(L60:L63)</f>
        <v>114.9</v>
      </c>
      <c r="M59" s="131">
        <f>SUM(M60:M63)</f>
        <v>591.83999999999992</v>
      </c>
      <c r="N59" s="144"/>
      <c r="O59" s="145"/>
      <c r="P59" s="145"/>
      <c r="Q59" s="145"/>
      <c r="R59" s="145"/>
      <c r="S59" s="146"/>
    </row>
    <row r="60" spans="1:19" x14ac:dyDescent="0.25">
      <c r="A60" s="132" t="s">
        <v>25</v>
      </c>
      <c r="B60" s="219"/>
      <c r="C60" s="20"/>
      <c r="D60" s="134"/>
      <c r="E60" s="20"/>
      <c r="F60" s="20"/>
      <c r="G60" s="21"/>
      <c r="H60" s="133">
        <v>0.60759493670886078</v>
      </c>
      <c r="I60" s="20">
        <v>797.24166666666656</v>
      </c>
      <c r="J60" s="20">
        <v>20</v>
      </c>
      <c r="K60" s="20">
        <f t="shared" si="2"/>
        <v>96.88</v>
      </c>
      <c r="L60" s="20">
        <f t="shared" si="3"/>
        <v>23.34</v>
      </c>
      <c r="M60" s="213">
        <f>K60+L60</f>
        <v>120.22</v>
      </c>
      <c r="N60" s="19"/>
      <c r="O60" s="20"/>
      <c r="P60" s="20"/>
      <c r="Q60" s="20"/>
      <c r="R60" s="20"/>
      <c r="S60" s="21"/>
    </row>
    <row r="61" spans="1:19" x14ac:dyDescent="0.25">
      <c r="A61" s="132" t="s">
        <v>25</v>
      </c>
      <c r="B61" s="219"/>
      <c r="C61" s="20"/>
      <c r="D61" s="134"/>
      <c r="E61" s="20"/>
      <c r="F61" s="20"/>
      <c r="G61" s="21"/>
      <c r="H61" s="133">
        <v>0.45569620253164556</v>
      </c>
      <c r="I61" s="20">
        <v>681.39694444444444</v>
      </c>
      <c r="J61" s="20">
        <v>20</v>
      </c>
      <c r="K61" s="20">
        <f t="shared" si="2"/>
        <v>62.1</v>
      </c>
      <c r="L61" s="20">
        <f t="shared" si="3"/>
        <v>14.96</v>
      </c>
      <c r="M61" s="213">
        <f>K61+L61</f>
        <v>77.06</v>
      </c>
      <c r="N61" s="19"/>
      <c r="O61" s="20"/>
      <c r="P61" s="20"/>
      <c r="Q61" s="20"/>
      <c r="R61" s="20"/>
      <c r="S61" s="21"/>
    </row>
    <row r="62" spans="1:19" x14ac:dyDescent="0.25">
      <c r="A62" s="132" t="s">
        <v>25</v>
      </c>
      <c r="B62" s="219"/>
      <c r="C62" s="20"/>
      <c r="D62" s="134"/>
      <c r="E62" s="20"/>
      <c r="F62" s="20"/>
      <c r="G62" s="21"/>
      <c r="H62" s="133">
        <v>1.0632911392405062</v>
      </c>
      <c r="I62" s="20">
        <v>820.0200000000001</v>
      </c>
      <c r="J62" s="20">
        <v>20</v>
      </c>
      <c r="K62" s="20">
        <f t="shared" si="2"/>
        <v>174.38</v>
      </c>
      <c r="L62" s="20">
        <f t="shared" si="3"/>
        <v>42.01</v>
      </c>
      <c r="M62" s="213">
        <f>K62+L62</f>
        <v>216.39</v>
      </c>
      <c r="N62" s="19"/>
      <c r="O62" s="20"/>
      <c r="P62" s="20"/>
      <c r="Q62" s="20"/>
      <c r="R62" s="20"/>
      <c r="S62" s="21"/>
    </row>
    <row r="63" spans="1:19" ht="17.25" thickBot="1" x14ac:dyDescent="0.3">
      <c r="A63" s="135" t="s">
        <v>25</v>
      </c>
      <c r="B63" s="231"/>
      <c r="C63" s="23"/>
      <c r="D63" s="154"/>
      <c r="E63" s="23"/>
      <c r="F63" s="23"/>
      <c r="G63" s="24"/>
      <c r="H63" s="141">
        <v>0.91139240506329111</v>
      </c>
      <c r="I63" s="23">
        <v>787.69583333333344</v>
      </c>
      <c r="J63" s="20">
        <v>20</v>
      </c>
      <c r="K63" s="23">
        <f t="shared" si="2"/>
        <v>143.58000000000001</v>
      </c>
      <c r="L63" s="23">
        <f t="shared" si="3"/>
        <v>34.590000000000003</v>
      </c>
      <c r="M63" s="226">
        <f>K63+L63</f>
        <v>178.17000000000002</v>
      </c>
      <c r="N63" s="19"/>
      <c r="O63" s="20"/>
      <c r="P63" s="20"/>
      <c r="Q63" s="20"/>
      <c r="R63" s="20"/>
      <c r="S63" s="21"/>
    </row>
    <row r="64" spans="1:19" ht="36" customHeight="1" x14ac:dyDescent="0.25">
      <c r="A64" s="140" t="s">
        <v>11</v>
      </c>
      <c r="B64" s="232"/>
      <c r="C64" s="145"/>
      <c r="D64" s="145"/>
      <c r="E64" s="145"/>
      <c r="F64" s="145"/>
      <c r="G64" s="145"/>
      <c r="H64" s="218"/>
      <c r="I64" s="145"/>
      <c r="J64" s="145"/>
      <c r="K64" s="145"/>
      <c r="L64" s="145"/>
      <c r="M64" s="146"/>
      <c r="N64" s="19"/>
      <c r="O64" s="20"/>
      <c r="P64" s="20"/>
      <c r="Q64" s="20"/>
      <c r="R64" s="20"/>
      <c r="S64" s="21"/>
    </row>
    <row r="65" spans="1:19" ht="17.25" thickBot="1" x14ac:dyDescent="0.3">
      <c r="A65" s="18" t="s">
        <v>1</v>
      </c>
      <c r="B65" s="233"/>
      <c r="C65" s="20"/>
      <c r="D65" s="20"/>
      <c r="E65" s="20"/>
      <c r="F65" s="20"/>
      <c r="G65" s="20"/>
      <c r="H65" s="171"/>
      <c r="I65" s="20"/>
      <c r="J65" s="20"/>
      <c r="K65" s="20"/>
      <c r="L65" s="20"/>
      <c r="M65" s="21"/>
      <c r="N65" s="19"/>
      <c r="O65" s="20"/>
      <c r="P65" s="20"/>
      <c r="Q65" s="20"/>
      <c r="R65" s="20"/>
      <c r="S65" s="21"/>
    </row>
    <row r="66" spans="1:19" s="1" customFormat="1" ht="24" customHeight="1" thickBot="1" x14ac:dyDescent="0.3">
      <c r="A66" s="150" t="s">
        <v>85</v>
      </c>
      <c r="B66" s="234"/>
      <c r="C66" s="235"/>
      <c r="D66" s="235"/>
      <c r="E66" s="235">
        <f>E67+E69+E73</f>
        <v>0</v>
      </c>
      <c r="F66" s="235">
        <f>F67+F69+F73</f>
        <v>0</v>
      </c>
      <c r="G66" s="236">
        <f>G67+G69+G73</f>
        <v>0</v>
      </c>
      <c r="H66" s="167"/>
      <c r="I66" s="16"/>
      <c r="J66" s="16"/>
      <c r="K66" s="16"/>
      <c r="L66" s="16"/>
      <c r="M66" s="17"/>
      <c r="N66" s="15"/>
      <c r="O66" s="16"/>
      <c r="P66" s="16"/>
      <c r="Q66" s="16"/>
      <c r="R66" s="16"/>
      <c r="S66" s="17"/>
    </row>
    <row r="67" spans="1:19" ht="52.5" customHeight="1" x14ac:dyDescent="0.25">
      <c r="A67" s="151" t="s">
        <v>14</v>
      </c>
      <c r="B67" s="232"/>
      <c r="C67" s="145"/>
      <c r="D67" s="145"/>
      <c r="E67" s="152">
        <f>E68</f>
        <v>0</v>
      </c>
      <c r="F67" s="152">
        <f>F68</f>
        <v>0</v>
      </c>
      <c r="G67" s="153">
        <f>G68</f>
        <v>0</v>
      </c>
      <c r="H67" s="171"/>
      <c r="I67" s="20"/>
      <c r="J67" s="20"/>
      <c r="K67" s="20"/>
      <c r="L67" s="20"/>
      <c r="M67" s="21"/>
      <c r="N67" s="19"/>
      <c r="O67" s="20"/>
      <c r="P67" s="20"/>
      <c r="Q67" s="20"/>
      <c r="R67" s="20"/>
      <c r="S67" s="21"/>
    </row>
    <row r="68" spans="1:19" ht="18.75" customHeight="1" thickBot="1" x14ac:dyDescent="0.3">
      <c r="A68" s="135" t="s">
        <v>80</v>
      </c>
      <c r="B68" s="237"/>
      <c r="C68" s="23"/>
      <c r="D68" s="238"/>
      <c r="E68" s="23"/>
      <c r="F68" s="23"/>
      <c r="G68" s="24"/>
      <c r="H68" s="171"/>
      <c r="I68" s="20"/>
      <c r="J68" s="20"/>
      <c r="K68" s="20"/>
      <c r="L68" s="20"/>
      <c r="M68" s="21"/>
      <c r="N68" s="19"/>
      <c r="O68" s="20"/>
      <c r="P68" s="20"/>
      <c r="Q68" s="20"/>
      <c r="R68" s="20"/>
      <c r="S68" s="21"/>
    </row>
    <row r="69" spans="1:19" ht="49.5" customHeight="1" x14ac:dyDescent="0.25">
      <c r="A69" s="128" t="s">
        <v>12</v>
      </c>
      <c r="B69" s="239"/>
      <c r="C69" s="156"/>
      <c r="D69" s="156"/>
      <c r="E69" s="157">
        <f>E70</f>
        <v>0</v>
      </c>
      <c r="F69" s="157">
        <f>F70</f>
        <v>0</v>
      </c>
      <c r="G69" s="158">
        <f>G70</f>
        <v>0</v>
      </c>
      <c r="H69" s="171"/>
      <c r="I69" s="20"/>
      <c r="J69" s="20"/>
      <c r="K69" s="20"/>
      <c r="L69" s="20"/>
      <c r="M69" s="21"/>
      <c r="N69" s="19"/>
      <c r="O69" s="20"/>
      <c r="P69" s="20"/>
      <c r="Q69" s="20"/>
      <c r="R69" s="20"/>
      <c r="S69" s="21"/>
    </row>
    <row r="70" spans="1:19" ht="17.25" thickBot="1" x14ac:dyDescent="0.3">
      <c r="A70" s="135" t="s">
        <v>23</v>
      </c>
      <c r="B70" s="237"/>
      <c r="C70" s="23"/>
      <c r="D70" s="154"/>
      <c r="E70" s="23"/>
      <c r="F70" s="23"/>
      <c r="G70" s="24"/>
      <c r="H70" s="171"/>
      <c r="I70" s="20"/>
      <c r="J70" s="20"/>
      <c r="K70" s="20"/>
      <c r="L70" s="20"/>
      <c r="M70" s="21"/>
      <c r="N70" s="19"/>
      <c r="O70" s="20"/>
      <c r="P70" s="20"/>
      <c r="Q70" s="20"/>
      <c r="R70" s="20"/>
      <c r="S70" s="21"/>
    </row>
    <row r="71" spans="1:19" ht="64.5" customHeight="1" x14ac:dyDescent="0.25">
      <c r="A71" s="128" t="s">
        <v>13</v>
      </c>
      <c r="B71" s="239"/>
      <c r="C71" s="156"/>
      <c r="D71" s="156"/>
      <c r="E71" s="156"/>
      <c r="F71" s="156"/>
      <c r="G71" s="240"/>
      <c r="H71" s="171"/>
      <c r="I71" s="20"/>
      <c r="J71" s="20"/>
      <c r="K71" s="20"/>
      <c r="L71" s="20"/>
      <c r="M71" s="21"/>
      <c r="N71" s="19"/>
      <c r="O71" s="20"/>
      <c r="P71" s="20"/>
      <c r="Q71" s="20"/>
      <c r="R71" s="20"/>
      <c r="S71" s="21"/>
    </row>
    <row r="72" spans="1:19" ht="17.25" thickBot="1" x14ac:dyDescent="0.3">
      <c r="A72" s="132" t="s">
        <v>1</v>
      </c>
      <c r="B72" s="233"/>
      <c r="C72" s="20"/>
      <c r="D72" s="20"/>
      <c r="E72" s="20"/>
      <c r="F72" s="20"/>
      <c r="G72" s="21"/>
      <c r="H72" s="171"/>
      <c r="I72" s="20"/>
      <c r="J72" s="20"/>
      <c r="K72" s="20"/>
      <c r="L72" s="20"/>
      <c r="M72" s="21"/>
      <c r="N72" s="19"/>
      <c r="O72" s="20"/>
      <c r="P72" s="20"/>
      <c r="Q72" s="20"/>
      <c r="R72" s="20"/>
      <c r="S72" s="21"/>
    </row>
    <row r="73" spans="1:19" ht="37.5" customHeight="1" x14ac:dyDescent="0.25">
      <c r="A73" s="128" t="s">
        <v>11</v>
      </c>
      <c r="B73" s="239"/>
      <c r="C73" s="156"/>
      <c r="D73" s="156"/>
      <c r="E73" s="157">
        <f>E74</f>
        <v>0</v>
      </c>
      <c r="F73" s="157">
        <f>F74</f>
        <v>0</v>
      </c>
      <c r="G73" s="158">
        <f>G74</f>
        <v>0</v>
      </c>
      <c r="H73" s="171"/>
      <c r="I73" s="20"/>
      <c r="J73" s="20"/>
      <c r="K73" s="20"/>
      <c r="L73" s="20"/>
      <c r="M73" s="21"/>
      <c r="N73" s="19"/>
      <c r="O73" s="20"/>
      <c r="P73" s="20"/>
      <c r="Q73" s="20"/>
      <c r="R73" s="20"/>
      <c r="S73" s="21"/>
    </row>
    <row r="74" spans="1:19" ht="17.25" thickBot="1" x14ac:dyDescent="0.3">
      <c r="A74" s="135" t="s">
        <v>232</v>
      </c>
      <c r="B74" s="231"/>
      <c r="C74" s="23"/>
      <c r="D74" s="154"/>
      <c r="E74" s="23"/>
      <c r="F74" s="23"/>
      <c r="G74" s="24"/>
      <c r="H74" s="171"/>
      <c r="I74" s="20"/>
      <c r="J74" s="20"/>
      <c r="K74" s="20"/>
      <c r="L74" s="20"/>
      <c r="M74" s="21"/>
      <c r="N74" s="19"/>
      <c r="O74" s="20"/>
      <c r="P74" s="20"/>
      <c r="Q74" s="20"/>
      <c r="R74" s="20"/>
      <c r="S74" s="21"/>
    </row>
    <row r="76" spans="1:19" ht="16.5" customHeight="1" x14ac:dyDescent="0.25">
      <c r="A76" s="901" t="s">
        <v>33</v>
      </c>
      <c r="B76" s="901"/>
      <c r="C76" s="901"/>
      <c r="D76" s="901"/>
      <c r="E76" s="901"/>
      <c r="F76" s="901"/>
      <c r="G76" s="901"/>
      <c r="H76" s="901"/>
      <c r="I76" s="901"/>
      <c r="J76" s="901"/>
      <c r="K76" s="901"/>
      <c r="L76" s="901"/>
      <c r="M76" s="901"/>
      <c r="N76" s="901"/>
      <c r="O76" s="901"/>
      <c r="P76" s="901"/>
      <c r="Q76" s="901"/>
      <c r="R76" s="901"/>
    </row>
    <row r="77" spans="1:19" x14ac:dyDescent="0.25">
      <c r="S77" s="25"/>
    </row>
    <row r="78" spans="1:19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</sheetData>
  <mergeCells count="6">
    <mergeCell ref="A76:R76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253"/>
  <sheetViews>
    <sheetView zoomScale="70" zoomScaleNormal="70" workbookViewId="0">
      <selection activeCell="F143" sqref="F143"/>
    </sheetView>
  </sheetViews>
  <sheetFormatPr defaultRowHeight="16.5" x14ac:dyDescent="0.25"/>
  <cols>
    <col min="1" max="1" width="57.140625" style="2" customWidth="1"/>
    <col min="2" max="2" width="14" style="2" customWidth="1"/>
    <col min="3" max="3" width="16" style="2" customWidth="1"/>
    <col min="4" max="13" width="14" style="2" customWidth="1"/>
    <col min="14" max="19" width="14" style="2" hidden="1" customWidth="1"/>
    <col min="20" max="20" width="9.140625" style="2"/>
    <col min="21" max="21" width="13.28515625" style="2" customWidth="1"/>
    <col min="22" max="16384" width="9.140625" style="2"/>
  </cols>
  <sheetData>
    <row r="2" spans="1:19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19" x14ac:dyDescent="0.25">
      <c r="A4" s="2" t="s">
        <v>1018</v>
      </c>
    </row>
    <row r="5" spans="1:19" ht="17.25" thickBot="1" x14ac:dyDescent="0.3"/>
    <row r="6" spans="1:19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908" t="s">
        <v>169</v>
      </c>
      <c r="I6" s="909"/>
      <c r="J6" s="909"/>
      <c r="K6" s="909"/>
      <c r="L6" s="909"/>
      <c r="M6" s="910"/>
      <c r="N6" s="857" t="s">
        <v>5</v>
      </c>
      <c r="O6" s="858"/>
      <c r="P6" s="858"/>
      <c r="Q6" s="858"/>
      <c r="R6" s="858"/>
      <c r="S6" s="859"/>
    </row>
    <row r="7" spans="1:19" ht="104.25" customHeight="1" x14ac:dyDescent="0.25">
      <c r="A7" s="907"/>
      <c r="B7" s="3" t="s">
        <v>78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78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78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19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19" s="1" customFormat="1" ht="26.25" customHeight="1" x14ac:dyDescent="0.25">
      <c r="A9" s="10" t="s">
        <v>0</v>
      </c>
      <c r="B9" s="11"/>
      <c r="C9" s="12"/>
      <c r="D9" s="12"/>
      <c r="E9" s="12"/>
      <c r="F9" s="12"/>
      <c r="G9" s="13"/>
      <c r="H9" s="11">
        <f>ROUND(SUM(H10:H248)/3,2)</f>
        <v>110.07</v>
      </c>
      <c r="I9" s="12">
        <f>ROUND(SUM(I10:I248)/3,2)</f>
        <v>95557.98</v>
      </c>
      <c r="J9" s="12">
        <f>K9/I9*100</f>
        <v>20.000004185940305</v>
      </c>
      <c r="K9" s="12">
        <f>ROUND(SUM(K10:K248)/3,2)</f>
        <v>19111.599999999999</v>
      </c>
      <c r="L9" s="12">
        <f>ROUND(SUM(L10:L248)/3,2)</f>
        <v>4603.97</v>
      </c>
      <c r="M9" s="13">
        <f>ROUND(SUM(M10:M248)/3,2)</f>
        <v>23715.57</v>
      </c>
      <c r="N9" s="11"/>
      <c r="O9" s="12"/>
      <c r="P9" s="12"/>
      <c r="Q9" s="12"/>
      <c r="R9" s="12"/>
      <c r="S9" s="13"/>
    </row>
    <row r="10" spans="1:19" s="1" customFormat="1" ht="21.75" customHeight="1" x14ac:dyDescent="0.25">
      <c r="A10" s="14" t="s">
        <v>170</v>
      </c>
      <c r="B10" s="15"/>
      <c r="C10" s="16"/>
      <c r="D10" s="16"/>
      <c r="E10" s="16"/>
      <c r="F10" s="16"/>
      <c r="G10" s="17"/>
      <c r="H10" s="15">
        <v>11.16</v>
      </c>
      <c r="I10" s="16">
        <v>5080.5999999999995</v>
      </c>
      <c r="J10" s="16">
        <v>20</v>
      </c>
      <c r="K10" s="16">
        <f>ROUND(I10*J10/100,2)</f>
        <v>1016.12</v>
      </c>
      <c r="L10" s="16">
        <f>ROUND(K10*0.2409,2)</f>
        <v>244.78</v>
      </c>
      <c r="M10" s="17">
        <f>K10+L10</f>
        <v>1260.9000000000001</v>
      </c>
      <c r="N10" s="15"/>
      <c r="O10" s="16"/>
      <c r="P10" s="16"/>
      <c r="Q10" s="16"/>
      <c r="R10" s="16"/>
      <c r="S10" s="17"/>
    </row>
    <row r="11" spans="1:19" ht="33" x14ac:dyDescent="0.25">
      <c r="A11" s="18" t="s">
        <v>171</v>
      </c>
      <c r="B11" s="19"/>
      <c r="C11" s="20"/>
      <c r="D11" s="20"/>
      <c r="E11" s="20"/>
      <c r="F11" s="20"/>
      <c r="G11" s="21"/>
      <c r="H11" s="19">
        <f>SUM(H12:H28)</f>
        <v>11.159999999999998</v>
      </c>
      <c r="I11" s="20">
        <v>5080.5999999999995</v>
      </c>
      <c r="J11" s="20">
        <v>20</v>
      </c>
      <c r="K11" s="20">
        <f>ROUND(I11*J11/100,2)</f>
        <v>1016.12</v>
      </c>
      <c r="L11" s="20">
        <f t="shared" ref="L11:L143" si="0">ROUND(K11*0.2409,2)</f>
        <v>244.78</v>
      </c>
      <c r="M11" s="21">
        <f>K11+L11</f>
        <v>1260.9000000000001</v>
      </c>
      <c r="N11" s="19"/>
      <c r="O11" s="20"/>
      <c r="P11" s="20"/>
      <c r="Q11" s="20"/>
      <c r="R11" s="20"/>
      <c r="S11" s="21"/>
    </row>
    <row r="12" spans="1:19" x14ac:dyDescent="0.25">
      <c r="A12" s="18" t="s">
        <v>172</v>
      </c>
      <c r="B12" s="19"/>
      <c r="C12" s="20"/>
      <c r="D12" s="20"/>
      <c r="E12" s="20"/>
      <c r="F12" s="20"/>
      <c r="G12" s="21"/>
      <c r="H12" s="19">
        <v>0.81</v>
      </c>
      <c r="I12" s="20">
        <v>389.67</v>
      </c>
      <c r="J12" s="20">
        <v>20</v>
      </c>
      <c r="K12" s="20">
        <f>ROUND(I12*J12/100,2)</f>
        <v>77.930000000000007</v>
      </c>
      <c r="L12" s="20">
        <f t="shared" si="0"/>
        <v>18.77</v>
      </c>
      <c r="M12" s="21">
        <f t="shared" ref="M12:M143" si="1">K12+L12</f>
        <v>96.7</v>
      </c>
      <c r="N12" s="19"/>
      <c r="O12" s="20"/>
      <c r="P12" s="20"/>
      <c r="Q12" s="20"/>
      <c r="R12" s="20"/>
      <c r="S12" s="21"/>
    </row>
    <row r="13" spans="1:19" x14ac:dyDescent="0.25">
      <c r="A13" s="18" t="s">
        <v>172</v>
      </c>
      <c r="B13" s="19"/>
      <c r="C13" s="20"/>
      <c r="D13" s="20"/>
      <c r="E13" s="20"/>
      <c r="F13" s="20"/>
      <c r="G13" s="21"/>
      <c r="H13" s="19">
        <v>0.25</v>
      </c>
      <c r="I13" s="20">
        <v>107.5</v>
      </c>
      <c r="J13" s="20">
        <v>20</v>
      </c>
      <c r="K13" s="20">
        <f t="shared" ref="K13:K143" si="2">ROUND(I13*J13/100,2)</f>
        <v>21.5</v>
      </c>
      <c r="L13" s="20">
        <f t="shared" si="0"/>
        <v>5.18</v>
      </c>
      <c r="M13" s="21">
        <f t="shared" si="1"/>
        <v>26.68</v>
      </c>
      <c r="N13" s="19"/>
      <c r="O13" s="20"/>
      <c r="P13" s="20"/>
      <c r="Q13" s="20"/>
      <c r="R13" s="20"/>
      <c r="S13" s="21"/>
    </row>
    <row r="14" spans="1:19" x14ac:dyDescent="0.25">
      <c r="A14" s="18" t="s">
        <v>172</v>
      </c>
      <c r="B14" s="19"/>
      <c r="C14" s="20"/>
      <c r="D14" s="20"/>
      <c r="E14" s="20"/>
      <c r="F14" s="20"/>
      <c r="G14" s="21"/>
      <c r="H14" s="19">
        <v>0.81</v>
      </c>
      <c r="I14" s="20">
        <v>389.67</v>
      </c>
      <c r="J14" s="20">
        <v>20</v>
      </c>
      <c r="K14" s="20">
        <f t="shared" si="2"/>
        <v>77.930000000000007</v>
      </c>
      <c r="L14" s="20">
        <f t="shared" si="0"/>
        <v>18.77</v>
      </c>
      <c r="M14" s="21">
        <f t="shared" si="1"/>
        <v>96.7</v>
      </c>
      <c r="N14" s="19"/>
      <c r="O14" s="20"/>
      <c r="P14" s="20"/>
      <c r="Q14" s="20"/>
      <c r="R14" s="20"/>
      <c r="S14" s="21"/>
    </row>
    <row r="15" spans="1:19" x14ac:dyDescent="0.25">
      <c r="A15" s="18" t="s">
        <v>172</v>
      </c>
      <c r="B15" s="19"/>
      <c r="C15" s="20"/>
      <c r="D15" s="20"/>
      <c r="E15" s="20"/>
      <c r="F15" s="20"/>
      <c r="G15" s="21"/>
      <c r="H15" s="19">
        <v>0.37</v>
      </c>
      <c r="I15" s="20">
        <v>177</v>
      </c>
      <c r="J15" s="20">
        <v>20</v>
      </c>
      <c r="K15" s="20">
        <f t="shared" si="2"/>
        <v>35.4</v>
      </c>
      <c r="L15" s="20">
        <f t="shared" si="0"/>
        <v>8.5299999999999994</v>
      </c>
      <c r="M15" s="21">
        <f t="shared" si="1"/>
        <v>43.93</v>
      </c>
      <c r="N15" s="19"/>
      <c r="O15" s="20"/>
      <c r="P15" s="20"/>
      <c r="Q15" s="20"/>
      <c r="R15" s="20"/>
      <c r="S15" s="21"/>
    </row>
    <row r="16" spans="1:19" x14ac:dyDescent="0.25">
      <c r="A16" s="18" t="s">
        <v>173</v>
      </c>
      <c r="B16" s="19"/>
      <c r="C16" s="20"/>
      <c r="D16" s="20"/>
      <c r="E16" s="20"/>
      <c r="F16" s="20"/>
      <c r="G16" s="21"/>
      <c r="H16" s="19">
        <v>0.48</v>
      </c>
      <c r="I16" s="20">
        <v>387.83</v>
      </c>
      <c r="J16" s="20">
        <v>20</v>
      </c>
      <c r="K16" s="20">
        <f t="shared" si="2"/>
        <v>77.569999999999993</v>
      </c>
      <c r="L16" s="20">
        <f t="shared" si="0"/>
        <v>18.690000000000001</v>
      </c>
      <c r="M16" s="21">
        <f t="shared" si="1"/>
        <v>96.259999999999991</v>
      </c>
      <c r="N16" s="19"/>
      <c r="O16" s="20"/>
      <c r="P16" s="20"/>
      <c r="Q16" s="20"/>
      <c r="R16" s="20"/>
      <c r="S16" s="21"/>
    </row>
    <row r="17" spans="1:19" x14ac:dyDescent="0.25">
      <c r="A17" s="18" t="s">
        <v>174</v>
      </c>
      <c r="B17" s="19"/>
      <c r="C17" s="20"/>
      <c r="D17" s="20"/>
      <c r="E17" s="20"/>
      <c r="F17" s="20"/>
      <c r="G17" s="21"/>
      <c r="H17" s="19">
        <v>0.56000000000000005</v>
      </c>
      <c r="I17" s="20">
        <v>239.49</v>
      </c>
      <c r="J17" s="20">
        <v>20</v>
      </c>
      <c r="K17" s="20">
        <f t="shared" si="2"/>
        <v>47.9</v>
      </c>
      <c r="L17" s="20">
        <f t="shared" si="0"/>
        <v>11.54</v>
      </c>
      <c r="M17" s="21">
        <f t="shared" si="1"/>
        <v>59.44</v>
      </c>
      <c r="N17" s="19"/>
      <c r="O17" s="20"/>
      <c r="P17" s="20"/>
      <c r="Q17" s="20"/>
      <c r="R17" s="20"/>
      <c r="S17" s="21"/>
    </row>
    <row r="18" spans="1:19" x14ac:dyDescent="0.25">
      <c r="A18" s="18" t="s">
        <v>174</v>
      </c>
      <c r="B18" s="19"/>
      <c r="C18" s="20"/>
      <c r="D18" s="20"/>
      <c r="E18" s="20"/>
      <c r="F18" s="20"/>
      <c r="G18" s="21"/>
      <c r="H18" s="19">
        <v>1</v>
      </c>
      <c r="I18" s="20">
        <v>430</v>
      </c>
      <c r="J18" s="20">
        <v>20</v>
      </c>
      <c r="K18" s="20">
        <f t="shared" si="2"/>
        <v>86</v>
      </c>
      <c r="L18" s="20">
        <f t="shared" si="0"/>
        <v>20.72</v>
      </c>
      <c r="M18" s="21">
        <f t="shared" si="1"/>
        <v>106.72</v>
      </c>
      <c r="N18" s="19"/>
      <c r="O18" s="20"/>
      <c r="P18" s="20"/>
      <c r="Q18" s="20"/>
      <c r="R18" s="20"/>
      <c r="S18" s="21"/>
    </row>
    <row r="19" spans="1:19" x14ac:dyDescent="0.25">
      <c r="A19" s="18" t="s">
        <v>174</v>
      </c>
      <c r="B19" s="19"/>
      <c r="C19" s="20"/>
      <c r="D19" s="20"/>
      <c r="E19" s="20"/>
      <c r="F19" s="20"/>
      <c r="G19" s="21"/>
      <c r="H19" s="19">
        <v>1</v>
      </c>
      <c r="I19" s="20">
        <v>430</v>
      </c>
      <c r="J19" s="20">
        <v>20</v>
      </c>
      <c r="K19" s="20">
        <f t="shared" si="2"/>
        <v>86</v>
      </c>
      <c r="L19" s="20">
        <f t="shared" si="0"/>
        <v>20.72</v>
      </c>
      <c r="M19" s="21">
        <f t="shared" si="1"/>
        <v>106.72</v>
      </c>
      <c r="N19" s="19"/>
      <c r="O19" s="20"/>
      <c r="P19" s="20"/>
      <c r="Q19" s="20"/>
      <c r="R19" s="20"/>
      <c r="S19" s="21"/>
    </row>
    <row r="20" spans="1:19" x14ac:dyDescent="0.25">
      <c r="A20" s="18" t="s">
        <v>174</v>
      </c>
      <c r="B20" s="19"/>
      <c r="C20" s="20"/>
      <c r="D20" s="20"/>
      <c r="E20" s="20"/>
      <c r="F20" s="20"/>
      <c r="G20" s="21"/>
      <c r="H20" s="19">
        <v>1</v>
      </c>
      <c r="I20" s="20">
        <v>430</v>
      </c>
      <c r="J20" s="20">
        <v>20</v>
      </c>
      <c r="K20" s="20">
        <f t="shared" si="2"/>
        <v>86</v>
      </c>
      <c r="L20" s="20">
        <f t="shared" si="0"/>
        <v>20.72</v>
      </c>
      <c r="M20" s="21">
        <f t="shared" si="1"/>
        <v>106.72</v>
      </c>
      <c r="N20" s="19"/>
      <c r="O20" s="20"/>
      <c r="P20" s="20"/>
      <c r="Q20" s="20"/>
      <c r="R20" s="20"/>
      <c r="S20" s="21"/>
    </row>
    <row r="21" spans="1:19" x14ac:dyDescent="0.25">
      <c r="A21" s="18" t="s">
        <v>174</v>
      </c>
      <c r="B21" s="19"/>
      <c r="C21" s="20"/>
      <c r="D21" s="20"/>
      <c r="E21" s="20"/>
      <c r="F21" s="20"/>
      <c r="G21" s="21"/>
      <c r="H21" s="19">
        <v>0.56000000000000005</v>
      </c>
      <c r="I21" s="20">
        <v>239.49</v>
      </c>
      <c r="J21" s="20">
        <v>20</v>
      </c>
      <c r="K21" s="20">
        <f t="shared" si="2"/>
        <v>47.9</v>
      </c>
      <c r="L21" s="20">
        <f t="shared" si="0"/>
        <v>11.54</v>
      </c>
      <c r="M21" s="21">
        <f t="shared" si="1"/>
        <v>59.44</v>
      </c>
      <c r="N21" s="19"/>
      <c r="O21" s="20"/>
      <c r="P21" s="20"/>
      <c r="Q21" s="20"/>
      <c r="R21" s="20"/>
      <c r="S21" s="21"/>
    </row>
    <row r="22" spans="1:19" x14ac:dyDescent="0.25">
      <c r="A22" s="18" t="s">
        <v>174</v>
      </c>
      <c r="B22" s="19"/>
      <c r="C22" s="20"/>
      <c r="D22" s="20"/>
      <c r="E22" s="20"/>
      <c r="F22" s="20"/>
      <c r="G22" s="21"/>
      <c r="H22" s="19">
        <v>0.97</v>
      </c>
      <c r="I22" s="20">
        <v>416.39</v>
      </c>
      <c r="J22" s="20">
        <v>20</v>
      </c>
      <c r="K22" s="20">
        <f t="shared" si="2"/>
        <v>83.28</v>
      </c>
      <c r="L22" s="20">
        <f t="shared" si="0"/>
        <v>20.059999999999999</v>
      </c>
      <c r="M22" s="21">
        <f t="shared" si="1"/>
        <v>103.34</v>
      </c>
      <c r="N22" s="19"/>
      <c r="O22" s="20"/>
      <c r="P22" s="20"/>
      <c r="Q22" s="20"/>
      <c r="R22" s="20"/>
      <c r="S22" s="21"/>
    </row>
    <row r="23" spans="1:19" x14ac:dyDescent="0.25">
      <c r="A23" s="18" t="s">
        <v>174</v>
      </c>
      <c r="B23" s="19"/>
      <c r="C23" s="20"/>
      <c r="D23" s="20"/>
      <c r="E23" s="20"/>
      <c r="F23" s="20"/>
      <c r="G23" s="21"/>
      <c r="H23" s="19">
        <v>0.51</v>
      </c>
      <c r="I23" s="20">
        <v>217.72</v>
      </c>
      <c r="J23" s="20">
        <v>20</v>
      </c>
      <c r="K23" s="20">
        <f t="shared" si="2"/>
        <v>43.54</v>
      </c>
      <c r="L23" s="20">
        <f t="shared" si="0"/>
        <v>10.49</v>
      </c>
      <c r="M23" s="21">
        <f t="shared" si="1"/>
        <v>54.03</v>
      </c>
      <c r="N23" s="19"/>
      <c r="O23" s="20"/>
      <c r="P23" s="20"/>
      <c r="Q23" s="20"/>
      <c r="R23" s="20"/>
      <c r="S23" s="21"/>
    </row>
    <row r="24" spans="1:19" x14ac:dyDescent="0.25">
      <c r="A24" s="18" t="s">
        <v>174</v>
      </c>
      <c r="B24" s="19"/>
      <c r="C24" s="20"/>
      <c r="D24" s="20"/>
      <c r="E24" s="20"/>
      <c r="F24" s="20"/>
      <c r="G24" s="21"/>
      <c r="H24" s="19">
        <v>0.11</v>
      </c>
      <c r="I24" s="20">
        <v>48.99</v>
      </c>
      <c r="J24" s="20">
        <v>20</v>
      </c>
      <c r="K24" s="20">
        <f t="shared" si="2"/>
        <v>9.8000000000000007</v>
      </c>
      <c r="L24" s="20">
        <f t="shared" si="0"/>
        <v>2.36</v>
      </c>
      <c r="M24" s="21">
        <f t="shared" si="1"/>
        <v>12.16</v>
      </c>
      <c r="N24" s="19"/>
      <c r="O24" s="20"/>
      <c r="P24" s="20"/>
      <c r="Q24" s="20"/>
      <c r="R24" s="20"/>
      <c r="S24" s="21"/>
    </row>
    <row r="25" spans="1:19" x14ac:dyDescent="0.25">
      <c r="A25" s="18" t="s">
        <v>174</v>
      </c>
      <c r="B25" s="19"/>
      <c r="C25" s="20"/>
      <c r="D25" s="20"/>
      <c r="E25" s="20"/>
      <c r="F25" s="20"/>
      <c r="G25" s="21"/>
      <c r="H25" s="19">
        <v>1</v>
      </c>
      <c r="I25" s="20">
        <v>430</v>
      </c>
      <c r="J25" s="20">
        <v>20</v>
      </c>
      <c r="K25" s="20">
        <f t="shared" si="2"/>
        <v>86</v>
      </c>
      <c r="L25" s="20">
        <f t="shared" si="0"/>
        <v>20.72</v>
      </c>
      <c r="M25" s="21">
        <f t="shared" si="1"/>
        <v>106.72</v>
      </c>
      <c r="N25" s="19"/>
      <c r="O25" s="20"/>
      <c r="P25" s="20"/>
      <c r="Q25" s="20"/>
      <c r="R25" s="20"/>
      <c r="S25" s="21"/>
    </row>
    <row r="26" spans="1:19" x14ac:dyDescent="0.25">
      <c r="A26" s="18" t="s">
        <v>174</v>
      </c>
      <c r="B26" s="19"/>
      <c r="C26" s="20"/>
      <c r="D26" s="20"/>
      <c r="E26" s="20"/>
      <c r="F26" s="20"/>
      <c r="G26" s="21"/>
      <c r="H26" s="19">
        <v>1</v>
      </c>
      <c r="I26" s="20">
        <v>430</v>
      </c>
      <c r="J26" s="20">
        <v>20</v>
      </c>
      <c r="K26" s="20">
        <f t="shared" si="2"/>
        <v>86</v>
      </c>
      <c r="L26" s="20">
        <f t="shared" si="0"/>
        <v>20.72</v>
      </c>
      <c r="M26" s="21">
        <f t="shared" si="1"/>
        <v>106.72</v>
      </c>
      <c r="N26" s="19"/>
      <c r="O26" s="20"/>
      <c r="P26" s="20"/>
      <c r="Q26" s="20"/>
      <c r="R26" s="20"/>
      <c r="S26" s="21"/>
    </row>
    <row r="27" spans="1:19" x14ac:dyDescent="0.25">
      <c r="A27" s="18" t="s">
        <v>174</v>
      </c>
      <c r="B27" s="19"/>
      <c r="C27" s="20"/>
      <c r="D27" s="20"/>
      <c r="E27" s="20"/>
      <c r="F27" s="20"/>
      <c r="G27" s="21"/>
      <c r="H27" s="19">
        <v>0.28000000000000003</v>
      </c>
      <c r="I27" s="20">
        <v>123.62</v>
      </c>
      <c r="J27" s="20">
        <v>20</v>
      </c>
      <c r="K27" s="20">
        <f t="shared" si="2"/>
        <v>24.72</v>
      </c>
      <c r="L27" s="20">
        <f t="shared" si="0"/>
        <v>5.96</v>
      </c>
      <c r="M27" s="21">
        <f t="shared" si="1"/>
        <v>30.68</v>
      </c>
      <c r="N27" s="19"/>
      <c r="O27" s="20"/>
      <c r="P27" s="20"/>
      <c r="Q27" s="20"/>
      <c r="R27" s="20"/>
      <c r="S27" s="21"/>
    </row>
    <row r="28" spans="1:19" x14ac:dyDescent="0.25">
      <c r="A28" s="18" t="s">
        <v>174</v>
      </c>
      <c r="B28" s="19"/>
      <c r="C28" s="20"/>
      <c r="D28" s="20"/>
      <c r="E28" s="20"/>
      <c r="F28" s="20"/>
      <c r="G28" s="21"/>
      <c r="H28" s="19">
        <v>0.45</v>
      </c>
      <c r="I28" s="20">
        <v>193.23</v>
      </c>
      <c r="J28" s="20">
        <v>20</v>
      </c>
      <c r="K28" s="20">
        <f t="shared" si="2"/>
        <v>38.65</v>
      </c>
      <c r="L28" s="20">
        <f t="shared" si="0"/>
        <v>9.31</v>
      </c>
      <c r="M28" s="21">
        <f t="shared" si="1"/>
        <v>47.96</v>
      </c>
      <c r="N28" s="19"/>
      <c r="O28" s="20"/>
      <c r="P28" s="20"/>
      <c r="Q28" s="20"/>
      <c r="R28" s="20"/>
      <c r="S28" s="21"/>
    </row>
    <row r="29" spans="1:19" x14ac:dyDescent="0.25">
      <c r="A29" s="14" t="s">
        <v>175</v>
      </c>
      <c r="B29" s="15"/>
      <c r="C29" s="16"/>
      <c r="D29" s="16"/>
      <c r="E29" s="16"/>
      <c r="F29" s="16"/>
      <c r="G29" s="17"/>
      <c r="H29" s="15">
        <v>4.3</v>
      </c>
      <c r="I29" s="16">
        <v>5856.6</v>
      </c>
      <c r="J29" s="16">
        <v>20</v>
      </c>
      <c r="K29" s="16">
        <f t="shared" si="2"/>
        <v>1171.32</v>
      </c>
      <c r="L29" s="16">
        <f t="shared" si="0"/>
        <v>282.17</v>
      </c>
      <c r="M29" s="17">
        <f t="shared" si="1"/>
        <v>1453.49</v>
      </c>
      <c r="N29" s="15"/>
      <c r="O29" s="16"/>
      <c r="P29" s="16"/>
      <c r="Q29" s="16"/>
      <c r="R29" s="16"/>
      <c r="S29" s="17"/>
    </row>
    <row r="30" spans="1:19" ht="33" x14ac:dyDescent="0.25">
      <c r="A30" s="18" t="s">
        <v>176</v>
      </c>
      <c r="B30" s="19"/>
      <c r="C30" s="20"/>
      <c r="D30" s="20"/>
      <c r="E30" s="20"/>
      <c r="F30" s="20"/>
      <c r="G30" s="21"/>
      <c r="H30" s="19">
        <f>SUM(H31:H38)</f>
        <v>4.3</v>
      </c>
      <c r="I30" s="20">
        <v>5856.6</v>
      </c>
      <c r="J30" s="20">
        <v>20</v>
      </c>
      <c r="K30" s="20">
        <f t="shared" si="2"/>
        <v>1171.32</v>
      </c>
      <c r="L30" s="20">
        <f t="shared" si="0"/>
        <v>282.17</v>
      </c>
      <c r="M30" s="21">
        <f t="shared" si="1"/>
        <v>1453.49</v>
      </c>
      <c r="N30" s="19"/>
      <c r="O30" s="20"/>
      <c r="P30" s="20"/>
      <c r="Q30" s="20"/>
      <c r="R30" s="20"/>
      <c r="S30" s="21"/>
    </row>
    <row r="31" spans="1:19" x14ac:dyDescent="0.25">
      <c r="A31" s="18" t="s">
        <v>177</v>
      </c>
      <c r="B31" s="19"/>
      <c r="C31" s="20"/>
      <c r="D31" s="20"/>
      <c r="E31" s="20"/>
      <c r="F31" s="20"/>
      <c r="G31" s="21"/>
      <c r="H31" s="19">
        <v>0.39</v>
      </c>
      <c r="I31" s="20">
        <v>533.20000000000005</v>
      </c>
      <c r="J31" s="20">
        <v>20</v>
      </c>
      <c r="K31" s="20">
        <f t="shared" si="2"/>
        <v>106.64</v>
      </c>
      <c r="L31" s="20">
        <f t="shared" si="0"/>
        <v>25.69</v>
      </c>
      <c r="M31" s="21">
        <f t="shared" si="1"/>
        <v>132.33000000000001</v>
      </c>
      <c r="N31" s="19"/>
      <c r="O31" s="20"/>
      <c r="P31" s="20"/>
      <c r="Q31" s="20"/>
      <c r="R31" s="20"/>
      <c r="S31" s="21"/>
    </row>
    <row r="32" spans="1:19" x14ac:dyDescent="0.25">
      <c r="A32" s="18" t="s">
        <v>177</v>
      </c>
      <c r="B32" s="19"/>
      <c r="C32" s="20"/>
      <c r="D32" s="20"/>
      <c r="E32" s="20"/>
      <c r="F32" s="20"/>
      <c r="G32" s="21"/>
      <c r="H32" s="19">
        <v>0.66</v>
      </c>
      <c r="I32" s="20">
        <v>894.4</v>
      </c>
      <c r="J32" s="20">
        <v>20</v>
      </c>
      <c r="K32" s="20">
        <f t="shared" si="2"/>
        <v>178.88</v>
      </c>
      <c r="L32" s="20">
        <f t="shared" si="0"/>
        <v>43.09</v>
      </c>
      <c r="M32" s="21">
        <f t="shared" si="1"/>
        <v>221.97</v>
      </c>
      <c r="N32" s="19"/>
      <c r="O32" s="20"/>
      <c r="P32" s="20"/>
      <c r="Q32" s="20"/>
      <c r="R32" s="20"/>
      <c r="S32" s="21"/>
    </row>
    <row r="33" spans="1:19" x14ac:dyDescent="0.25">
      <c r="A33" s="18" t="s">
        <v>177</v>
      </c>
      <c r="B33" s="19"/>
      <c r="C33" s="20"/>
      <c r="D33" s="20"/>
      <c r="E33" s="20"/>
      <c r="F33" s="20"/>
      <c r="G33" s="21"/>
      <c r="H33" s="19">
        <v>0.66</v>
      </c>
      <c r="I33" s="20">
        <v>894.4</v>
      </c>
      <c r="J33" s="20">
        <v>20</v>
      </c>
      <c r="K33" s="20">
        <f t="shared" si="2"/>
        <v>178.88</v>
      </c>
      <c r="L33" s="20">
        <f t="shared" si="0"/>
        <v>43.09</v>
      </c>
      <c r="M33" s="21">
        <f t="shared" si="1"/>
        <v>221.97</v>
      </c>
      <c r="N33" s="19"/>
      <c r="O33" s="20"/>
      <c r="P33" s="20"/>
      <c r="Q33" s="20"/>
      <c r="R33" s="20"/>
      <c r="S33" s="21"/>
    </row>
    <row r="34" spans="1:19" x14ac:dyDescent="0.25">
      <c r="A34" s="18" t="s">
        <v>177</v>
      </c>
      <c r="B34" s="19"/>
      <c r="C34" s="20"/>
      <c r="D34" s="20"/>
      <c r="E34" s="20"/>
      <c r="F34" s="20"/>
      <c r="G34" s="21"/>
      <c r="H34" s="19">
        <v>0.2</v>
      </c>
      <c r="I34" s="20">
        <v>275.2</v>
      </c>
      <c r="J34" s="20">
        <v>20</v>
      </c>
      <c r="K34" s="20">
        <f t="shared" si="2"/>
        <v>55.04</v>
      </c>
      <c r="L34" s="20">
        <f t="shared" si="0"/>
        <v>13.26</v>
      </c>
      <c r="M34" s="21">
        <f t="shared" si="1"/>
        <v>68.3</v>
      </c>
      <c r="N34" s="19"/>
      <c r="O34" s="20"/>
      <c r="P34" s="20"/>
      <c r="Q34" s="20"/>
      <c r="R34" s="20"/>
      <c r="S34" s="21"/>
    </row>
    <row r="35" spans="1:19" x14ac:dyDescent="0.25">
      <c r="A35" s="18" t="s">
        <v>177</v>
      </c>
      <c r="B35" s="19"/>
      <c r="C35" s="20"/>
      <c r="D35" s="20"/>
      <c r="E35" s="20"/>
      <c r="F35" s="20"/>
      <c r="G35" s="21"/>
      <c r="H35" s="19">
        <v>0.41</v>
      </c>
      <c r="I35" s="20">
        <v>559</v>
      </c>
      <c r="J35" s="20">
        <v>20</v>
      </c>
      <c r="K35" s="20">
        <f t="shared" si="2"/>
        <v>111.8</v>
      </c>
      <c r="L35" s="20">
        <f t="shared" si="0"/>
        <v>26.93</v>
      </c>
      <c r="M35" s="21">
        <f t="shared" si="1"/>
        <v>138.72999999999999</v>
      </c>
      <c r="N35" s="19"/>
      <c r="O35" s="20"/>
      <c r="P35" s="20"/>
      <c r="Q35" s="20"/>
      <c r="R35" s="20"/>
      <c r="S35" s="21"/>
    </row>
    <row r="36" spans="1:19" x14ac:dyDescent="0.25">
      <c r="A36" s="18" t="s">
        <v>177</v>
      </c>
      <c r="B36" s="19"/>
      <c r="C36" s="20"/>
      <c r="D36" s="20"/>
      <c r="E36" s="20"/>
      <c r="F36" s="20"/>
      <c r="G36" s="21"/>
      <c r="H36" s="19">
        <v>0.63</v>
      </c>
      <c r="I36" s="20">
        <v>860</v>
      </c>
      <c r="J36" s="20">
        <v>20</v>
      </c>
      <c r="K36" s="20">
        <f t="shared" si="2"/>
        <v>172</v>
      </c>
      <c r="L36" s="20">
        <f t="shared" si="0"/>
        <v>41.43</v>
      </c>
      <c r="M36" s="21">
        <f t="shared" si="1"/>
        <v>213.43</v>
      </c>
      <c r="N36" s="19"/>
      <c r="O36" s="20"/>
      <c r="P36" s="20"/>
      <c r="Q36" s="20"/>
      <c r="R36" s="20"/>
      <c r="S36" s="21"/>
    </row>
    <row r="37" spans="1:19" x14ac:dyDescent="0.25">
      <c r="A37" s="18" t="s">
        <v>177</v>
      </c>
      <c r="B37" s="19"/>
      <c r="C37" s="20"/>
      <c r="D37" s="20"/>
      <c r="E37" s="20"/>
      <c r="F37" s="20"/>
      <c r="G37" s="21"/>
      <c r="H37" s="19">
        <v>0.68</v>
      </c>
      <c r="I37" s="20">
        <v>928.8</v>
      </c>
      <c r="J37" s="20">
        <v>20</v>
      </c>
      <c r="K37" s="20">
        <f t="shared" si="2"/>
        <v>185.76</v>
      </c>
      <c r="L37" s="20">
        <f t="shared" si="0"/>
        <v>44.75</v>
      </c>
      <c r="M37" s="21">
        <f t="shared" si="1"/>
        <v>230.51</v>
      </c>
      <c r="N37" s="19"/>
      <c r="O37" s="20"/>
      <c r="P37" s="20"/>
      <c r="Q37" s="20"/>
      <c r="R37" s="20"/>
      <c r="S37" s="21"/>
    </row>
    <row r="38" spans="1:19" x14ac:dyDescent="0.25">
      <c r="A38" s="18" t="s">
        <v>177</v>
      </c>
      <c r="B38" s="19"/>
      <c r="C38" s="20"/>
      <c r="D38" s="20"/>
      <c r="E38" s="20"/>
      <c r="F38" s="20"/>
      <c r="G38" s="21"/>
      <c r="H38" s="19">
        <v>0.67</v>
      </c>
      <c r="I38" s="20">
        <v>911.6</v>
      </c>
      <c r="J38" s="20">
        <v>20</v>
      </c>
      <c r="K38" s="20">
        <f t="shared" si="2"/>
        <v>182.32</v>
      </c>
      <c r="L38" s="20">
        <f t="shared" si="0"/>
        <v>43.92</v>
      </c>
      <c r="M38" s="21">
        <f t="shared" si="1"/>
        <v>226.24</v>
      </c>
      <c r="N38" s="19"/>
      <c r="O38" s="20"/>
      <c r="P38" s="20"/>
      <c r="Q38" s="20"/>
      <c r="R38" s="20"/>
      <c r="S38" s="21"/>
    </row>
    <row r="39" spans="1:19" x14ac:dyDescent="0.25">
      <c r="A39" s="36" t="s">
        <v>178</v>
      </c>
      <c r="B39" s="15"/>
      <c r="C39" s="16"/>
      <c r="D39" s="16"/>
      <c r="E39" s="16"/>
      <c r="F39" s="16"/>
      <c r="G39" s="17"/>
      <c r="H39" s="15">
        <v>0.89999999999999991</v>
      </c>
      <c r="I39" s="16">
        <v>841.25</v>
      </c>
      <c r="J39" s="16">
        <v>20</v>
      </c>
      <c r="K39" s="16">
        <f t="shared" si="2"/>
        <v>168.25</v>
      </c>
      <c r="L39" s="16">
        <f t="shared" si="0"/>
        <v>40.53</v>
      </c>
      <c r="M39" s="17">
        <f t="shared" si="1"/>
        <v>208.78</v>
      </c>
      <c r="N39" s="15"/>
      <c r="O39" s="16"/>
      <c r="P39" s="16"/>
      <c r="Q39" s="16"/>
      <c r="R39" s="16"/>
      <c r="S39" s="17"/>
    </row>
    <row r="40" spans="1:19" ht="33" x14ac:dyDescent="0.25">
      <c r="A40" s="18" t="s">
        <v>176</v>
      </c>
      <c r="B40" s="19"/>
      <c r="C40" s="20"/>
      <c r="D40" s="20"/>
      <c r="E40" s="20"/>
      <c r="F40" s="20"/>
      <c r="G40" s="21"/>
      <c r="H40" s="19">
        <f>SUM(H41:H42)</f>
        <v>0.43</v>
      </c>
      <c r="I40" s="20">
        <v>495.79999999999995</v>
      </c>
      <c r="J40" s="20">
        <v>20</v>
      </c>
      <c r="K40" s="20">
        <f t="shared" si="2"/>
        <v>99.16</v>
      </c>
      <c r="L40" s="20">
        <f t="shared" si="0"/>
        <v>23.89</v>
      </c>
      <c r="M40" s="21">
        <f t="shared" si="1"/>
        <v>123.05</v>
      </c>
      <c r="N40" s="19"/>
      <c r="O40" s="20"/>
      <c r="P40" s="20"/>
      <c r="Q40" s="20"/>
      <c r="R40" s="20"/>
      <c r="S40" s="21"/>
    </row>
    <row r="41" spans="1:19" x14ac:dyDescent="0.25">
      <c r="A41" s="18" t="s">
        <v>179</v>
      </c>
      <c r="B41" s="19"/>
      <c r="C41" s="20"/>
      <c r="D41" s="20"/>
      <c r="E41" s="20"/>
      <c r="F41" s="20"/>
      <c r="G41" s="21"/>
      <c r="H41" s="19">
        <v>0.22</v>
      </c>
      <c r="I41" s="20">
        <v>251.6</v>
      </c>
      <c r="J41" s="20">
        <v>20</v>
      </c>
      <c r="K41" s="20">
        <f t="shared" si="2"/>
        <v>50.32</v>
      </c>
      <c r="L41" s="20">
        <f t="shared" si="0"/>
        <v>12.12</v>
      </c>
      <c r="M41" s="21">
        <f t="shared" si="1"/>
        <v>62.44</v>
      </c>
      <c r="N41" s="19"/>
      <c r="O41" s="20"/>
      <c r="P41" s="20"/>
      <c r="Q41" s="20"/>
      <c r="R41" s="20"/>
      <c r="S41" s="21"/>
    </row>
    <row r="42" spans="1:19" s="1" customFormat="1" x14ac:dyDescent="0.25">
      <c r="A42" s="18" t="s">
        <v>179</v>
      </c>
      <c r="B42" s="19"/>
      <c r="C42" s="20"/>
      <c r="D42" s="20"/>
      <c r="E42" s="20"/>
      <c r="F42" s="20"/>
      <c r="G42" s="21"/>
      <c r="H42" s="19">
        <v>0.21</v>
      </c>
      <c r="I42" s="20">
        <v>244.2</v>
      </c>
      <c r="J42" s="20">
        <v>20</v>
      </c>
      <c r="K42" s="20">
        <f t="shared" si="2"/>
        <v>48.84</v>
      </c>
      <c r="L42" s="20">
        <f t="shared" si="0"/>
        <v>11.77</v>
      </c>
      <c r="M42" s="21">
        <f t="shared" si="1"/>
        <v>60.61</v>
      </c>
      <c r="N42" s="19"/>
      <c r="O42" s="20"/>
      <c r="P42" s="20"/>
      <c r="Q42" s="20"/>
      <c r="R42" s="20"/>
      <c r="S42" s="21"/>
    </row>
    <row r="43" spans="1:19" ht="49.5" x14ac:dyDescent="0.25">
      <c r="A43" s="18" t="s">
        <v>180</v>
      </c>
      <c r="B43" s="19"/>
      <c r="C43" s="20"/>
      <c r="D43" s="20"/>
      <c r="E43" s="20"/>
      <c r="F43" s="20"/>
      <c r="G43" s="21"/>
      <c r="H43" s="19">
        <f>SUM(H44:H45)</f>
        <v>0.47</v>
      </c>
      <c r="I43" s="20">
        <v>345.45</v>
      </c>
      <c r="J43" s="20">
        <v>20</v>
      </c>
      <c r="K43" s="20">
        <f t="shared" si="2"/>
        <v>69.09</v>
      </c>
      <c r="L43" s="20">
        <f t="shared" si="0"/>
        <v>16.64</v>
      </c>
      <c r="M43" s="21">
        <f t="shared" si="1"/>
        <v>85.73</v>
      </c>
      <c r="N43" s="19"/>
      <c r="O43" s="20"/>
      <c r="P43" s="20"/>
      <c r="Q43" s="20"/>
      <c r="R43" s="20"/>
      <c r="S43" s="21"/>
    </row>
    <row r="44" spans="1:19" x14ac:dyDescent="0.25">
      <c r="A44" s="18" t="s">
        <v>181</v>
      </c>
      <c r="B44" s="19"/>
      <c r="C44" s="20"/>
      <c r="D44" s="20"/>
      <c r="E44" s="20"/>
      <c r="F44" s="20"/>
      <c r="G44" s="21"/>
      <c r="H44" s="19">
        <v>0.18</v>
      </c>
      <c r="I44" s="20">
        <v>131.6</v>
      </c>
      <c r="J44" s="20">
        <v>20</v>
      </c>
      <c r="K44" s="20">
        <f t="shared" si="2"/>
        <v>26.32</v>
      </c>
      <c r="L44" s="20">
        <f t="shared" si="0"/>
        <v>6.34</v>
      </c>
      <c r="M44" s="21">
        <f t="shared" si="1"/>
        <v>32.659999999999997</v>
      </c>
      <c r="N44" s="19"/>
      <c r="O44" s="20"/>
      <c r="P44" s="20"/>
      <c r="Q44" s="20"/>
      <c r="R44" s="20"/>
      <c r="S44" s="21"/>
    </row>
    <row r="45" spans="1:19" x14ac:dyDescent="0.25">
      <c r="A45" s="18" t="s">
        <v>181</v>
      </c>
      <c r="B45" s="19"/>
      <c r="C45" s="20"/>
      <c r="D45" s="20"/>
      <c r="E45" s="20"/>
      <c r="F45" s="20"/>
      <c r="G45" s="21"/>
      <c r="H45" s="19">
        <v>0.28999999999999998</v>
      </c>
      <c r="I45" s="20">
        <v>213.85</v>
      </c>
      <c r="J45" s="20">
        <v>20</v>
      </c>
      <c r="K45" s="20">
        <f t="shared" si="2"/>
        <v>42.77</v>
      </c>
      <c r="L45" s="20">
        <f t="shared" si="0"/>
        <v>10.3</v>
      </c>
      <c r="M45" s="21">
        <f t="shared" si="1"/>
        <v>53.070000000000007</v>
      </c>
      <c r="N45" s="19"/>
      <c r="O45" s="20"/>
      <c r="P45" s="20"/>
      <c r="Q45" s="20"/>
      <c r="R45" s="20"/>
      <c r="S45" s="21"/>
    </row>
    <row r="46" spans="1:19" x14ac:dyDescent="0.25">
      <c r="A46" s="36" t="s">
        <v>182</v>
      </c>
      <c r="B46" s="15"/>
      <c r="C46" s="16"/>
      <c r="D46" s="16"/>
      <c r="E46" s="16"/>
      <c r="F46" s="16"/>
      <c r="G46" s="17"/>
      <c r="H46" s="15">
        <v>1.6400000000000001</v>
      </c>
      <c r="I46" s="16">
        <v>1445.58</v>
      </c>
      <c r="J46" s="16">
        <v>20</v>
      </c>
      <c r="K46" s="16">
        <f t="shared" si="2"/>
        <v>289.12</v>
      </c>
      <c r="L46" s="16">
        <f t="shared" si="0"/>
        <v>69.650000000000006</v>
      </c>
      <c r="M46" s="17">
        <f t="shared" si="1"/>
        <v>358.77</v>
      </c>
      <c r="N46" s="15"/>
      <c r="O46" s="16"/>
      <c r="P46" s="16"/>
      <c r="Q46" s="16"/>
      <c r="R46" s="16"/>
      <c r="S46" s="17"/>
    </row>
    <row r="47" spans="1:19" ht="33" x14ac:dyDescent="0.25">
      <c r="A47" s="18" t="s">
        <v>176</v>
      </c>
      <c r="B47" s="19"/>
      <c r="C47" s="20"/>
      <c r="D47" s="20"/>
      <c r="E47" s="20"/>
      <c r="F47" s="20"/>
      <c r="G47" s="21"/>
      <c r="H47" s="19">
        <v>0.64000000000000012</v>
      </c>
      <c r="I47" s="20">
        <v>702.98</v>
      </c>
      <c r="J47" s="20">
        <v>20</v>
      </c>
      <c r="K47" s="20">
        <f t="shared" si="2"/>
        <v>140.6</v>
      </c>
      <c r="L47" s="20">
        <f t="shared" si="0"/>
        <v>33.869999999999997</v>
      </c>
      <c r="M47" s="21">
        <f t="shared" si="1"/>
        <v>174.47</v>
      </c>
      <c r="N47" s="19"/>
      <c r="O47" s="20"/>
      <c r="P47" s="20"/>
      <c r="Q47" s="20"/>
      <c r="R47" s="20"/>
      <c r="S47" s="21"/>
    </row>
    <row r="48" spans="1:19" x14ac:dyDescent="0.25">
      <c r="A48" s="18" t="s">
        <v>183</v>
      </c>
      <c r="B48" s="19"/>
      <c r="C48" s="20"/>
      <c r="D48" s="20"/>
      <c r="E48" s="20"/>
      <c r="F48" s="20"/>
      <c r="G48" s="21"/>
      <c r="H48" s="19">
        <v>0.3</v>
      </c>
      <c r="I48" s="20">
        <v>352.98</v>
      </c>
      <c r="J48" s="20">
        <v>20</v>
      </c>
      <c r="K48" s="20">
        <f t="shared" si="2"/>
        <v>70.599999999999994</v>
      </c>
      <c r="L48" s="20">
        <f t="shared" si="0"/>
        <v>17.010000000000002</v>
      </c>
      <c r="M48" s="21">
        <f t="shared" si="1"/>
        <v>87.61</v>
      </c>
      <c r="N48" s="19"/>
      <c r="O48" s="20"/>
      <c r="P48" s="20"/>
      <c r="Q48" s="20"/>
      <c r="R48" s="20"/>
      <c r="S48" s="21"/>
    </row>
    <row r="49" spans="1:19" x14ac:dyDescent="0.25">
      <c r="A49" s="18" t="s">
        <v>183</v>
      </c>
      <c r="B49" s="19"/>
      <c r="C49" s="20"/>
      <c r="D49" s="20"/>
      <c r="E49" s="20"/>
      <c r="F49" s="20"/>
      <c r="G49" s="21"/>
      <c r="H49" s="19">
        <v>0.28000000000000003</v>
      </c>
      <c r="I49" s="20">
        <v>283.39999999999998</v>
      </c>
      <c r="J49" s="20">
        <v>20</v>
      </c>
      <c r="K49" s="20">
        <f t="shared" si="2"/>
        <v>56.68</v>
      </c>
      <c r="L49" s="20">
        <f t="shared" si="0"/>
        <v>13.65</v>
      </c>
      <c r="M49" s="21">
        <f t="shared" si="1"/>
        <v>70.33</v>
      </c>
      <c r="N49" s="19"/>
      <c r="O49" s="20"/>
      <c r="P49" s="20"/>
      <c r="Q49" s="20"/>
      <c r="R49" s="20"/>
      <c r="S49" s="21"/>
    </row>
    <row r="50" spans="1:19" x14ac:dyDescent="0.25">
      <c r="A50" s="18" t="s">
        <v>183</v>
      </c>
      <c r="B50" s="19"/>
      <c r="C50" s="20"/>
      <c r="D50" s="20"/>
      <c r="E50" s="20"/>
      <c r="F50" s="20"/>
      <c r="G50" s="21"/>
      <c r="H50" s="19">
        <v>0.06</v>
      </c>
      <c r="I50" s="20">
        <v>66.599999999999994</v>
      </c>
      <c r="J50" s="20">
        <v>20</v>
      </c>
      <c r="K50" s="20">
        <f t="shared" si="2"/>
        <v>13.32</v>
      </c>
      <c r="L50" s="20">
        <f t="shared" si="0"/>
        <v>3.21</v>
      </c>
      <c r="M50" s="21">
        <f t="shared" si="1"/>
        <v>16.53</v>
      </c>
      <c r="N50" s="19"/>
      <c r="O50" s="20"/>
      <c r="P50" s="20"/>
      <c r="Q50" s="20"/>
      <c r="R50" s="20"/>
      <c r="S50" s="21"/>
    </row>
    <row r="51" spans="1:19" ht="49.5" x14ac:dyDescent="0.25">
      <c r="A51" s="18" t="s">
        <v>180</v>
      </c>
      <c r="B51" s="19"/>
      <c r="C51" s="20"/>
      <c r="D51" s="20"/>
      <c r="E51" s="20"/>
      <c r="F51" s="20"/>
      <c r="G51" s="21"/>
      <c r="H51" s="19">
        <v>1</v>
      </c>
      <c r="I51" s="20">
        <v>742.6</v>
      </c>
      <c r="J51" s="20">
        <v>20</v>
      </c>
      <c r="K51" s="20">
        <f t="shared" si="2"/>
        <v>148.52000000000001</v>
      </c>
      <c r="L51" s="20">
        <f t="shared" si="0"/>
        <v>35.78</v>
      </c>
      <c r="M51" s="21">
        <f t="shared" si="1"/>
        <v>184.3</v>
      </c>
      <c r="N51" s="19"/>
      <c r="O51" s="20"/>
      <c r="P51" s="20"/>
      <c r="Q51" s="20"/>
      <c r="R51" s="20"/>
      <c r="S51" s="21"/>
    </row>
    <row r="52" spans="1:19" x14ac:dyDescent="0.25">
      <c r="A52" s="18" t="s">
        <v>181</v>
      </c>
      <c r="B52" s="19"/>
      <c r="C52" s="20"/>
      <c r="D52" s="20"/>
      <c r="E52" s="20"/>
      <c r="F52" s="20"/>
      <c r="G52" s="21"/>
      <c r="H52" s="19">
        <v>0.65</v>
      </c>
      <c r="I52" s="20">
        <v>484.1</v>
      </c>
      <c r="J52" s="20">
        <v>20</v>
      </c>
      <c r="K52" s="20">
        <f t="shared" si="2"/>
        <v>96.82</v>
      </c>
      <c r="L52" s="20">
        <f t="shared" si="0"/>
        <v>23.32</v>
      </c>
      <c r="M52" s="21">
        <f t="shared" si="1"/>
        <v>120.13999999999999</v>
      </c>
      <c r="N52" s="19"/>
      <c r="O52" s="20"/>
      <c r="P52" s="20"/>
      <c r="Q52" s="20"/>
      <c r="R52" s="20"/>
      <c r="S52" s="21"/>
    </row>
    <row r="53" spans="1:19" x14ac:dyDescent="0.25">
      <c r="A53" s="18" t="s">
        <v>181</v>
      </c>
      <c r="B53" s="19"/>
      <c r="C53" s="20"/>
      <c r="D53" s="20"/>
      <c r="E53" s="20"/>
      <c r="F53" s="20"/>
      <c r="G53" s="21"/>
      <c r="H53" s="19">
        <v>0.35</v>
      </c>
      <c r="I53" s="20">
        <v>258.5</v>
      </c>
      <c r="J53" s="20">
        <v>20</v>
      </c>
      <c r="K53" s="20">
        <f t="shared" si="2"/>
        <v>51.7</v>
      </c>
      <c r="L53" s="20">
        <f t="shared" si="0"/>
        <v>12.45</v>
      </c>
      <c r="M53" s="21">
        <f t="shared" si="1"/>
        <v>64.150000000000006</v>
      </c>
      <c r="N53" s="19"/>
      <c r="O53" s="20"/>
      <c r="P53" s="20"/>
      <c r="Q53" s="20"/>
      <c r="R53" s="20"/>
      <c r="S53" s="21"/>
    </row>
    <row r="54" spans="1:19" x14ac:dyDescent="0.25">
      <c r="A54" s="36" t="s">
        <v>184</v>
      </c>
      <c r="B54" s="15"/>
      <c r="C54" s="16"/>
      <c r="D54" s="16"/>
      <c r="E54" s="16"/>
      <c r="F54" s="16"/>
      <c r="G54" s="17"/>
      <c r="H54" s="15">
        <v>3.85</v>
      </c>
      <c r="I54" s="16">
        <v>3567.8999999999996</v>
      </c>
      <c r="J54" s="16">
        <v>20</v>
      </c>
      <c r="K54" s="16">
        <f t="shared" si="2"/>
        <v>713.58</v>
      </c>
      <c r="L54" s="16">
        <f t="shared" si="0"/>
        <v>171.9</v>
      </c>
      <c r="M54" s="17">
        <f t="shared" si="1"/>
        <v>885.48</v>
      </c>
      <c r="N54" s="15"/>
      <c r="O54" s="16"/>
      <c r="P54" s="16"/>
      <c r="Q54" s="16"/>
      <c r="R54" s="16"/>
      <c r="S54" s="17"/>
    </row>
    <row r="55" spans="1:19" ht="33" x14ac:dyDescent="0.25">
      <c r="A55" s="18" t="s">
        <v>176</v>
      </c>
      <c r="B55" s="19"/>
      <c r="C55" s="20"/>
      <c r="D55" s="20"/>
      <c r="E55" s="20"/>
      <c r="F55" s="20"/>
      <c r="G55" s="21"/>
      <c r="H55" s="19">
        <v>1.85</v>
      </c>
      <c r="I55" s="20">
        <v>2082.6999999999998</v>
      </c>
      <c r="J55" s="20">
        <v>20</v>
      </c>
      <c r="K55" s="20">
        <f t="shared" si="2"/>
        <v>416.54</v>
      </c>
      <c r="L55" s="20">
        <f t="shared" si="0"/>
        <v>100.34</v>
      </c>
      <c r="M55" s="21">
        <f t="shared" si="1"/>
        <v>516.88</v>
      </c>
      <c r="N55" s="19"/>
      <c r="O55" s="20"/>
      <c r="P55" s="20"/>
      <c r="Q55" s="20"/>
      <c r="R55" s="20"/>
      <c r="S55" s="21"/>
    </row>
    <row r="56" spans="1:19" x14ac:dyDescent="0.25">
      <c r="A56" s="18" t="s">
        <v>185</v>
      </c>
      <c r="B56" s="19"/>
      <c r="C56" s="20"/>
      <c r="D56" s="20"/>
      <c r="E56" s="20"/>
      <c r="F56" s="20"/>
      <c r="G56" s="21"/>
      <c r="H56" s="19">
        <v>0.25</v>
      </c>
      <c r="I56" s="20">
        <v>296</v>
      </c>
      <c r="J56" s="20">
        <v>20</v>
      </c>
      <c r="K56" s="20">
        <f t="shared" si="2"/>
        <v>59.2</v>
      </c>
      <c r="L56" s="20">
        <f t="shared" si="0"/>
        <v>14.26</v>
      </c>
      <c r="M56" s="21">
        <f t="shared" si="1"/>
        <v>73.460000000000008</v>
      </c>
      <c r="N56" s="19"/>
      <c r="O56" s="20"/>
      <c r="P56" s="20"/>
      <c r="Q56" s="20"/>
      <c r="R56" s="20"/>
      <c r="S56" s="21"/>
    </row>
    <row r="57" spans="1:19" x14ac:dyDescent="0.25">
      <c r="A57" s="18" t="s">
        <v>185</v>
      </c>
      <c r="B57" s="19"/>
      <c r="C57" s="20"/>
      <c r="D57" s="20"/>
      <c r="E57" s="20"/>
      <c r="F57" s="20"/>
      <c r="G57" s="21"/>
      <c r="H57" s="19">
        <v>0.6</v>
      </c>
      <c r="I57" s="20">
        <v>617.5</v>
      </c>
      <c r="J57" s="20">
        <v>20</v>
      </c>
      <c r="K57" s="20">
        <f t="shared" si="2"/>
        <v>123.5</v>
      </c>
      <c r="L57" s="20">
        <f t="shared" si="0"/>
        <v>29.75</v>
      </c>
      <c r="M57" s="21">
        <f t="shared" si="1"/>
        <v>153.25</v>
      </c>
      <c r="N57" s="19"/>
      <c r="O57" s="20"/>
      <c r="P57" s="20"/>
      <c r="Q57" s="20"/>
      <c r="R57" s="20"/>
      <c r="S57" s="21"/>
    </row>
    <row r="58" spans="1:19" x14ac:dyDescent="0.25">
      <c r="A58" s="18" t="s">
        <v>185</v>
      </c>
      <c r="B58" s="19"/>
      <c r="C58" s="20"/>
      <c r="D58" s="20"/>
      <c r="E58" s="20"/>
      <c r="F58" s="20"/>
      <c r="G58" s="21"/>
      <c r="H58" s="19">
        <v>1</v>
      </c>
      <c r="I58" s="20">
        <v>1169.2</v>
      </c>
      <c r="J58" s="20">
        <v>20</v>
      </c>
      <c r="K58" s="20">
        <f t="shared" si="2"/>
        <v>233.84</v>
      </c>
      <c r="L58" s="20">
        <f t="shared" si="0"/>
        <v>56.33</v>
      </c>
      <c r="M58" s="21">
        <f t="shared" si="1"/>
        <v>290.17</v>
      </c>
      <c r="N58" s="19"/>
      <c r="O58" s="20"/>
      <c r="P58" s="20"/>
      <c r="Q58" s="20"/>
      <c r="R58" s="20"/>
      <c r="S58" s="21"/>
    </row>
    <row r="59" spans="1:19" ht="49.5" x14ac:dyDescent="0.25">
      <c r="A59" s="18" t="s">
        <v>180</v>
      </c>
      <c r="B59" s="19"/>
      <c r="C59" s="20"/>
      <c r="D59" s="20"/>
      <c r="E59" s="20"/>
      <c r="F59" s="20"/>
      <c r="G59" s="21"/>
      <c r="H59" s="19">
        <v>2</v>
      </c>
      <c r="I59" s="20">
        <v>1485.2</v>
      </c>
      <c r="J59" s="20">
        <v>20</v>
      </c>
      <c r="K59" s="20">
        <f t="shared" si="2"/>
        <v>297.04000000000002</v>
      </c>
      <c r="L59" s="20">
        <f t="shared" si="0"/>
        <v>71.56</v>
      </c>
      <c r="M59" s="21">
        <f t="shared" si="1"/>
        <v>368.6</v>
      </c>
      <c r="N59" s="19"/>
      <c r="O59" s="20"/>
      <c r="P59" s="20"/>
      <c r="Q59" s="20"/>
      <c r="R59" s="20"/>
      <c r="S59" s="21"/>
    </row>
    <row r="60" spans="1:19" x14ac:dyDescent="0.25">
      <c r="A60" s="18" t="s">
        <v>181</v>
      </c>
      <c r="B60" s="19"/>
      <c r="C60" s="20"/>
      <c r="D60" s="20"/>
      <c r="E60" s="20"/>
      <c r="F60" s="20"/>
      <c r="G60" s="21"/>
      <c r="H60" s="19">
        <v>1</v>
      </c>
      <c r="I60" s="20">
        <v>742.6</v>
      </c>
      <c r="J60" s="20">
        <v>20</v>
      </c>
      <c r="K60" s="20">
        <f t="shared" si="2"/>
        <v>148.52000000000001</v>
      </c>
      <c r="L60" s="20">
        <f t="shared" si="0"/>
        <v>35.78</v>
      </c>
      <c r="M60" s="21">
        <f t="shared" si="1"/>
        <v>184.3</v>
      </c>
      <c r="N60" s="19"/>
      <c r="O60" s="20"/>
      <c r="P60" s="20"/>
      <c r="Q60" s="20"/>
      <c r="R60" s="20"/>
      <c r="S60" s="21"/>
    </row>
    <row r="61" spans="1:19" x14ac:dyDescent="0.25">
      <c r="A61" s="18" t="s">
        <v>181</v>
      </c>
      <c r="B61" s="19"/>
      <c r="C61" s="20"/>
      <c r="D61" s="20"/>
      <c r="E61" s="20"/>
      <c r="F61" s="20"/>
      <c r="G61" s="21"/>
      <c r="H61" s="19">
        <v>1</v>
      </c>
      <c r="I61" s="20">
        <v>742.6</v>
      </c>
      <c r="J61" s="20">
        <v>20</v>
      </c>
      <c r="K61" s="20">
        <f t="shared" si="2"/>
        <v>148.52000000000001</v>
      </c>
      <c r="L61" s="20">
        <f t="shared" si="0"/>
        <v>35.78</v>
      </c>
      <c r="M61" s="21">
        <f t="shared" si="1"/>
        <v>184.3</v>
      </c>
      <c r="N61" s="19"/>
      <c r="O61" s="20"/>
      <c r="P61" s="20"/>
      <c r="Q61" s="20"/>
      <c r="R61" s="20"/>
      <c r="S61" s="21"/>
    </row>
    <row r="62" spans="1:19" x14ac:dyDescent="0.25">
      <c r="A62" s="36" t="s">
        <v>186</v>
      </c>
      <c r="B62" s="15"/>
      <c r="C62" s="16"/>
      <c r="D62" s="16"/>
      <c r="E62" s="16"/>
      <c r="F62" s="16"/>
      <c r="G62" s="17"/>
      <c r="H62" s="15">
        <v>1.6600000000000001</v>
      </c>
      <c r="I62" s="16">
        <v>1504.8000000000002</v>
      </c>
      <c r="J62" s="16">
        <v>20</v>
      </c>
      <c r="K62" s="16">
        <f t="shared" si="2"/>
        <v>300.95999999999998</v>
      </c>
      <c r="L62" s="16">
        <f t="shared" si="0"/>
        <v>72.5</v>
      </c>
      <c r="M62" s="17">
        <f t="shared" si="1"/>
        <v>373.46</v>
      </c>
      <c r="N62" s="15"/>
      <c r="O62" s="16"/>
      <c r="P62" s="16"/>
      <c r="Q62" s="16"/>
      <c r="R62" s="16"/>
      <c r="S62" s="17"/>
    </row>
    <row r="63" spans="1:19" ht="33" x14ac:dyDescent="0.25">
      <c r="A63" s="18" t="s">
        <v>176</v>
      </c>
      <c r="B63" s="19"/>
      <c r="C63" s="20"/>
      <c r="D63" s="20"/>
      <c r="E63" s="20"/>
      <c r="F63" s="20"/>
      <c r="G63" s="21"/>
      <c r="H63" s="19">
        <v>0.66</v>
      </c>
      <c r="I63" s="20">
        <v>762.2</v>
      </c>
      <c r="J63" s="20">
        <v>20</v>
      </c>
      <c r="K63" s="20">
        <f t="shared" si="2"/>
        <v>152.44</v>
      </c>
      <c r="L63" s="20">
        <f t="shared" si="0"/>
        <v>36.72</v>
      </c>
      <c r="M63" s="21">
        <f t="shared" si="1"/>
        <v>189.16</v>
      </c>
      <c r="N63" s="19"/>
      <c r="O63" s="20"/>
      <c r="P63" s="20"/>
      <c r="Q63" s="20"/>
      <c r="R63" s="20"/>
      <c r="S63" s="21"/>
    </row>
    <row r="64" spans="1:19" x14ac:dyDescent="0.25">
      <c r="A64" s="18" t="s">
        <v>187</v>
      </c>
      <c r="B64" s="19"/>
      <c r="C64" s="20"/>
      <c r="D64" s="20"/>
      <c r="E64" s="20"/>
      <c r="F64" s="20"/>
      <c r="G64" s="21"/>
      <c r="H64" s="19">
        <v>0.66</v>
      </c>
      <c r="I64" s="20">
        <v>762.2</v>
      </c>
      <c r="J64" s="20">
        <v>20</v>
      </c>
      <c r="K64" s="20">
        <f t="shared" si="2"/>
        <v>152.44</v>
      </c>
      <c r="L64" s="20">
        <f t="shared" si="0"/>
        <v>36.72</v>
      </c>
      <c r="M64" s="21">
        <f t="shared" si="1"/>
        <v>189.16</v>
      </c>
      <c r="N64" s="19"/>
      <c r="O64" s="20"/>
      <c r="P64" s="20"/>
      <c r="Q64" s="20"/>
      <c r="R64" s="20"/>
      <c r="S64" s="21"/>
    </row>
    <row r="65" spans="1:19" ht="49.5" x14ac:dyDescent="0.25">
      <c r="A65" s="18" t="s">
        <v>180</v>
      </c>
      <c r="B65" s="19"/>
      <c r="C65" s="20"/>
      <c r="D65" s="20"/>
      <c r="E65" s="20"/>
      <c r="F65" s="20"/>
      <c r="G65" s="21"/>
      <c r="H65" s="19">
        <v>1</v>
      </c>
      <c r="I65" s="20">
        <v>742.6</v>
      </c>
      <c r="J65" s="20">
        <v>20</v>
      </c>
      <c r="K65" s="20">
        <f t="shared" si="2"/>
        <v>148.52000000000001</v>
      </c>
      <c r="L65" s="20">
        <f t="shared" si="0"/>
        <v>35.78</v>
      </c>
      <c r="M65" s="21">
        <f t="shared" si="1"/>
        <v>184.3</v>
      </c>
      <c r="N65" s="19"/>
      <c r="O65" s="20"/>
      <c r="P65" s="20"/>
      <c r="Q65" s="20"/>
      <c r="R65" s="20"/>
      <c r="S65" s="21"/>
    </row>
    <row r="66" spans="1:19" x14ac:dyDescent="0.25">
      <c r="A66" s="18" t="s">
        <v>146</v>
      </c>
      <c r="B66" s="19"/>
      <c r="C66" s="20"/>
      <c r="D66" s="20"/>
      <c r="E66" s="20"/>
      <c r="F66" s="20"/>
      <c r="G66" s="21"/>
      <c r="H66" s="19">
        <v>1</v>
      </c>
      <c r="I66" s="20">
        <v>742.6</v>
      </c>
      <c r="J66" s="20">
        <v>20</v>
      </c>
      <c r="K66" s="20">
        <f t="shared" si="2"/>
        <v>148.52000000000001</v>
      </c>
      <c r="L66" s="20">
        <f t="shared" si="0"/>
        <v>35.78</v>
      </c>
      <c r="M66" s="21">
        <f t="shared" si="1"/>
        <v>184.3</v>
      </c>
      <c r="N66" s="19"/>
      <c r="O66" s="20"/>
      <c r="P66" s="20"/>
      <c r="Q66" s="20"/>
      <c r="R66" s="20"/>
      <c r="S66" s="21"/>
    </row>
    <row r="67" spans="1:19" x14ac:dyDescent="0.25">
      <c r="A67" s="36" t="s">
        <v>188</v>
      </c>
      <c r="B67" s="15"/>
      <c r="C67" s="16"/>
      <c r="D67" s="16"/>
      <c r="E67" s="16"/>
      <c r="F67" s="16"/>
      <c r="G67" s="17"/>
      <c r="H67" s="15">
        <v>28.56</v>
      </c>
      <c r="I67" s="16">
        <v>23509.799999999996</v>
      </c>
      <c r="J67" s="16">
        <v>20</v>
      </c>
      <c r="K67" s="16">
        <f t="shared" si="2"/>
        <v>4701.96</v>
      </c>
      <c r="L67" s="16">
        <f t="shared" si="0"/>
        <v>1132.7</v>
      </c>
      <c r="M67" s="17">
        <f t="shared" si="1"/>
        <v>5834.66</v>
      </c>
      <c r="N67" s="15"/>
      <c r="O67" s="16"/>
      <c r="P67" s="16"/>
      <c r="Q67" s="16"/>
      <c r="R67" s="16"/>
      <c r="S67" s="17"/>
    </row>
    <row r="68" spans="1:19" ht="33" x14ac:dyDescent="0.25">
      <c r="A68" s="18" t="s">
        <v>176</v>
      </c>
      <c r="B68" s="19"/>
      <c r="C68" s="20"/>
      <c r="D68" s="20"/>
      <c r="E68" s="20"/>
      <c r="F68" s="20"/>
      <c r="G68" s="21"/>
      <c r="H68" s="19">
        <v>4.2500000000000009</v>
      </c>
      <c r="I68" s="20">
        <v>5851.88</v>
      </c>
      <c r="J68" s="20">
        <v>20</v>
      </c>
      <c r="K68" s="20">
        <f t="shared" si="2"/>
        <v>1170.3800000000001</v>
      </c>
      <c r="L68" s="20">
        <f t="shared" si="0"/>
        <v>281.94</v>
      </c>
      <c r="M68" s="21">
        <f t="shared" si="1"/>
        <v>1452.3200000000002</v>
      </c>
      <c r="N68" s="19"/>
      <c r="O68" s="20"/>
      <c r="P68" s="20"/>
      <c r="Q68" s="20"/>
      <c r="R68" s="20"/>
      <c r="S68" s="21"/>
    </row>
    <row r="69" spans="1:19" x14ac:dyDescent="0.25">
      <c r="A69" s="18" t="s">
        <v>189</v>
      </c>
      <c r="B69" s="19"/>
      <c r="C69" s="20"/>
      <c r="D69" s="20"/>
      <c r="E69" s="20"/>
      <c r="F69" s="20"/>
      <c r="G69" s="21"/>
      <c r="H69" s="19">
        <v>0.2</v>
      </c>
      <c r="I69" s="20">
        <v>269.18</v>
      </c>
      <c r="J69" s="20">
        <v>20</v>
      </c>
      <c r="K69" s="20">
        <f t="shared" si="2"/>
        <v>53.84</v>
      </c>
      <c r="L69" s="20">
        <f t="shared" si="0"/>
        <v>12.97</v>
      </c>
      <c r="M69" s="21">
        <f t="shared" si="1"/>
        <v>66.81</v>
      </c>
      <c r="N69" s="19"/>
      <c r="O69" s="20"/>
      <c r="P69" s="20"/>
      <c r="Q69" s="20"/>
      <c r="R69" s="20"/>
      <c r="S69" s="21"/>
    </row>
    <row r="70" spans="1:19" x14ac:dyDescent="0.25">
      <c r="A70" s="18" t="s">
        <v>190</v>
      </c>
      <c r="B70" s="19"/>
      <c r="C70" s="20"/>
      <c r="D70" s="20"/>
      <c r="E70" s="20"/>
      <c r="F70" s="20"/>
      <c r="G70" s="21"/>
      <c r="H70" s="19">
        <v>0.86</v>
      </c>
      <c r="I70" s="20">
        <v>1173.9000000000001</v>
      </c>
      <c r="J70" s="20">
        <v>20</v>
      </c>
      <c r="K70" s="20">
        <f t="shared" si="2"/>
        <v>234.78</v>
      </c>
      <c r="L70" s="20">
        <f t="shared" si="0"/>
        <v>56.56</v>
      </c>
      <c r="M70" s="21">
        <f t="shared" si="1"/>
        <v>291.34000000000003</v>
      </c>
      <c r="N70" s="19"/>
      <c r="O70" s="20"/>
      <c r="P70" s="20"/>
      <c r="Q70" s="20"/>
      <c r="R70" s="20"/>
      <c r="S70" s="21"/>
    </row>
    <row r="71" spans="1:19" x14ac:dyDescent="0.25">
      <c r="A71" s="18" t="s">
        <v>190</v>
      </c>
      <c r="B71" s="19"/>
      <c r="C71" s="20"/>
      <c r="D71" s="20"/>
      <c r="E71" s="20"/>
      <c r="F71" s="20"/>
      <c r="G71" s="21"/>
      <c r="H71" s="19">
        <v>0.2</v>
      </c>
      <c r="I71" s="20">
        <v>275.2</v>
      </c>
      <c r="J71" s="20">
        <v>20</v>
      </c>
      <c r="K71" s="20">
        <f t="shared" si="2"/>
        <v>55.04</v>
      </c>
      <c r="L71" s="20">
        <f t="shared" si="0"/>
        <v>13.26</v>
      </c>
      <c r="M71" s="21">
        <f t="shared" si="1"/>
        <v>68.3</v>
      </c>
      <c r="N71" s="19"/>
      <c r="O71" s="20"/>
      <c r="P71" s="20"/>
      <c r="Q71" s="20"/>
      <c r="R71" s="20"/>
      <c r="S71" s="21"/>
    </row>
    <row r="72" spans="1:19" x14ac:dyDescent="0.25">
      <c r="A72" s="18" t="s">
        <v>190</v>
      </c>
      <c r="B72" s="19"/>
      <c r="C72" s="20"/>
      <c r="D72" s="20"/>
      <c r="E72" s="20"/>
      <c r="F72" s="20"/>
      <c r="G72" s="21"/>
      <c r="H72" s="19">
        <v>0.05</v>
      </c>
      <c r="I72" s="20">
        <v>68.8</v>
      </c>
      <c r="J72" s="20">
        <v>20</v>
      </c>
      <c r="K72" s="20">
        <f t="shared" si="2"/>
        <v>13.76</v>
      </c>
      <c r="L72" s="20">
        <f t="shared" si="0"/>
        <v>3.31</v>
      </c>
      <c r="M72" s="21">
        <f t="shared" si="1"/>
        <v>17.07</v>
      </c>
      <c r="N72" s="19"/>
      <c r="O72" s="20"/>
      <c r="P72" s="20"/>
      <c r="Q72" s="20"/>
      <c r="R72" s="20"/>
      <c r="S72" s="21"/>
    </row>
    <row r="73" spans="1:19" x14ac:dyDescent="0.25">
      <c r="A73" s="18" t="s">
        <v>190</v>
      </c>
      <c r="B73" s="19"/>
      <c r="C73" s="20"/>
      <c r="D73" s="20"/>
      <c r="E73" s="20"/>
      <c r="F73" s="20"/>
      <c r="G73" s="21"/>
      <c r="H73" s="19">
        <v>1</v>
      </c>
      <c r="I73" s="20">
        <v>1358.8</v>
      </c>
      <c r="J73" s="20">
        <v>20</v>
      </c>
      <c r="K73" s="20">
        <f t="shared" si="2"/>
        <v>271.76</v>
      </c>
      <c r="L73" s="20">
        <f t="shared" si="0"/>
        <v>65.47</v>
      </c>
      <c r="M73" s="21">
        <f t="shared" si="1"/>
        <v>337.23</v>
      </c>
      <c r="N73" s="19"/>
      <c r="O73" s="20"/>
      <c r="P73" s="20"/>
      <c r="Q73" s="20"/>
      <c r="R73" s="20"/>
      <c r="S73" s="21"/>
    </row>
    <row r="74" spans="1:19" x14ac:dyDescent="0.25">
      <c r="A74" s="18" t="s">
        <v>190</v>
      </c>
      <c r="B74" s="19"/>
      <c r="C74" s="20"/>
      <c r="D74" s="20"/>
      <c r="E74" s="20"/>
      <c r="F74" s="20"/>
      <c r="G74" s="21"/>
      <c r="H74" s="19">
        <v>0.61</v>
      </c>
      <c r="I74" s="20">
        <v>825.6</v>
      </c>
      <c r="J74" s="20">
        <v>20</v>
      </c>
      <c r="K74" s="20">
        <f t="shared" si="2"/>
        <v>165.12</v>
      </c>
      <c r="L74" s="20">
        <f t="shared" si="0"/>
        <v>39.78</v>
      </c>
      <c r="M74" s="21">
        <f t="shared" si="1"/>
        <v>204.9</v>
      </c>
      <c r="N74" s="19"/>
      <c r="O74" s="20"/>
      <c r="P74" s="20"/>
      <c r="Q74" s="20"/>
      <c r="R74" s="20"/>
      <c r="S74" s="21"/>
    </row>
    <row r="75" spans="1:19" x14ac:dyDescent="0.25">
      <c r="A75" s="18" t="s">
        <v>190</v>
      </c>
      <c r="B75" s="19"/>
      <c r="C75" s="20"/>
      <c r="D75" s="20"/>
      <c r="E75" s="20"/>
      <c r="F75" s="20"/>
      <c r="G75" s="21"/>
      <c r="H75" s="19">
        <v>0.91</v>
      </c>
      <c r="I75" s="20">
        <v>1238.4000000000001</v>
      </c>
      <c r="J75" s="20">
        <v>20</v>
      </c>
      <c r="K75" s="20">
        <f t="shared" si="2"/>
        <v>247.68</v>
      </c>
      <c r="L75" s="20">
        <f t="shared" si="0"/>
        <v>59.67</v>
      </c>
      <c r="M75" s="21">
        <f t="shared" si="1"/>
        <v>307.35000000000002</v>
      </c>
      <c r="N75" s="19"/>
      <c r="O75" s="20"/>
      <c r="P75" s="20"/>
      <c r="Q75" s="20"/>
      <c r="R75" s="20"/>
      <c r="S75" s="21"/>
    </row>
    <row r="76" spans="1:19" x14ac:dyDescent="0.25">
      <c r="A76" s="18" t="s">
        <v>191</v>
      </c>
      <c r="B76" s="19"/>
      <c r="C76" s="20"/>
      <c r="D76" s="20"/>
      <c r="E76" s="20"/>
      <c r="F76" s="20"/>
      <c r="G76" s="21"/>
      <c r="H76" s="19">
        <v>0.27</v>
      </c>
      <c r="I76" s="20">
        <v>361.2</v>
      </c>
      <c r="J76" s="20">
        <v>20</v>
      </c>
      <c r="K76" s="20">
        <f t="shared" si="2"/>
        <v>72.239999999999995</v>
      </c>
      <c r="L76" s="20">
        <f t="shared" si="0"/>
        <v>17.399999999999999</v>
      </c>
      <c r="M76" s="21">
        <f t="shared" si="1"/>
        <v>89.639999999999986</v>
      </c>
      <c r="N76" s="19"/>
      <c r="O76" s="20"/>
      <c r="P76" s="20"/>
      <c r="Q76" s="20"/>
      <c r="R76" s="20"/>
      <c r="S76" s="21"/>
    </row>
    <row r="77" spans="1:19" x14ac:dyDescent="0.25">
      <c r="A77" s="18" t="s">
        <v>189</v>
      </c>
      <c r="B77" s="19"/>
      <c r="C77" s="20"/>
      <c r="D77" s="20"/>
      <c r="E77" s="20"/>
      <c r="F77" s="20"/>
      <c r="G77" s="21"/>
      <c r="H77" s="19">
        <v>0.15</v>
      </c>
      <c r="I77" s="20">
        <v>280.8</v>
      </c>
      <c r="J77" s="20">
        <v>20</v>
      </c>
      <c r="K77" s="20">
        <f t="shared" si="2"/>
        <v>56.16</v>
      </c>
      <c r="L77" s="20">
        <f t="shared" si="0"/>
        <v>13.53</v>
      </c>
      <c r="M77" s="21">
        <f t="shared" si="1"/>
        <v>69.69</v>
      </c>
      <c r="N77" s="19"/>
      <c r="O77" s="20"/>
      <c r="P77" s="20"/>
      <c r="Q77" s="20"/>
      <c r="R77" s="20"/>
      <c r="S77" s="21"/>
    </row>
    <row r="78" spans="1:19" ht="49.5" x14ac:dyDescent="0.25">
      <c r="A78" s="18" t="s">
        <v>180</v>
      </c>
      <c r="B78" s="19"/>
      <c r="C78" s="20"/>
      <c r="D78" s="20"/>
      <c r="E78" s="20"/>
      <c r="F78" s="20"/>
      <c r="G78" s="21"/>
      <c r="H78" s="19">
        <v>12.09</v>
      </c>
      <c r="I78" s="20">
        <v>11073.399999999998</v>
      </c>
      <c r="J78" s="20">
        <v>20</v>
      </c>
      <c r="K78" s="20">
        <f t="shared" si="2"/>
        <v>2214.6799999999998</v>
      </c>
      <c r="L78" s="20">
        <f t="shared" si="0"/>
        <v>533.52</v>
      </c>
      <c r="M78" s="21">
        <f t="shared" si="1"/>
        <v>2748.2</v>
      </c>
      <c r="N78" s="19"/>
      <c r="O78" s="20"/>
      <c r="P78" s="20"/>
      <c r="Q78" s="20"/>
      <c r="R78" s="20"/>
      <c r="S78" s="21"/>
    </row>
    <row r="79" spans="1:19" x14ac:dyDescent="0.25">
      <c r="A79" s="18" t="s">
        <v>181</v>
      </c>
      <c r="B79" s="19"/>
      <c r="C79" s="20"/>
      <c r="D79" s="20"/>
      <c r="E79" s="20"/>
      <c r="F79" s="20"/>
      <c r="G79" s="21"/>
      <c r="H79" s="19">
        <v>1</v>
      </c>
      <c r="I79" s="20">
        <v>916.4</v>
      </c>
      <c r="J79" s="20">
        <v>20</v>
      </c>
      <c r="K79" s="20">
        <f t="shared" si="2"/>
        <v>183.28</v>
      </c>
      <c r="L79" s="20">
        <f t="shared" si="0"/>
        <v>44.15</v>
      </c>
      <c r="M79" s="21">
        <f t="shared" si="1"/>
        <v>227.43</v>
      </c>
      <c r="N79" s="19"/>
      <c r="O79" s="20"/>
      <c r="P79" s="20"/>
      <c r="Q79" s="20"/>
      <c r="R79" s="20"/>
      <c r="S79" s="21"/>
    </row>
    <row r="80" spans="1:19" x14ac:dyDescent="0.25">
      <c r="A80" s="18" t="s">
        <v>181</v>
      </c>
      <c r="B80" s="19"/>
      <c r="C80" s="20"/>
      <c r="D80" s="20"/>
      <c r="E80" s="20"/>
      <c r="F80" s="20"/>
      <c r="G80" s="21"/>
      <c r="H80" s="19">
        <v>1</v>
      </c>
      <c r="I80" s="20">
        <v>916.4</v>
      </c>
      <c r="J80" s="20">
        <v>20</v>
      </c>
      <c r="K80" s="20">
        <f t="shared" si="2"/>
        <v>183.28</v>
      </c>
      <c r="L80" s="20">
        <f t="shared" si="0"/>
        <v>44.15</v>
      </c>
      <c r="M80" s="21">
        <f t="shared" si="1"/>
        <v>227.43</v>
      </c>
      <c r="N80" s="19"/>
      <c r="O80" s="20"/>
      <c r="P80" s="20"/>
      <c r="Q80" s="20"/>
      <c r="R80" s="20"/>
      <c r="S80" s="21"/>
    </row>
    <row r="81" spans="1:19" x14ac:dyDescent="0.25">
      <c r="A81" s="18" t="s">
        <v>181</v>
      </c>
      <c r="B81" s="19"/>
      <c r="C81" s="20"/>
      <c r="D81" s="20"/>
      <c r="E81" s="20"/>
      <c r="F81" s="20"/>
      <c r="G81" s="21"/>
      <c r="H81" s="19">
        <v>1</v>
      </c>
      <c r="I81" s="20">
        <v>916.4</v>
      </c>
      <c r="J81" s="20">
        <v>20</v>
      </c>
      <c r="K81" s="20">
        <f t="shared" si="2"/>
        <v>183.28</v>
      </c>
      <c r="L81" s="20">
        <f t="shared" si="0"/>
        <v>44.15</v>
      </c>
      <c r="M81" s="21">
        <f t="shared" si="1"/>
        <v>227.43</v>
      </c>
      <c r="N81" s="19"/>
      <c r="O81" s="20"/>
      <c r="P81" s="20"/>
      <c r="Q81" s="20"/>
      <c r="R81" s="20"/>
      <c r="S81" s="21"/>
    </row>
    <row r="82" spans="1:19" x14ac:dyDescent="0.25">
      <c r="A82" s="18" t="s">
        <v>181</v>
      </c>
      <c r="B82" s="19"/>
      <c r="C82" s="20"/>
      <c r="D82" s="20"/>
      <c r="E82" s="20"/>
      <c r="F82" s="20"/>
      <c r="G82" s="21"/>
      <c r="H82" s="19">
        <v>0.35</v>
      </c>
      <c r="I82" s="20">
        <v>324.8</v>
      </c>
      <c r="J82" s="20">
        <v>20</v>
      </c>
      <c r="K82" s="20">
        <f t="shared" si="2"/>
        <v>64.959999999999994</v>
      </c>
      <c r="L82" s="20">
        <f t="shared" si="0"/>
        <v>15.65</v>
      </c>
      <c r="M82" s="21">
        <f t="shared" si="1"/>
        <v>80.61</v>
      </c>
      <c r="N82" s="19"/>
      <c r="O82" s="20"/>
      <c r="P82" s="20"/>
      <c r="Q82" s="20"/>
      <c r="R82" s="20"/>
      <c r="S82" s="21"/>
    </row>
    <row r="83" spans="1:19" x14ac:dyDescent="0.25">
      <c r="A83" s="18" t="s">
        <v>181</v>
      </c>
      <c r="B83" s="19"/>
      <c r="C83" s="20"/>
      <c r="D83" s="20"/>
      <c r="E83" s="20"/>
      <c r="F83" s="20"/>
      <c r="G83" s="21"/>
      <c r="H83" s="19">
        <v>0.91</v>
      </c>
      <c r="I83" s="20">
        <v>835.2</v>
      </c>
      <c r="J83" s="20">
        <v>20</v>
      </c>
      <c r="K83" s="20">
        <f t="shared" si="2"/>
        <v>167.04</v>
      </c>
      <c r="L83" s="20">
        <f t="shared" si="0"/>
        <v>40.24</v>
      </c>
      <c r="M83" s="21">
        <f t="shared" si="1"/>
        <v>207.28</v>
      </c>
      <c r="N83" s="19"/>
      <c r="O83" s="20"/>
      <c r="P83" s="20"/>
      <c r="Q83" s="20"/>
      <c r="R83" s="20"/>
      <c r="S83" s="21"/>
    </row>
    <row r="84" spans="1:19" x14ac:dyDescent="0.25">
      <c r="A84" s="18" t="s">
        <v>181</v>
      </c>
      <c r="B84" s="19"/>
      <c r="C84" s="20"/>
      <c r="D84" s="20"/>
      <c r="E84" s="20"/>
      <c r="F84" s="20"/>
      <c r="G84" s="21"/>
      <c r="H84" s="19">
        <v>1</v>
      </c>
      <c r="I84" s="20">
        <v>916.4</v>
      </c>
      <c r="J84" s="20">
        <v>20</v>
      </c>
      <c r="K84" s="20">
        <f t="shared" si="2"/>
        <v>183.28</v>
      </c>
      <c r="L84" s="20">
        <f t="shared" si="0"/>
        <v>44.15</v>
      </c>
      <c r="M84" s="21">
        <f t="shared" si="1"/>
        <v>227.43</v>
      </c>
      <c r="N84" s="19"/>
      <c r="O84" s="20"/>
      <c r="P84" s="20"/>
      <c r="Q84" s="20"/>
      <c r="R84" s="20"/>
      <c r="S84" s="21"/>
    </row>
    <row r="85" spans="1:19" x14ac:dyDescent="0.25">
      <c r="A85" s="18" t="s">
        <v>181</v>
      </c>
      <c r="B85" s="19"/>
      <c r="C85" s="20"/>
      <c r="D85" s="20"/>
      <c r="E85" s="20"/>
      <c r="F85" s="20"/>
      <c r="G85" s="21"/>
      <c r="H85" s="19">
        <v>0.96</v>
      </c>
      <c r="I85" s="20">
        <v>881.6</v>
      </c>
      <c r="J85" s="20">
        <v>20</v>
      </c>
      <c r="K85" s="20">
        <f t="shared" si="2"/>
        <v>176.32</v>
      </c>
      <c r="L85" s="20">
        <f t="shared" si="0"/>
        <v>42.48</v>
      </c>
      <c r="M85" s="21">
        <f t="shared" si="1"/>
        <v>218.79999999999998</v>
      </c>
      <c r="N85" s="19"/>
      <c r="O85" s="20"/>
      <c r="P85" s="20"/>
      <c r="Q85" s="20"/>
      <c r="R85" s="20"/>
      <c r="S85" s="21"/>
    </row>
    <row r="86" spans="1:19" x14ac:dyDescent="0.25">
      <c r="A86" s="18" t="s">
        <v>181</v>
      </c>
      <c r="B86" s="19"/>
      <c r="C86" s="20"/>
      <c r="D86" s="20"/>
      <c r="E86" s="20"/>
      <c r="F86" s="20"/>
      <c r="G86" s="21"/>
      <c r="H86" s="19">
        <v>1</v>
      </c>
      <c r="I86" s="20">
        <v>916.4</v>
      </c>
      <c r="J86" s="20">
        <v>20</v>
      </c>
      <c r="K86" s="20">
        <f t="shared" si="2"/>
        <v>183.28</v>
      </c>
      <c r="L86" s="20">
        <f t="shared" si="0"/>
        <v>44.15</v>
      </c>
      <c r="M86" s="21">
        <f t="shared" si="1"/>
        <v>227.43</v>
      </c>
      <c r="N86" s="19"/>
      <c r="O86" s="20"/>
      <c r="P86" s="20"/>
      <c r="Q86" s="20"/>
      <c r="R86" s="20"/>
      <c r="S86" s="21"/>
    </row>
    <row r="87" spans="1:19" x14ac:dyDescent="0.25">
      <c r="A87" s="18" t="s">
        <v>181</v>
      </c>
      <c r="B87" s="19"/>
      <c r="C87" s="20"/>
      <c r="D87" s="20"/>
      <c r="E87" s="20"/>
      <c r="F87" s="20"/>
      <c r="G87" s="21"/>
      <c r="H87" s="19">
        <v>1</v>
      </c>
      <c r="I87" s="20">
        <v>916.4</v>
      </c>
      <c r="J87" s="20">
        <v>20</v>
      </c>
      <c r="K87" s="20">
        <f t="shared" si="2"/>
        <v>183.28</v>
      </c>
      <c r="L87" s="20">
        <f t="shared" si="0"/>
        <v>44.15</v>
      </c>
      <c r="M87" s="21">
        <f t="shared" si="1"/>
        <v>227.43</v>
      </c>
      <c r="N87" s="19"/>
      <c r="O87" s="20"/>
      <c r="P87" s="20"/>
      <c r="Q87" s="20"/>
      <c r="R87" s="20"/>
      <c r="S87" s="21"/>
    </row>
    <row r="88" spans="1:19" x14ac:dyDescent="0.25">
      <c r="A88" s="18" t="s">
        <v>181</v>
      </c>
      <c r="B88" s="19"/>
      <c r="C88" s="20"/>
      <c r="D88" s="20"/>
      <c r="E88" s="20"/>
      <c r="F88" s="20"/>
      <c r="G88" s="21"/>
      <c r="H88" s="19">
        <v>0.96</v>
      </c>
      <c r="I88" s="20">
        <v>881.6</v>
      </c>
      <c r="J88" s="20">
        <v>20</v>
      </c>
      <c r="K88" s="20">
        <f t="shared" si="2"/>
        <v>176.32</v>
      </c>
      <c r="L88" s="20">
        <f t="shared" si="0"/>
        <v>42.48</v>
      </c>
      <c r="M88" s="21">
        <f t="shared" si="1"/>
        <v>218.79999999999998</v>
      </c>
      <c r="N88" s="19"/>
      <c r="O88" s="20"/>
      <c r="P88" s="20"/>
      <c r="Q88" s="20"/>
      <c r="R88" s="20"/>
      <c r="S88" s="21"/>
    </row>
    <row r="89" spans="1:19" x14ac:dyDescent="0.25">
      <c r="A89" s="18" t="s">
        <v>181</v>
      </c>
      <c r="B89" s="19"/>
      <c r="C89" s="20"/>
      <c r="D89" s="20"/>
      <c r="E89" s="20"/>
      <c r="F89" s="20"/>
      <c r="G89" s="21"/>
      <c r="H89" s="19">
        <v>0.91</v>
      </c>
      <c r="I89" s="20">
        <v>676.8</v>
      </c>
      <c r="J89" s="20">
        <v>20</v>
      </c>
      <c r="K89" s="20">
        <f t="shared" si="2"/>
        <v>135.36000000000001</v>
      </c>
      <c r="L89" s="20">
        <f t="shared" si="0"/>
        <v>32.61</v>
      </c>
      <c r="M89" s="21">
        <f t="shared" si="1"/>
        <v>167.97000000000003</v>
      </c>
      <c r="N89" s="19"/>
      <c r="O89" s="20"/>
      <c r="P89" s="20"/>
      <c r="Q89" s="20"/>
      <c r="R89" s="20"/>
      <c r="S89" s="21"/>
    </row>
    <row r="90" spans="1:19" x14ac:dyDescent="0.25">
      <c r="A90" s="18" t="s">
        <v>181</v>
      </c>
      <c r="B90" s="19"/>
      <c r="C90" s="20"/>
      <c r="D90" s="20"/>
      <c r="E90" s="20"/>
      <c r="F90" s="20"/>
      <c r="G90" s="21"/>
      <c r="H90" s="19">
        <v>1</v>
      </c>
      <c r="I90" s="20">
        <v>916.4</v>
      </c>
      <c r="J90" s="20">
        <v>20</v>
      </c>
      <c r="K90" s="20">
        <f t="shared" si="2"/>
        <v>183.28</v>
      </c>
      <c r="L90" s="20">
        <f t="shared" si="0"/>
        <v>44.15</v>
      </c>
      <c r="M90" s="21">
        <f t="shared" si="1"/>
        <v>227.43</v>
      </c>
      <c r="N90" s="19"/>
      <c r="O90" s="20"/>
      <c r="P90" s="20"/>
      <c r="Q90" s="20"/>
      <c r="R90" s="20"/>
      <c r="S90" s="21"/>
    </row>
    <row r="91" spans="1:19" x14ac:dyDescent="0.25">
      <c r="A91" s="18" t="s">
        <v>96</v>
      </c>
      <c r="B91" s="19"/>
      <c r="C91" s="20"/>
      <c r="D91" s="20"/>
      <c r="E91" s="20"/>
      <c r="F91" s="20"/>
      <c r="G91" s="21"/>
      <c r="H91" s="19">
        <v>1</v>
      </c>
      <c r="I91" s="20">
        <v>1058.5999999999999</v>
      </c>
      <c r="J91" s="20">
        <v>20</v>
      </c>
      <c r="K91" s="20">
        <f t="shared" si="2"/>
        <v>211.72</v>
      </c>
      <c r="L91" s="20">
        <f t="shared" si="0"/>
        <v>51</v>
      </c>
      <c r="M91" s="21">
        <f t="shared" si="1"/>
        <v>262.72000000000003</v>
      </c>
      <c r="N91" s="19"/>
      <c r="O91" s="20"/>
      <c r="P91" s="20"/>
      <c r="Q91" s="20"/>
      <c r="R91" s="20"/>
      <c r="S91" s="21"/>
    </row>
    <row r="92" spans="1:19" ht="49.5" x14ac:dyDescent="0.25">
      <c r="A92" s="18" t="s">
        <v>192</v>
      </c>
      <c r="B92" s="19"/>
      <c r="C92" s="20"/>
      <c r="D92" s="20"/>
      <c r="E92" s="20"/>
      <c r="F92" s="20"/>
      <c r="G92" s="21"/>
      <c r="H92" s="19">
        <v>5.98</v>
      </c>
      <c r="I92" s="20">
        <v>3398.4</v>
      </c>
      <c r="J92" s="20">
        <v>20</v>
      </c>
      <c r="K92" s="20">
        <f t="shared" si="2"/>
        <v>679.68</v>
      </c>
      <c r="L92" s="20">
        <f t="shared" si="0"/>
        <v>163.72999999999999</v>
      </c>
      <c r="M92" s="21">
        <f t="shared" si="1"/>
        <v>843.41</v>
      </c>
      <c r="N92" s="19"/>
      <c r="O92" s="20"/>
      <c r="P92" s="20"/>
      <c r="Q92" s="20"/>
      <c r="R92" s="20"/>
      <c r="S92" s="21"/>
    </row>
    <row r="93" spans="1:19" x14ac:dyDescent="0.25">
      <c r="A93" s="18" t="s">
        <v>98</v>
      </c>
      <c r="B93" s="19"/>
      <c r="C93" s="20"/>
      <c r="D93" s="20"/>
      <c r="E93" s="20"/>
      <c r="F93" s="20"/>
      <c r="G93" s="21"/>
      <c r="H93" s="19">
        <v>0.46</v>
      </c>
      <c r="I93" s="20">
        <v>259.2</v>
      </c>
      <c r="J93" s="20">
        <v>20</v>
      </c>
      <c r="K93" s="20">
        <f t="shared" si="2"/>
        <v>51.84</v>
      </c>
      <c r="L93" s="20">
        <f t="shared" si="0"/>
        <v>12.49</v>
      </c>
      <c r="M93" s="21">
        <f t="shared" si="1"/>
        <v>64.33</v>
      </c>
      <c r="N93" s="19"/>
      <c r="O93" s="20"/>
      <c r="P93" s="20"/>
      <c r="Q93" s="20"/>
      <c r="R93" s="20"/>
      <c r="S93" s="21"/>
    </row>
    <row r="94" spans="1:19" x14ac:dyDescent="0.25">
      <c r="A94" s="18" t="s">
        <v>98</v>
      </c>
      <c r="B94" s="19"/>
      <c r="C94" s="20"/>
      <c r="D94" s="20"/>
      <c r="E94" s="20"/>
      <c r="F94" s="20"/>
      <c r="G94" s="21"/>
      <c r="H94" s="19">
        <v>1</v>
      </c>
      <c r="I94" s="20">
        <v>568.79999999999995</v>
      </c>
      <c r="J94" s="20">
        <v>20</v>
      </c>
      <c r="K94" s="20">
        <f t="shared" si="2"/>
        <v>113.76</v>
      </c>
      <c r="L94" s="20">
        <f t="shared" si="0"/>
        <v>27.4</v>
      </c>
      <c r="M94" s="21">
        <f t="shared" si="1"/>
        <v>141.16</v>
      </c>
      <c r="N94" s="19"/>
      <c r="O94" s="20"/>
      <c r="P94" s="20"/>
      <c r="Q94" s="20"/>
      <c r="R94" s="20"/>
      <c r="S94" s="21"/>
    </row>
    <row r="95" spans="1:19" x14ac:dyDescent="0.25">
      <c r="A95" s="18" t="s">
        <v>98</v>
      </c>
      <c r="B95" s="19"/>
      <c r="C95" s="20"/>
      <c r="D95" s="20"/>
      <c r="E95" s="20"/>
      <c r="F95" s="20"/>
      <c r="G95" s="21"/>
      <c r="H95" s="19">
        <v>1</v>
      </c>
      <c r="I95" s="20">
        <v>568.79999999999995</v>
      </c>
      <c r="J95" s="20">
        <v>20</v>
      </c>
      <c r="K95" s="20">
        <f t="shared" si="2"/>
        <v>113.76</v>
      </c>
      <c r="L95" s="20">
        <f t="shared" si="0"/>
        <v>27.4</v>
      </c>
      <c r="M95" s="21">
        <f t="shared" si="1"/>
        <v>141.16</v>
      </c>
      <c r="N95" s="19"/>
      <c r="O95" s="20"/>
      <c r="P95" s="20"/>
      <c r="Q95" s="20"/>
      <c r="R95" s="20"/>
      <c r="S95" s="21"/>
    </row>
    <row r="96" spans="1:19" x14ac:dyDescent="0.25">
      <c r="A96" s="18" t="s">
        <v>98</v>
      </c>
      <c r="B96" s="19"/>
      <c r="C96" s="20"/>
      <c r="D96" s="20"/>
      <c r="E96" s="20"/>
      <c r="F96" s="20"/>
      <c r="G96" s="21"/>
      <c r="H96" s="19">
        <v>1</v>
      </c>
      <c r="I96" s="20">
        <v>568.79999999999995</v>
      </c>
      <c r="J96" s="20">
        <v>20</v>
      </c>
      <c r="K96" s="20">
        <f t="shared" si="2"/>
        <v>113.76</v>
      </c>
      <c r="L96" s="20">
        <f t="shared" si="0"/>
        <v>27.4</v>
      </c>
      <c r="M96" s="21">
        <f t="shared" si="1"/>
        <v>141.16</v>
      </c>
      <c r="N96" s="19"/>
      <c r="O96" s="20"/>
      <c r="P96" s="20"/>
      <c r="Q96" s="20"/>
      <c r="R96" s="20"/>
      <c r="S96" s="21"/>
    </row>
    <row r="97" spans="1:19" x14ac:dyDescent="0.25">
      <c r="A97" s="18" t="s">
        <v>98</v>
      </c>
      <c r="B97" s="19"/>
      <c r="C97" s="20"/>
      <c r="D97" s="20"/>
      <c r="E97" s="20"/>
      <c r="F97" s="20"/>
      <c r="G97" s="21"/>
      <c r="H97" s="19">
        <v>0.91</v>
      </c>
      <c r="I97" s="20">
        <v>518.4</v>
      </c>
      <c r="J97" s="20">
        <v>20</v>
      </c>
      <c r="K97" s="20">
        <f t="shared" si="2"/>
        <v>103.68</v>
      </c>
      <c r="L97" s="20">
        <f t="shared" si="0"/>
        <v>24.98</v>
      </c>
      <c r="M97" s="21">
        <f t="shared" si="1"/>
        <v>128.66</v>
      </c>
      <c r="N97" s="19"/>
      <c r="O97" s="20"/>
      <c r="P97" s="20"/>
      <c r="Q97" s="20"/>
      <c r="R97" s="20"/>
      <c r="S97" s="21"/>
    </row>
    <row r="98" spans="1:19" x14ac:dyDescent="0.25">
      <c r="A98" s="18" t="s">
        <v>98</v>
      </c>
      <c r="B98" s="19"/>
      <c r="C98" s="20"/>
      <c r="D98" s="20"/>
      <c r="E98" s="20"/>
      <c r="F98" s="20"/>
      <c r="G98" s="21"/>
      <c r="H98" s="19">
        <v>1</v>
      </c>
      <c r="I98" s="20">
        <v>568.79999999999995</v>
      </c>
      <c r="J98" s="20">
        <v>20</v>
      </c>
      <c r="K98" s="20">
        <f t="shared" si="2"/>
        <v>113.76</v>
      </c>
      <c r="L98" s="20">
        <f t="shared" si="0"/>
        <v>27.4</v>
      </c>
      <c r="M98" s="21">
        <f t="shared" si="1"/>
        <v>141.16</v>
      </c>
      <c r="N98" s="19"/>
      <c r="O98" s="20"/>
      <c r="P98" s="20"/>
      <c r="Q98" s="20"/>
      <c r="R98" s="20"/>
      <c r="S98" s="21"/>
    </row>
    <row r="99" spans="1:19" x14ac:dyDescent="0.25">
      <c r="A99" s="18" t="s">
        <v>98</v>
      </c>
      <c r="B99" s="19"/>
      <c r="C99" s="20"/>
      <c r="D99" s="20"/>
      <c r="E99" s="20"/>
      <c r="F99" s="20"/>
      <c r="G99" s="21"/>
      <c r="H99" s="19">
        <v>0.61</v>
      </c>
      <c r="I99" s="20">
        <v>345.6</v>
      </c>
      <c r="J99" s="20">
        <v>20</v>
      </c>
      <c r="K99" s="20">
        <f t="shared" si="2"/>
        <v>69.12</v>
      </c>
      <c r="L99" s="20">
        <f t="shared" si="0"/>
        <v>16.649999999999999</v>
      </c>
      <c r="M99" s="21">
        <f t="shared" si="1"/>
        <v>85.77000000000001</v>
      </c>
      <c r="N99" s="19"/>
      <c r="O99" s="20"/>
      <c r="P99" s="20"/>
      <c r="Q99" s="20"/>
      <c r="R99" s="20"/>
      <c r="S99" s="21"/>
    </row>
    <row r="100" spans="1:19" ht="33" x14ac:dyDescent="0.25">
      <c r="A100" s="18" t="s">
        <v>171</v>
      </c>
      <c r="B100" s="19"/>
      <c r="C100" s="20"/>
      <c r="D100" s="20"/>
      <c r="E100" s="20"/>
      <c r="F100" s="20"/>
      <c r="G100" s="21"/>
      <c r="H100" s="19">
        <v>6.24</v>
      </c>
      <c r="I100" s="20">
        <v>3186.12</v>
      </c>
      <c r="J100" s="20">
        <v>20</v>
      </c>
      <c r="K100" s="20">
        <f t="shared" si="2"/>
        <v>637.22</v>
      </c>
      <c r="L100" s="20">
        <f t="shared" si="0"/>
        <v>153.51</v>
      </c>
      <c r="M100" s="21">
        <f t="shared" si="1"/>
        <v>790.73</v>
      </c>
      <c r="N100" s="19"/>
      <c r="O100" s="20"/>
      <c r="P100" s="20"/>
      <c r="Q100" s="20"/>
      <c r="R100" s="20"/>
      <c r="S100" s="21"/>
    </row>
    <row r="101" spans="1:19" x14ac:dyDescent="0.25">
      <c r="A101" s="18" t="s">
        <v>193</v>
      </c>
      <c r="B101" s="19"/>
      <c r="C101" s="20"/>
      <c r="D101" s="20"/>
      <c r="E101" s="20"/>
      <c r="F101" s="20"/>
      <c r="G101" s="21"/>
      <c r="H101" s="19">
        <v>1</v>
      </c>
      <c r="I101" s="20">
        <v>430</v>
      </c>
      <c r="J101" s="20">
        <v>20</v>
      </c>
      <c r="K101" s="20">
        <f t="shared" si="2"/>
        <v>86</v>
      </c>
      <c r="L101" s="20">
        <f t="shared" si="0"/>
        <v>20.72</v>
      </c>
      <c r="M101" s="21">
        <f t="shared" si="1"/>
        <v>106.72</v>
      </c>
      <c r="N101" s="19"/>
      <c r="O101" s="20"/>
      <c r="P101" s="20"/>
      <c r="Q101" s="20"/>
      <c r="R101" s="20"/>
      <c r="S101" s="21"/>
    </row>
    <row r="102" spans="1:19" x14ac:dyDescent="0.25">
      <c r="A102" s="18" t="s">
        <v>194</v>
      </c>
      <c r="B102" s="19"/>
      <c r="C102" s="20"/>
      <c r="D102" s="20"/>
      <c r="E102" s="20"/>
      <c r="F102" s="20"/>
      <c r="G102" s="21"/>
      <c r="H102" s="19">
        <v>0.9</v>
      </c>
      <c r="I102" s="20">
        <v>894.6</v>
      </c>
      <c r="J102" s="20">
        <v>20</v>
      </c>
      <c r="K102" s="20">
        <f t="shared" si="2"/>
        <v>178.92</v>
      </c>
      <c r="L102" s="20">
        <f t="shared" si="0"/>
        <v>43.1</v>
      </c>
      <c r="M102" s="21">
        <f t="shared" si="1"/>
        <v>222.01999999999998</v>
      </c>
      <c r="N102" s="19"/>
      <c r="O102" s="20"/>
      <c r="P102" s="20"/>
      <c r="Q102" s="20"/>
      <c r="R102" s="20"/>
      <c r="S102" s="21"/>
    </row>
    <row r="103" spans="1:19" x14ac:dyDescent="0.25">
      <c r="A103" s="18" t="s">
        <v>100</v>
      </c>
      <c r="B103" s="19"/>
      <c r="C103" s="20"/>
      <c r="D103" s="20"/>
      <c r="E103" s="20"/>
      <c r="F103" s="20"/>
      <c r="G103" s="21"/>
      <c r="H103" s="19">
        <v>1</v>
      </c>
      <c r="I103" s="20">
        <v>430</v>
      </c>
      <c r="J103" s="20">
        <v>20</v>
      </c>
      <c r="K103" s="20">
        <f t="shared" si="2"/>
        <v>86</v>
      </c>
      <c r="L103" s="20">
        <f t="shared" si="0"/>
        <v>20.72</v>
      </c>
      <c r="M103" s="21">
        <f t="shared" si="1"/>
        <v>106.72</v>
      </c>
      <c r="N103" s="19"/>
      <c r="O103" s="20"/>
      <c r="P103" s="20"/>
      <c r="Q103" s="20"/>
      <c r="R103" s="20"/>
      <c r="S103" s="21"/>
    </row>
    <row r="104" spans="1:19" x14ac:dyDescent="0.25">
      <c r="A104" s="18" t="s">
        <v>100</v>
      </c>
      <c r="B104" s="19"/>
      <c r="C104" s="20"/>
      <c r="D104" s="20"/>
      <c r="E104" s="20"/>
      <c r="F104" s="20"/>
      <c r="G104" s="21"/>
      <c r="H104" s="19">
        <v>0.84</v>
      </c>
      <c r="I104" s="20">
        <v>359.24</v>
      </c>
      <c r="J104" s="20">
        <v>20</v>
      </c>
      <c r="K104" s="20">
        <f t="shared" si="2"/>
        <v>71.849999999999994</v>
      </c>
      <c r="L104" s="20">
        <f t="shared" si="0"/>
        <v>17.309999999999999</v>
      </c>
      <c r="M104" s="21">
        <f t="shared" si="1"/>
        <v>89.16</v>
      </c>
      <c r="N104" s="19"/>
      <c r="O104" s="20"/>
      <c r="P104" s="20"/>
      <c r="Q104" s="20"/>
      <c r="R104" s="20"/>
      <c r="S104" s="21"/>
    </row>
    <row r="105" spans="1:19" x14ac:dyDescent="0.25">
      <c r="A105" s="18" t="s">
        <v>100</v>
      </c>
      <c r="B105" s="19"/>
      <c r="C105" s="20"/>
      <c r="D105" s="20"/>
      <c r="E105" s="20"/>
      <c r="F105" s="20"/>
      <c r="G105" s="21"/>
      <c r="H105" s="19">
        <v>0.99</v>
      </c>
      <c r="I105" s="20">
        <v>424.56</v>
      </c>
      <c r="J105" s="20">
        <v>20</v>
      </c>
      <c r="K105" s="20">
        <f t="shared" si="2"/>
        <v>84.91</v>
      </c>
      <c r="L105" s="20">
        <f t="shared" si="0"/>
        <v>20.45</v>
      </c>
      <c r="M105" s="21">
        <f t="shared" si="1"/>
        <v>105.36</v>
      </c>
      <c r="N105" s="19"/>
      <c r="O105" s="20"/>
      <c r="P105" s="20"/>
      <c r="Q105" s="20"/>
      <c r="R105" s="20"/>
      <c r="S105" s="21"/>
    </row>
    <row r="106" spans="1:19" x14ac:dyDescent="0.25">
      <c r="A106" s="18" t="s">
        <v>100</v>
      </c>
      <c r="B106" s="19"/>
      <c r="C106" s="20"/>
      <c r="D106" s="20"/>
      <c r="E106" s="20"/>
      <c r="F106" s="20"/>
      <c r="G106" s="21"/>
      <c r="H106" s="19">
        <v>1</v>
      </c>
      <c r="I106" s="20">
        <v>430</v>
      </c>
      <c r="J106" s="20">
        <v>20</v>
      </c>
      <c r="K106" s="20">
        <f t="shared" si="2"/>
        <v>86</v>
      </c>
      <c r="L106" s="20">
        <f t="shared" si="0"/>
        <v>20.72</v>
      </c>
      <c r="M106" s="21">
        <f t="shared" si="1"/>
        <v>106.72</v>
      </c>
      <c r="N106" s="19"/>
      <c r="O106" s="20"/>
      <c r="P106" s="20"/>
      <c r="Q106" s="20"/>
      <c r="R106" s="20"/>
      <c r="S106" s="21"/>
    </row>
    <row r="107" spans="1:19" x14ac:dyDescent="0.25">
      <c r="A107" s="18" t="s">
        <v>100</v>
      </c>
      <c r="B107" s="19"/>
      <c r="C107" s="20"/>
      <c r="D107" s="20"/>
      <c r="E107" s="20"/>
      <c r="F107" s="20"/>
      <c r="G107" s="21"/>
      <c r="H107" s="19">
        <v>0.51</v>
      </c>
      <c r="I107" s="20">
        <v>217.72</v>
      </c>
      <c r="J107" s="20">
        <v>20</v>
      </c>
      <c r="K107" s="20">
        <f t="shared" si="2"/>
        <v>43.54</v>
      </c>
      <c r="L107" s="20">
        <f t="shared" si="0"/>
        <v>10.49</v>
      </c>
      <c r="M107" s="21">
        <f t="shared" si="1"/>
        <v>54.03</v>
      </c>
      <c r="N107" s="19"/>
      <c r="O107" s="20"/>
      <c r="P107" s="20"/>
      <c r="Q107" s="20"/>
      <c r="R107" s="20"/>
      <c r="S107" s="21"/>
    </row>
    <row r="108" spans="1:19" x14ac:dyDescent="0.25">
      <c r="A108" s="36" t="s">
        <v>195</v>
      </c>
      <c r="B108" s="15"/>
      <c r="C108" s="16"/>
      <c r="D108" s="16"/>
      <c r="E108" s="16"/>
      <c r="F108" s="16"/>
      <c r="G108" s="17"/>
      <c r="H108" s="15">
        <v>1</v>
      </c>
      <c r="I108" s="16">
        <v>924</v>
      </c>
      <c r="J108" s="16">
        <v>20</v>
      </c>
      <c r="K108" s="16">
        <f t="shared" si="2"/>
        <v>184.8</v>
      </c>
      <c r="L108" s="16">
        <f t="shared" si="0"/>
        <v>44.52</v>
      </c>
      <c r="M108" s="17">
        <f t="shared" si="1"/>
        <v>229.32000000000002</v>
      </c>
      <c r="N108" s="15"/>
      <c r="O108" s="16"/>
      <c r="P108" s="16"/>
      <c r="Q108" s="16"/>
      <c r="R108" s="16"/>
      <c r="S108" s="17"/>
    </row>
    <row r="109" spans="1:19" ht="33" x14ac:dyDescent="0.25">
      <c r="A109" s="18" t="s">
        <v>171</v>
      </c>
      <c r="B109" s="19"/>
      <c r="C109" s="20"/>
      <c r="D109" s="20"/>
      <c r="E109" s="20"/>
      <c r="F109" s="20"/>
      <c r="G109" s="21"/>
      <c r="H109" s="19">
        <v>1</v>
      </c>
      <c r="I109" s="20">
        <v>924</v>
      </c>
      <c r="J109" s="20">
        <v>20</v>
      </c>
      <c r="K109" s="20">
        <f t="shared" si="2"/>
        <v>184.8</v>
      </c>
      <c r="L109" s="20">
        <f t="shared" si="0"/>
        <v>44.52</v>
      </c>
      <c r="M109" s="21">
        <f t="shared" si="1"/>
        <v>229.32000000000002</v>
      </c>
      <c r="N109" s="19"/>
      <c r="O109" s="20"/>
      <c r="P109" s="20"/>
      <c r="Q109" s="20"/>
      <c r="R109" s="20"/>
      <c r="S109" s="21"/>
    </row>
    <row r="110" spans="1:19" x14ac:dyDescent="0.25">
      <c r="A110" s="18" t="s">
        <v>196</v>
      </c>
      <c r="B110" s="19"/>
      <c r="C110" s="20"/>
      <c r="D110" s="20"/>
      <c r="E110" s="20"/>
      <c r="F110" s="20"/>
      <c r="G110" s="21"/>
      <c r="H110" s="19">
        <v>1</v>
      </c>
      <c r="I110" s="20">
        <v>924</v>
      </c>
      <c r="J110" s="20">
        <v>20</v>
      </c>
      <c r="K110" s="20">
        <f t="shared" si="2"/>
        <v>184.8</v>
      </c>
      <c r="L110" s="20">
        <f t="shared" si="0"/>
        <v>44.52</v>
      </c>
      <c r="M110" s="21">
        <f t="shared" si="1"/>
        <v>229.32000000000002</v>
      </c>
      <c r="N110" s="19"/>
      <c r="O110" s="20"/>
      <c r="P110" s="20"/>
      <c r="Q110" s="20"/>
      <c r="R110" s="20"/>
      <c r="S110" s="21"/>
    </row>
    <row r="111" spans="1:19" x14ac:dyDescent="0.25">
      <c r="A111" s="36" t="s">
        <v>197</v>
      </c>
      <c r="B111" s="15"/>
      <c r="C111" s="16"/>
      <c r="D111" s="16"/>
      <c r="E111" s="16"/>
      <c r="F111" s="16"/>
      <c r="G111" s="17"/>
      <c r="H111" s="15">
        <v>0.64000000000000012</v>
      </c>
      <c r="I111" s="16">
        <v>630.80000000000007</v>
      </c>
      <c r="J111" s="16">
        <v>20</v>
      </c>
      <c r="K111" s="16">
        <f t="shared" si="2"/>
        <v>126.16</v>
      </c>
      <c r="L111" s="16">
        <f t="shared" si="0"/>
        <v>30.39</v>
      </c>
      <c r="M111" s="17">
        <f t="shared" si="1"/>
        <v>156.55000000000001</v>
      </c>
      <c r="N111" s="15"/>
      <c r="O111" s="16"/>
      <c r="P111" s="16"/>
      <c r="Q111" s="16"/>
      <c r="R111" s="16"/>
      <c r="S111" s="17"/>
    </row>
    <row r="112" spans="1:19" ht="33" x14ac:dyDescent="0.25">
      <c r="A112" s="18" t="s">
        <v>176</v>
      </c>
      <c r="B112" s="19"/>
      <c r="C112" s="20"/>
      <c r="D112" s="20"/>
      <c r="E112" s="20"/>
      <c r="F112" s="20"/>
      <c r="G112" s="21"/>
      <c r="H112" s="19">
        <v>0.28999999999999998</v>
      </c>
      <c r="I112" s="20">
        <v>372.85</v>
      </c>
      <c r="J112" s="20">
        <v>20</v>
      </c>
      <c r="K112" s="20">
        <f t="shared" si="2"/>
        <v>74.569999999999993</v>
      </c>
      <c r="L112" s="20">
        <f t="shared" si="0"/>
        <v>17.96</v>
      </c>
      <c r="M112" s="21">
        <f t="shared" si="1"/>
        <v>92.53</v>
      </c>
      <c r="N112" s="19"/>
      <c r="O112" s="20"/>
      <c r="P112" s="20"/>
      <c r="Q112" s="20"/>
      <c r="R112" s="20"/>
      <c r="S112" s="21"/>
    </row>
    <row r="113" spans="1:19" x14ac:dyDescent="0.25">
      <c r="A113" s="18" t="s">
        <v>198</v>
      </c>
      <c r="B113" s="19"/>
      <c r="C113" s="20"/>
      <c r="D113" s="20"/>
      <c r="E113" s="20"/>
      <c r="F113" s="20"/>
      <c r="G113" s="21"/>
      <c r="H113" s="19">
        <v>0.05</v>
      </c>
      <c r="I113" s="20">
        <v>52</v>
      </c>
      <c r="J113" s="20">
        <v>20</v>
      </c>
      <c r="K113" s="20">
        <f t="shared" si="2"/>
        <v>10.4</v>
      </c>
      <c r="L113" s="20">
        <f t="shared" si="0"/>
        <v>2.5099999999999998</v>
      </c>
      <c r="M113" s="21">
        <f t="shared" si="1"/>
        <v>12.91</v>
      </c>
      <c r="N113" s="19"/>
      <c r="O113" s="20"/>
      <c r="P113" s="20"/>
      <c r="Q113" s="20"/>
      <c r="R113" s="20"/>
      <c r="S113" s="21"/>
    </row>
    <row r="114" spans="1:19" x14ac:dyDescent="0.25">
      <c r="A114" s="18" t="s">
        <v>198</v>
      </c>
      <c r="B114" s="19"/>
      <c r="C114" s="20"/>
      <c r="D114" s="20"/>
      <c r="E114" s="20"/>
      <c r="F114" s="20"/>
      <c r="G114" s="21"/>
      <c r="H114" s="19">
        <v>0.09</v>
      </c>
      <c r="I114" s="20">
        <v>111</v>
      </c>
      <c r="J114" s="20">
        <v>20</v>
      </c>
      <c r="K114" s="20">
        <f t="shared" si="2"/>
        <v>22.2</v>
      </c>
      <c r="L114" s="20">
        <f t="shared" si="0"/>
        <v>5.35</v>
      </c>
      <c r="M114" s="21">
        <f t="shared" si="1"/>
        <v>27.549999999999997</v>
      </c>
      <c r="N114" s="19"/>
      <c r="O114" s="20"/>
      <c r="P114" s="20"/>
      <c r="Q114" s="20"/>
      <c r="R114" s="20"/>
      <c r="S114" s="21"/>
    </row>
    <row r="115" spans="1:19" x14ac:dyDescent="0.25">
      <c r="A115" s="18" t="s">
        <v>198</v>
      </c>
      <c r="B115" s="19"/>
      <c r="C115" s="20"/>
      <c r="D115" s="20"/>
      <c r="E115" s="20"/>
      <c r="F115" s="20"/>
      <c r="G115" s="21"/>
      <c r="H115" s="19">
        <v>7.0000000000000007E-2</v>
      </c>
      <c r="I115" s="20">
        <v>81.400000000000006</v>
      </c>
      <c r="J115" s="20">
        <v>20</v>
      </c>
      <c r="K115" s="20">
        <f t="shared" si="2"/>
        <v>16.28</v>
      </c>
      <c r="L115" s="20">
        <f t="shared" si="0"/>
        <v>3.92</v>
      </c>
      <c r="M115" s="21">
        <f t="shared" si="1"/>
        <v>20.200000000000003</v>
      </c>
      <c r="N115" s="19"/>
      <c r="O115" s="20"/>
      <c r="P115" s="20"/>
      <c r="Q115" s="20"/>
      <c r="R115" s="20"/>
      <c r="S115" s="21"/>
    </row>
    <row r="116" spans="1:19" x14ac:dyDescent="0.25">
      <c r="A116" s="18" t="s">
        <v>198</v>
      </c>
      <c r="B116" s="19"/>
      <c r="C116" s="20"/>
      <c r="D116" s="20"/>
      <c r="E116" s="20"/>
      <c r="F116" s="20"/>
      <c r="G116" s="21"/>
      <c r="H116" s="19">
        <v>0.03</v>
      </c>
      <c r="I116" s="20">
        <v>40.700000000000003</v>
      </c>
      <c r="J116" s="20">
        <v>20</v>
      </c>
      <c r="K116" s="20">
        <f t="shared" si="2"/>
        <v>8.14</v>
      </c>
      <c r="L116" s="20">
        <f t="shared" si="0"/>
        <v>1.96</v>
      </c>
      <c r="M116" s="21">
        <f t="shared" si="1"/>
        <v>10.100000000000001</v>
      </c>
      <c r="N116" s="19"/>
      <c r="O116" s="20"/>
      <c r="P116" s="20"/>
      <c r="Q116" s="20"/>
      <c r="R116" s="20"/>
      <c r="S116" s="21"/>
    </row>
    <row r="117" spans="1:19" x14ac:dyDescent="0.25">
      <c r="A117" s="18" t="s">
        <v>198</v>
      </c>
      <c r="B117" s="19"/>
      <c r="C117" s="20"/>
      <c r="D117" s="20"/>
      <c r="E117" s="20"/>
      <c r="F117" s="20"/>
      <c r="G117" s="21"/>
      <c r="H117" s="19">
        <v>0.05</v>
      </c>
      <c r="I117" s="20">
        <v>87.75</v>
      </c>
      <c r="J117" s="20">
        <v>20</v>
      </c>
      <c r="K117" s="20">
        <f t="shared" si="2"/>
        <v>17.55</v>
      </c>
      <c r="L117" s="20">
        <f t="shared" si="0"/>
        <v>4.2300000000000004</v>
      </c>
      <c r="M117" s="21">
        <f t="shared" si="1"/>
        <v>21.78</v>
      </c>
      <c r="N117" s="19"/>
      <c r="O117" s="20"/>
      <c r="P117" s="20"/>
      <c r="Q117" s="20"/>
      <c r="R117" s="20"/>
      <c r="S117" s="21"/>
    </row>
    <row r="118" spans="1:19" ht="49.5" x14ac:dyDescent="0.25">
      <c r="A118" s="18" t="s">
        <v>180</v>
      </c>
      <c r="B118" s="19"/>
      <c r="C118" s="20"/>
      <c r="D118" s="20"/>
      <c r="E118" s="20"/>
      <c r="F118" s="20"/>
      <c r="G118" s="21"/>
      <c r="H118" s="19">
        <v>0.35</v>
      </c>
      <c r="I118" s="20">
        <v>257.95000000000005</v>
      </c>
      <c r="J118" s="20">
        <v>20</v>
      </c>
      <c r="K118" s="20">
        <v>51.589999999999996</v>
      </c>
      <c r="L118" s="20">
        <v>12.420000000000002</v>
      </c>
      <c r="M118" s="21">
        <v>64.010000000000005</v>
      </c>
      <c r="N118" s="19"/>
      <c r="O118" s="20"/>
      <c r="P118" s="20"/>
      <c r="Q118" s="20"/>
      <c r="R118" s="20"/>
      <c r="S118" s="21"/>
    </row>
    <row r="119" spans="1:19" ht="15.75" customHeight="1" x14ac:dyDescent="0.25">
      <c r="A119" s="18" t="s">
        <v>181</v>
      </c>
      <c r="B119" s="19"/>
      <c r="C119" s="20"/>
      <c r="D119" s="20"/>
      <c r="E119" s="20"/>
      <c r="F119" s="20"/>
      <c r="G119" s="21"/>
      <c r="H119" s="19">
        <v>7.0000000000000007E-2</v>
      </c>
      <c r="I119" s="20">
        <v>54.05</v>
      </c>
      <c r="J119" s="20">
        <v>20</v>
      </c>
      <c r="K119" s="20">
        <f t="shared" si="2"/>
        <v>10.81</v>
      </c>
      <c r="L119" s="20">
        <f t="shared" si="0"/>
        <v>2.6</v>
      </c>
      <c r="M119" s="21">
        <f t="shared" si="1"/>
        <v>13.41</v>
      </c>
      <c r="N119" s="19"/>
      <c r="O119" s="20"/>
      <c r="P119" s="20"/>
      <c r="Q119" s="20"/>
      <c r="R119" s="20"/>
      <c r="S119" s="21"/>
    </row>
    <row r="120" spans="1:19" ht="15.75" customHeight="1" x14ac:dyDescent="0.25">
      <c r="A120" s="18" t="s">
        <v>181</v>
      </c>
      <c r="B120" s="19"/>
      <c r="C120" s="20"/>
      <c r="D120" s="20"/>
      <c r="E120" s="20"/>
      <c r="F120" s="20"/>
      <c r="G120" s="21"/>
      <c r="H120" s="19">
        <v>0.05</v>
      </c>
      <c r="I120" s="20">
        <v>37.6</v>
      </c>
      <c r="J120" s="20">
        <v>20</v>
      </c>
      <c r="K120" s="20">
        <f t="shared" si="2"/>
        <v>7.52</v>
      </c>
      <c r="L120" s="20">
        <f t="shared" si="0"/>
        <v>1.81</v>
      </c>
      <c r="M120" s="21">
        <f t="shared" si="1"/>
        <v>9.33</v>
      </c>
      <c r="N120" s="19"/>
      <c r="O120" s="20"/>
      <c r="P120" s="20"/>
      <c r="Q120" s="20"/>
      <c r="R120" s="20"/>
      <c r="S120" s="21"/>
    </row>
    <row r="121" spans="1:19" ht="15.75" customHeight="1" x14ac:dyDescent="0.25">
      <c r="A121" s="18" t="s">
        <v>181</v>
      </c>
      <c r="B121" s="19"/>
      <c r="C121" s="20"/>
      <c r="D121" s="20"/>
      <c r="E121" s="20"/>
      <c r="F121" s="20"/>
      <c r="G121" s="21"/>
      <c r="H121" s="19">
        <v>0.16</v>
      </c>
      <c r="I121" s="20">
        <v>122.2</v>
      </c>
      <c r="J121" s="20">
        <v>20</v>
      </c>
      <c r="K121" s="20">
        <f t="shared" si="2"/>
        <v>24.44</v>
      </c>
      <c r="L121" s="20">
        <f t="shared" si="0"/>
        <v>5.89</v>
      </c>
      <c r="M121" s="21">
        <f t="shared" si="1"/>
        <v>30.330000000000002</v>
      </c>
      <c r="N121" s="19"/>
      <c r="O121" s="20"/>
      <c r="P121" s="20"/>
      <c r="Q121" s="20"/>
      <c r="R121" s="20"/>
      <c r="S121" s="21"/>
    </row>
    <row r="122" spans="1:19" x14ac:dyDescent="0.25">
      <c r="A122" s="18" t="s">
        <v>199</v>
      </c>
      <c r="B122" s="19"/>
      <c r="C122" s="20"/>
      <c r="D122" s="20"/>
      <c r="E122" s="20"/>
      <c r="F122" s="20"/>
      <c r="G122" s="21"/>
      <c r="H122" s="19">
        <v>7.0000000000000007E-2</v>
      </c>
      <c r="I122" s="20">
        <v>44.1</v>
      </c>
      <c r="J122" s="20">
        <v>20</v>
      </c>
      <c r="K122" s="20">
        <f t="shared" si="2"/>
        <v>8.82</v>
      </c>
      <c r="L122" s="20">
        <f t="shared" si="0"/>
        <v>2.12</v>
      </c>
      <c r="M122" s="21">
        <f t="shared" si="1"/>
        <v>10.940000000000001</v>
      </c>
      <c r="N122" s="19"/>
      <c r="O122" s="20"/>
      <c r="P122" s="20"/>
      <c r="Q122" s="20"/>
      <c r="R122" s="20"/>
      <c r="S122" s="21"/>
    </row>
    <row r="123" spans="1:19" x14ac:dyDescent="0.25">
      <c r="A123" s="36" t="s">
        <v>159</v>
      </c>
      <c r="B123" s="15"/>
      <c r="C123" s="16"/>
      <c r="D123" s="16"/>
      <c r="E123" s="16"/>
      <c r="F123" s="16"/>
      <c r="G123" s="17"/>
      <c r="H123" s="15">
        <v>4.25</v>
      </c>
      <c r="I123" s="16">
        <v>5634.65</v>
      </c>
      <c r="J123" s="16">
        <v>20</v>
      </c>
      <c r="K123" s="16">
        <f t="shared" si="2"/>
        <v>1126.93</v>
      </c>
      <c r="L123" s="16">
        <f t="shared" si="0"/>
        <v>271.48</v>
      </c>
      <c r="M123" s="17">
        <f t="shared" si="1"/>
        <v>1398.41</v>
      </c>
      <c r="N123" s="15"/>
      <c r="O123" s="16"/>
      <c r="P123" s="16"/>
      <c r="Q123" s="16"/>
      <c r="R123" s="16"/>
      <c r="S123" s="17"/>
    </row>
    <row r="124" spans="1:19" ht="33" x14ac:dyDescent="0.25">
      <c r="A124" s="18" t="s">
        <v>176</v>
      </c>
      <c r="B124" s="19"/>
      <c r="C124" s="20"/>
      <c r="D124" s="20"/>
      <c r="E124" s="20"/>
      <c r="F124" s="20"/>
      <c r="G124" s="21"/>
      <c r="H124" s="19">
        <v>4.25</v>
      </c>
      <c r="I124" s="20">
        <v>5634.65</v>
      </c>
      <c r="J124" s="20">
        <v>20</v>
      </c>
      <c r="K124" s="20">
        <f t="shared" si="2"/>
        <v>1126.93</v>
      </c>
      <c r="L124" s="20">
        <f t="shared" si="0"/>
        <v>271.48</v>
      </c>
      <c r="M124" s="21">
        <f t="shared" si="1"/>
        <v>1398.41</v>
      </c>
      <c r="N124" s="19"/>
      <c r="O124" s="20"/>
      <c r="P124" s="20"/>
      <c r="Q124" s="20"/>
      <c r="R124" s="20"/>
      <c r="S124" s="21"/>
    </row>
    <row r="125" spans="1:19" x14ac:dyDescent="0.25">
      <c r="A125" s="18" t="s">
        <v>200</v>
      </c>
      <c r="B125" s="19"/>
      <c r="C125" s="20"/>
      <c r="D125" s="20"/>
      <c r="E125" s="20"/>
      <c r="F125" s="20"/>
      <c r="G125" s="21"/>
      <c r="H125" s="19">
        <v>0.93</v>
      </c>
      <c r="I125" s="20">
        <v>1146.5999999999999</v>
      </c>
      <c r="J125" s="20">
        <v>20</v>
      </c>
      <c r="K125" s="20">
        <f t="shared" si="2"/>
        <v>229.32</v>
      </c>
      <c r="L125" s="20">
        <f t="shared" si="0"/>
        <v>55.24</v>
      </c>
      <c r="M125" s="21">
        <f t="shared" si="1"/>
        <v>284.56</v>
      </c>
      <c r="N125" s="19"/>
      <c r="O125" s="20"/>
      <c r="P125" s="20"/>
      <c r="Q125" s="20"/>
      <c r="R125" s="20"/>
      <c r="S125" s="21"/>
    </row>
    <row r="126" spans="1:19" x14ac:dyDescent="0.25">
      <c r="A126" s="18" t="s">
        <v>200</v>
      </c>
      <c r="B126" s="19"/>
      <c r="C126" s="20"/>
      <c r="D126" s="20"/>
      <c r="E126" s="20"/>
      <c r="F126" s="20"/>
      <c r="G126" s="21"/>
      <c r="H126" s="19">
        <v>0.15</v>
      </c>
      <c r="I126" s="20">
        <v>187.2</v>
      </c>
      <c r="J126" s="20">
        <v>20</v>
      </c>
      <c r="K126" s="20">
        <f t="shared" si="2"/>
        <v>37.44</v>
      </c>
      <c r="L126" s="20">
        <f t="shared" si="0"/>
        <v>9.02</v>
      </c>
      <c r="M126" s="21">
        <f t="shared" si="1"/>
        <v>46.459999999999994</v>
      </c>
      <c r="N126" s="19"/>
      <c r="O126" s="20"/>
      <c r="P126" s="20"/>
      <c r="Q126" s="20"/>
      <c r="R126" s="20"/>
      <c r="S126" s="21"/>
    </row>
    <row r="127" spans="1:19" x14ac:dyDescent="0.25">
      <c r="A127" s="18" t="s">
        <v>200</v>
      </c>
      <c r="B127" s="19"/>
      <c r="C127" s="20"/>
      <c r="D127" s="20"/>
      <c r="E127" s="20"/>
      <c r="F127" s="20"/>
      <c r="G127" s="21"/>
      <c r="H127" s="19">
        <v>0.41</v>
      </c>
      <c r="I127" s="20">
        <v>499.2</v>
      </c>
      <c r="J127" s="20">
        <v>20</v>
      </c>
      <c r="K127" s="20">
        <f t="shared" si="2"/>
        <v>99.84</v>
      </c>
      <c r="L127" s="20">
        <f t="shared" si="0"/>
        <v>24.05</v>
      </c>
      <c r="M127" s="21">
        <f t="shared" si="1"/>
        <v>123.89</v>
      </c>
      <c r="N127" s="19"/>
      <c r="O127" s="20"/>
      <c r="P127" s="20"/>
      <c r="Q127" s="20"/>
      <c r="R127" s="20"/>
      <c r="S127" s="21"/>
    </row>
    <row r="128" spans="1:19" x14ac:dyDescent="0.25">
      <c r="A128" s="18" t="s">
        <v>200</v>
      </c>
      <c r="B128" s="19"/>
      <c r="C128" s="20"/>
      <c r="D128" s="20"/>
      <c r="E128" s="20"/>
      <c r="F128" s="20"/>
      <c r="G128" s="21"/>
      <c r="H128" s="19">
        <v>0.91</v>
      </c>
      <c r="I128" s="20">
        <v>1238.4000000000001</v>
      </c>
      <c r="J128" s="20">
        <v>20</v>
      </c>
      <c r="K128" s="20">
        <f t="shared" si="2"/>
        <v>247.68</v>
      </c>
      <c r="L128" s="20">
        <f t="shared" si="0"/>
        <v>59.67</v>
      </c>
      <c r="M128" s="21">
        <f t="shared" si="1"/>
        <v>307.35000000000002</v>
      </c>
      <c r="N128" s="19"/>
      <c r="O128" s="20"/>
      <c r="P128" s="20"/>
      <c r="Q128" s="20"/>
      <c r="R128" s="20"/>
      <c r="S128" s="21"/>
    </row>
    <row r="129" spans="1:19" x14ac:dyDescent="0.25">
      <c r="A129" s="18" t="s">
        <v>200</v>
      </c>
      <c r="B129" s="19"/>
      <c r="C129" s="20"/>
      <c r="D129" s="20"/>
      <c r="E129" s="20"/>
      <c r="F129" s="20"/>
      <c r="G129" s="21"/>
      <c r="H129" s="19">
        <v>0.56000000000000005</v>
      </c>
      <c r="I129" s="20">
        <v>686.4</v>
      </c>
      <c r="J129" s="20">
        <v>20</v>
      </c>
      <c r="K129" s="20">
        <f t="shared" si="2"/>
        <v>137.28</v>
      </c>
      <c r="L129" s="20">
        <f t="shared" si="0"/>
        <v>33.07</v>
      </c>
      <c r="M129" s="21">
        <f t="shared" si="1"/>
        <v>170.35</v>
      </c>
      <c r="N129" s="19"/>
      <c r="O129" s="20"/>
      <c r="P129" s="20"/>
      <c r="Q129" s="20"/>
      <c r="R129" s="20"/>
      <c r="S129" s="21"/>
    </row>
    <row r="130" spans="1:19" x14ac:dyDescent="0.25">
      <c r="A130" s="18" t="s">
        <v>200</v>
      </c>
      <c r="B130" s="19"/>
      <c r="C130" s="20"/>
      <c r="D130" s="20"/>
      <c r="E130" s="20"/>
      <c r="F130" s="20"/>
      <c r="G130" s="21"/>
      <c r="H130" s="19">
        <v>0.41</v>
      </c>
      <c r="I130" s="20">
        <v>550.4</v>
      </c>
      <c r="J130" s="20">
        <v>20</v>
      </c>
      <c r="K130" s="20">
        <f t="shared" si="2"/>
        <v>110.08</v>
      </c>
      <c r="L130" s="20">
        <f t="shared" si="0"/>
        <v>26.52</v>
      </c>
      <c r="M130" s="21">
        <f t="shared" si="1"/>
        <v>136.6</v>
      </c>
      <c r="N130" s="19"/>
      <c r="O130" s="20"/>
      <c r="P130" s="20"/>
      <c r="Q130" s="20"/>
      <c r="R130" s="20"/>
      <c r="S130" s="21"/>
    </row>
    <row r="131" spans="1:19" x14ac:dyDescent="0.25">
      <c r="A131" s="18" t="s">
        <v>200</v>
      </c>
      <c r="B131" s="19"/>
      <c r="C131" s="20"/>
      <c r="D131" s="20"/>
      <c r="E131" s="20"/>
      <c r="F131" s="20"/>
      <c r="G131" s="21"/>
      <c r="H131" s="19">
        <v>0.05</v>
      </c>
      <c r="I131" s="20">
        <v>68.8</v>
      </c>
      <c r="J131" s="20">
        <v>20</v>
      </c>
      <c r="K131" s="20">
        <f t="shared" si="2"/>
        <v>13.76</v>
      </c>
      <c r="L131" s="20">
        <f t="shared" si="0"/>
        <v>3.31</v>
      </c>
      <c r="M131" s="21">
        <f t="shared" si="1"/>
        <v>17.07</v>
      </c>
      <c r="N131" s="19"/>
      <c r="O131" s="20"/>
      <c r="P131" s="20"/>
      <c r="Q131" s="20"/>
      <c r="R131" s="20"/>
      <c r="S131" s="21"/>
    </row>
    <row r="132" spans="1:19" x14ac:dyDescent="0.25">
      <c r="A132" s="18" t="s">
        <v>200</v>
      </c>
      <c r="B132" s="19"/>
      <c r="C132" s="20"/>
      <c r="D132" s="20"/>
      <c r="E132" s="20"/>
      <c r="F132" s="20"/>
      <c r="G132" s="21"/>
      <c r="H132" s="19">
        <v>0.48</v>
      </c>
      <c r="I132" s="20">
        <v>657.9</v>
      </c>
      <c r="J132" s="20">
        <v>20</v>
      </c>
      <c r="K132" s="20">
        <f t="shared" si="2"/>
        <v>131.58000000000001</v>
      </c>
      <c r="L132" s="20">
        <f t="shared" si="0"/>
        <v>31.7</v>
      </c>
      <c r="M132" s="21">
        <f t="shared" si="1"/>
        <v>163.28</v>
      </c>
      <c r="N132" s="19"/>
      <c r="O132" s="20"/>
      <c r="P132" s="20"/>
      <c r="Q132" s="20"/>
      <c r="R132" s="20"/>
      <c r="S132" s="21"/>
    </row>
    <row r="133" spans="1:19" x14ac:dyDescent="0.25">
      <c r="A133" s="18" t="s">
        <v>200</v>
      </c>
      <c r="B133" s="19"/>
      <c r="C133" s="20"/>
      <c r="D133" s="20"/>
      <c r="E133" s="20"/>
      <c r="F133" s="20"/>
      <c r="G133" s="21"/>
      <c r="H133" s="19">
        <v>0.1</v>
      </c>
      <c r="I133" s="20">
        <v>137.6</v>
      </c>
      <c r="J133" s="20">
        <v>20</v>
      </c>
      <c r="K133" s="20">
        <f t="shared" si="2"/>
        <v>27.52</v>
      </c>
      <c r="L133" s="20">
        <f t="shared" si="0"/>
        <v>6.63</v>
      </c>
      <c r="M133" s="21">
        <f t="shared" si="1"/>
        <v>34.15</v>
      </c>
      <c r="N133" s="19"/>
      <c r="O133" s="20"/>
      <c r="P133" s="20"/>
      <c r="Q133" s="20"/>
      <c r="R133" s="20"/>
      <c r="S133" s="21"/>
    </row>
    <row r="134" spans="1:19" x14ac:dyDescent="0.25">
      <c r="A134" s="18" t="s">
        <v>200</v>
      </c>
      <c r="B134" s="19"/>
      <c r="C134" s="20"/>
      <c r="D134" s="20"/>
      <c r="E134" s="20"/>
      <c r="F134" s="20"/>
      <c r="G134" s="21"/>
      <c r="H134" s="19">
        <v>0.25</v>
      </c>
      <c r="I134" s="20">
        <v>462.15</v>
      </c>
      <c r="J134" s="20">
        <v>20</v>
      </c>
      <c r="K134" s="20">
        <f t="shared" si="2"/>
        <v>92.43</v>
      </c>
      <c r="L134" s="20">
        <f t="shared" si="0"/>
        <v>22.27</v>
      </c>
      <c r="M134" s="21">
        <f t="shared" si="1"/>
        <v>114.7</v>
      </c>
      <c r="N134" s="19"/>
      <c r="O134" s="20"/>
      <c r="P134" s="20"/>
      <c r="Q134" s="20"/>
      <c r="R134" s="20"/>
      <c r="S134" s="21"/>
    </row>
    <row r="135" spans="1:19" x14ac:dyDescent="0.25">
      <c r="A135" s="36" t="s">
        <v>201</v>
      </c>
      <c r="B135" s="15"/>
      <c r="C135" s="16"/>
      <c r="D135" s="16"/>
      <c r="E135" s="16"/>
      <c r="F135" s="16"/>
      <c r="G135" s="17"/>
      <c r="H135" s="15">
        <v>1</v>
      </c>
      <c r="I135" s="16">
        <v>776</v>
      </c>
      <c r="J135" s="16">
        <v>20</v>
      </c>
      <c r="K135" s="16">
        <f t="shared" si="2"/>
        <v>155.19999999999999</v>
      </c>
      <c r="L135" s="16">
        <f t="shared" si="0"/>
        <v>37.39</v>
      </c>
      <c r="M135" s="17">
        <f t="shared" si="1"/>
        <v>192.58999999999997</v>
      </c>
      <c r="N135" s="15"/>
      <c r="O135" s="16"/>
      <c r="P135" s="16"/>
      <c r="Q135" s="16"/>
      <c r="R135" s="16"/>
      <c r="S135" s="17"/>
    </row>
    <row r="136" spans="1:19" ht="33" x14ac:dyDescent="0.25">
      <c r="A136" s="18" t="s">
        <v>171</v>
      </c>
      <c r="B136" s="19"/>
      <c r="C136" s="20"/>
      <c r="D136" s="20"/>
      <c r="E136" s="20"/>
      <c r="F136" s="20"/>
      <c r="G136" s="21"/>
      <c r="H136" s="19">
        <v>1</v>
      </c>
      <c r="I136" s="20">
        <v>776</v>
      </c>
      <c r="J136" s="20">
        <v>20</v>
      </c>
      <c r="K136" s="20">
        <f t="shared" si="2"/>
        <v>155.19999999999999</v>
      </c>
      <c r="L136" s="20">
        <f t="shared" si="0"/>
        <v>37.39</v>
      </c>
      <c r="M136" s="21">
        <f t="shared" si="1"/>
        <v>192.58999999999997</v>
      </c>
      <c r="N136" s="19"/>
      <c r="O136" s="20"/>
      <c r="P136" s="20"/>
      <c r="Q136" s="20"/>
      <c r="R136" s="20"/>
      <c r="S136" s="21"/>
    </row>
    <row r="137" spans="1:19" x14ac:dyDescent="0.25">
      <c r="A137" s="18" t="s">
        <v>202</v>
      </c>
      <c r="B137" s="19"/>
      <c r="C137" s="20"/>
      <c r="D137" s="20"/>
      <c r="E137" s="20"/>
      <c r="F137" s="20"/>
      <c r="G137" s="21"/>
      <c r="H137" s="19">
        <v>1</v>
      </c>
      <c r="I137" s="20">
        <v>776</v>
      </c>
      <c r="J137" s="20">
        <v>20</v>
      </c>
      <c r="K137" s="20">
        <f t="shared" si="2"/>
        <v>155.19999999999999</v>
      </c>
      <c r="L137" s="20">
        <f t="shared" si="0"/>
        <v>37.39</v>
      </c>
      <c r="M137" s="21">
        <f t="shared" si="1"/>
        <v>192.58999999999997</v>
      </c>
      <c r="N137" s="19"/>
      <c r="O137" s="20"/>
      <c r="P137" s="20"/>
      <c r="Q137" s="20"/>
      <c r="R137" s="20"/>
      <c r="S137" s="21"/>
    </row>
    <row r="138" spans="1:19" x14ac:dyDescent="0.25">
      <c r="A138" s="36" t="s">
        <v>203</v>
      </c>
      <c r="B138" s="15"/>
      <c r="C138" s="16"/>
      <c r="D138" s="16"/>
      <c r="E138" s="16"/>
      <c r="F138" s="16"/>
      <c r="G138" s="17"/>
      <c r="H138" s="15">
        <v>2.75</v>
      </c>
      <c r="I138" s="16">
        <v>4951.6899999999996</v>
      </c>
      <c r="J138" s="16">
        <v>20</v>
      </c>
      <c r="K138" s="16">
        <f t="shared" si="2"/>
        <v>990.34</v>
      </c>
      <c r="L138" s="16">
        <f t="shared" si="0"/>
        <v>238.57</v>
      </c>
      <c r="M138" s="17">
        <f t="shared" si="1"/>
        <v>1228.9100000000001</v>
      </c>
      <c r="N138" s="15"/>
      <c r="O138" s="16"/>
      <c r="P138" s="16"/>
      <c r="Q138" s="16"/>
      <c r="R138" s="16"/>
      <c r="S138" s="17"/>
    </row>
    <row r="139" spans="1:19" ht="33" x14ac:dyDescent="0.25">
      <c r="A139" s="18" t="s">
        <v>171</v>
      </c>
      <c r="B139" s="19"/>
      <c r="C139" s="20"/>
      <c r="D139" s="20"/>
      <c r="E139" s="20"/>
      <c r="F139" s="20"/>
      <c r="G139" s="21"/>
      <c r="H139" s="19">
        <v>2.75</v>
      </c>
      <c r="I139" s="20">
        <v>4951.6899999999996</v>
      </c>
      <c r="J139" s="20">
        <v>20</v>
      </c>
      <c r="K139" s="20">
        <f t="shared" si="2"/>
        <v>990.34</v>
      </c>
      <c r="L139" s="20">
        <f t="shared" si="0"/>
        <v>238.57</v>
      </c>
      <c r="M139" s="21">
        <f t="shared" si="1"/>
        <v>1228.9100000000001</v>
      </c>
      <c r="N139" s="19"/>
      <c r="O139" s="20"/>
      <c r="P139" s="20"/>
      <c r="Q139" s="20"/>
      <c r="R139" s="20"/>
      <c r="S139" s="21"/>
    </row>
    <row r="140" spans="1:19" x14ac:dyDescent="0.25">
      <c r="A140" s="18" t="s">
        <v>204</v>
      </c>
      <c r="B140" s="19"/>
      <c r="C140" s="20"/>
      <c r="D140" s="20"/>
      <c r="E140" s="20"/>
      <c r="F140" s="20"/>
      <c r="G140" s="21"/>
      <c r="H140" s="19">
        <v>1</v>
      </c>
      <c r="I140" s="20">
        <v>2126</v>
      </c>
      <c r="J140" s="20">
        <v>20</v>
      </c>
      <c r="K140" s="20">
        <f t="shared" si="2"/>
        <v>425.2</v>
      </c>
      <c r="L140" s="20">
        <f t="shared" si="0"/>
        <v>102.43</v>
      </c>
      <c r="M140" s="21">
        <f t="shared" si="1"/>
        <v>527.63</v>
      </c>
      <c r="N140" s="19"/>
      <c r="O140" s="20"/>
      <c r="P140" s="20"/>
      <c r="Q140" s="20"/>
      <c r="R140" s="20"/>
      <c r="S140" s="21"/>
    </row>
    <row r="141" spans="1:19" x14ac:dyDescent="0.25">
      <c r="A141" s="18" t="s">
        <v>205</v>
      </c>
      <c r="B141" s="19"/>
      <c r="C141" s="20"/>
      <c r="D141" s="20"/>
      <c r="E141" s="20"/>
      <c r="F141" s="20"/>
      <c r="G141" s="21"/>
      <c r="H141" s="19">
        <v>1</v>
      </c>
      <c r="I141" s="20">
        <v>1857</v>
      </c>
      <c r="J141" s="20">
        <v>20</v>
      </c>
      <c r="K141" s="20">
        <f t="shared" si="2"/>
        <v>371.4</v>
      </c>
      <c r="L141" s="20">
        <f t="shared" si="0"/>
        <v>89.47</v>
      </c>
      <c r="M141" s="21">
        <f t="shared" si="1"/>
        <v>460.87</v>
      </c>
      <c r="N141" s="19"/>
      <c r="O141" s="20"/>
      <c r="P141" s="20"/>
      <c r="Q141" s="20"/>
      <c r="R141" s="20"/>
      <c r="S141" s="21"/>
    </row>
    <row r="142" spans="1:19" x14ac:dyDescent="0.25">
      <c r="A142" s="18" t="s">
        <v>206</v>
      </c>
      <c r="B142" s="19"/>
      <c r="C142" s="20"/>
      <c r="D142" s="20"/>
      <c r="E142" s="20"/>
      <c r="F142" s="20"/>
      <c r="G142" s="21"/>
      <c r="H142" s="19">
        <v>0.25</v>
      </c>
      <c r="I142" s="20">
        <v>455.19</v>
      </c>
      <c r="J142" s="20">
        <v>20</v>
      </c>
      <c r="K142" s="20">
        <f t="shared" si="2"/>
        <v>91.04</v>
      </c>
      <c r="L142" s="20">
        <f t="shared" si="0"/>
        <v>21.93</v>
      </c>
      <c r="M142" s="21">
        <f t="shared" si="1"/>
        <v>112.97</v>
      </c>
      <c r="N142" s="19"/>
      <c r="O142" s="20"/>
      <c r="P142" s="20"/>
      <c r="Q142" s="20"/>
      <c r="R142" s="20"/>
      <c r="S142" s="21"/>
    </row>
    <row r="143" spans="1:19" x14ac:dyDescent="0.25">
      <c r="A143" s="18" t="s">
        <v>181</v>
      </c>
      <c r="B143" s="19"/>
      <c r="C143" s="20"/>
      <c r="D143" s="20"/>
      <c r="E143" s="20"/>
      <c r="F143" s="20"/>
      <c r="G143" s="21"/>
      <c r="H143" s="19">
        <v>0.5</v>
      </c>
      <c r="I143" s="20">
        <v>513.5</v>
      </c>
      <c r="J143" s="20">
        <v>20</v>
      </c>
      <c r="K143" s="20">
        <f t="shared" si="2"/>
        <v>102.7</v>
      </c>
      <c r="L143" s="20">
        <f t="shared" si="0"/>
        <v>24.74</v>
      </c>
      <c r="M143" s="21">
        <f t="shared" si="1"/>
        <v>127.44</v>
      </c>
      <c r="N143" s="19"/>
      <c r="O143" s="20"/>
      <c r="P143" s="20"/>
      <c r="Q143" s="20"/>
      <c r="R143" s="20"/>
      <c r="S143" s="21"/>
    </row>
    <row r="144" spans="1:19" x14ac:dyDescent="0.25">
      <c r="A144" s="36" t="s">
        <v>207</v>
      </c>
      <c r="B144" s="15"/>
      <c r="C144" s="16"/>
      <c r="D144" s="16"/>
      <c r="E144" s="16"/>
      <c r="F144" s="16"/>
      <c r="G144" s="17"/>
      <c r="H144" s="15">
        <v>2.73</v>
      </c>
      <c r="I144" s="16">
        <v>2024.29</v>
      </c>
      <c r="J144" s="16">
        <v>20</v>
      </c>
      <c r="K144" s="16">
        <f t="shared" ref="K144:K225" si="3">ROUND(I144*J144/100,2)</f>
        <v>404.86</v>
      </c>
      <c r="L144" s="16">
        <f t="shared" ref="L144:L248" si="4">ROUND(K144*0.2409,2)</f>
        <v>97.53</v>
      </c>
      <c r="M144" s="17">
        <f t="shared" ref="M144:M225" si="5">K144+L144</f>
        <v>502.39</v>
      </c>
      <c r="N144" s="15"/>
      <c r="O144" s="16"/>
      <c r="P144" s="16"/>
      <c r="Q144" s="16"/>
      <c r="R144" s="16"/>
      <c r="S144" s="17"/>
    </row>
    <row r="145" spans="1:19" ht="49.5" x14ac:dyDescent="0.25">
      <c r="A145" s="18" t="s">
        <v>180</v>
      </c>
      <c r="B145" s="19"/>
      <c r="C145" s="20"/>
      <c r="D145" s="20"/>
      <c r="E145" s="20"/>
      <c r="F145" s="20"/>
      <c r="G145" s="21"/>
      <c r="H145" s="19">
        <v>2.73</v>
      </c>
      <c r="I145" s="20">
        <v>2024.29</v>
      </c>
      <c r="J145" s="20">
        <v>20</v>
      </c>
      <c r="K145" s="20">
        <f t="shared" si="3"/>
        <v>404.86</v>
      </c>
      <c r="L145" s="20">
        <f t="shared" si="4"/>
        <v>97.53</v>
      </c>
      <c r="M145" s="21">
        <f t="shared" si="5"/>
        <v>502.39</v>
      </c>
      <c r="N145" s="19"/>
      <c r="O145" s="20"/>
      <c r="P145" s="20"/>
      <c r="Q145" s="20"/>
      <c r="R145" s="20"/>
      <c r="S145" s="21"/>
    </row>
    <row r="146" spans="1:19" x14ac:dyDescent="0.25">
      <c r="A146" s="18" t="s">
        <v>181</v>
      </c>
      <c r="B146" s="19"/>
      <c r="C146" s="20"/>
      <c r="D146" s="20"/>
      <c r="E146" s="20"/>
      <c r="F146" s="20"/>
      <c r="G146" s="21"/>
      <c r="H146" s="19">
        <v>1</v>
      </c>
      <c r="I146" s="20">
        <v>742.6</v>
      </c>
      <c r="J146" s="20">
        <v>20</v>
      </c>
      <c r="K146" s="20">
        <f t="shared" si="3"/>
        <v>148.52000000000001</v>
      </c>
      <c r="L146" s="20">
        <f t="shared" si="4"/>
        <v>35.78</v>
      </c>
      <c r="M146" s="21">
        <f t="shared" si="5"/>
        <v>184.3</v>
      </c>
      <c r="N146" s="19"/>
      <c r="O146" s="20"/>
      <c r="P146" s="20"/>
      <c r="Q146" s="20"/>
      <c r="R146" s="20"/>
      <c r="S146" s="21"/>
    </row>
    <row r="147" spans="1:19" x14ac:dyDescent="0.25">
      <c r="A147" s="18" t="s">
        <v>181</v>
      </c>
      <c r="B147" s="19"/>
      <c r="C147" s="20"/>
      <c r="D147" s="20"/>
      <c r="E147" s="20"/>
      <c r="F147" s="20"/>
      <c r="G147" s="21"/>
      <c r="H147" s="19">
        <v>0.9</v>
      </c>
      <c r="I147" s="20">
        <v>668.34</v>
      </c>
      <c r="J147" s="20">
        <v>20</v>
      </c>
      <c r="K147" s="20">
        <f t="shared" si="3"/>
        <v>133.66999999999999</v>
      </c>
      <c r="L147" s="20">
        <f t="shared" si="4"/>
        <v>32.200000000000003</v>
      </c>
      <c r="M147" s="21">
        <f t="shared" si="5"/>
        <v>165.87</v>
      </c>
      <c r="N147" s="19"/>
      <c r="O147" s="20"/>
      <c r="P147" s="20"/>
      <c r="Q147" s="20"/>
      <c r="R147" s="20"/>
      <c r="S147" s="21"/>
    </row>
    <row r="148" spans="1:19" x14ac:dyDescent="0.25">
      <c r="A148" s="18" t="s">
        <v>181</v>
      </c>
      <c r="B148" s="19"/>
      <c r="C148" s="20"/>
      <c r="D148" s="20"/>
      <c r="E148" s="20"/>
      <c r="F148" s="20"/>
      <c r="G148" s="21"/>
      <c r="H148" s="19">
        <v>0.83</v>
      </c>
      <c r="I148" s="20">
        <v>613.35</v>
      </c>
      <c r="J148" s="20">
        <v>20</v>
      </c>
      <c r="K148" s="20">
        <f t="shared" si="3"/>
        <v>122.67</v>
      </c>
      <c r="L148" s="20">
        <f t="shared" si="4"/>
        <v>29.55</v>
      </c>
      <c r="M148" s="21">
        <f t="shared" si="5"/>
        <v>152.22</v>
      </c>
      <c r="N148" s="19"/>
      <c r="O148" s="20"/>
      <c r="P148" s="20"/>
      <c r="Q148" s="20"/>
      <c r="R148" s="20"/>
      <c r="S148" s="21"/>
    </row>
    <row r="149" spans="1:19" x14ac:dyDescent="0.25">
      <c r="A149" s="36" t="s">
        <v>208</v>
      </c>
      <c r="B149" s="15"/>
      <c r="C149" s="16"/>
      <c r="D149" s="16"/>
      <c r="E149" s="16"/>
      <c r="F149" s="16"/>
      <c r="G149" s="17"/>
      <c r="H149" s="15">
        <v>14.709999999999999</v>
      </c>
      <c r="I149" s="16">
        <v>11181.25</v>
      </c>
      <c r="J149" s="16">
        <v>20</v>
      </c>
      <c r="K149" s="16">
        <f t="shared" si="3"/>
        <v>2236.25</v>
      </c>
      <c r="L149" s="16">
        <f t="shared" si="4"/>
        <v>538.71</v>
      </c>
      <c r="M149" s="17">
        <f t="shared" si="5"/>
        <v>2774.96</v>
      </c>
      <c r="N149" s="15"/>
      <c r="O149" s="16"/>
      <c r="P149" s="16"/>
      <c r="Q149" s="16"/>
      <c r="R149" s="16"/>
      <c r="S149" s="17"/>
    </row>
    <row r="150" spans="1:19" ht="49.5" x14ac:dyDescent="0.25">
      <c r="A150" s="18" t="s">
        <v>180</v>
      </c>
      <c r="B150" s="19"/>
      <c r="C150" s="20"/>
      <c r="D150" s="20"/>
      <c r="E150" s="20"/>
      <c r="F150" s="20"/>
      <c r="G150" s="21"/>
      <c r="H150" s="19">
        <v>8.92</v>
      </c>
      <c r="I150" s="20">
        <v>7552.55</v>
      </c>
      <c r="J150" s="20">
        <v>20</v>
      </c>
      <c r="K150" s="20">
        <f t="shared" si="3"/>
        <v>1510.51</v>
      </c>
      <c r="L150" s="20">
        <f t="shared" si="4"/>
        <v>363.88</v>
      </c>
      <c r="M150" s="21">
        <f t="shared" si="5"/>
        <v>1874.3899999999999</v>
      </c>
      <c r="N150" s="19"/>
      <c r="O150" s="20"/>
      <c r="P150" s="20"/>
      <c r="Q150" s="20"/>
      <c r="R150" s="20"/>
      <c r="S150" s="21"/>
    </row>
    <row r="151" spans="1:19" x14ac:dyDescent="0.25">
      <c r="A151" s="18" t="s">
        <v>209</v>
      </c>
      <c r="B151" s="19"/>
      <c r="C151" s="20"/>
      <c r="D151" s="20"/>
      <c r="E151" s="20"/>
      <c r="F151" s="20"/>
      <c r="G151" s="21"/>
      <c r="H151" s="19">
        <v>0.76</v>
      </c>
      <c r="I151" s="20">
        <v>660</v>
      </c>
      <c r="J151" s="20">
        <v>20</v>
      </c>
      <c r="K151" s="20">
        <f t="shared" si="3"/>
        <v>132</v>
      </c>
      <c r="L151" s="20">
        <f t="shared" si="4"/>
        <v>31.8</v>
      </c>
      <c r="M151" s="21">
        <f t="shared" si="5"/>
        <v>163.80000000000001</v>
      </c>
      <c r="N151" s="19"/>
      <c r="O151" s="20"/>
      <c r="P151" s="20"/>
      <c r="Q151" s="20"/>
      <c r="R151" s="20"/>
      <c r="S151" s="21"/>
    </row>
    <row r="152" spans="1:19" x14ac:dyDescent="0.25">
      <c r="A152" s="18" t="s">
        <v>181</v>
      </c>
      <c r="B152" s="19"/>
      <c r="C152" s="20"/>
      <c r="D152" s="20"/>
      <c r="E152" s="20"/>
      <c r="F152" s="20"/>
      <c r="G152" s="21"/>
      <c r="H152" s="19">
        <v>1</v>
      </c>
      <c r="I152" s="20">
        <v>869</v>
      </c>
      <c r="J152" s="20">
        <v>20</v>
      </c>
      <c r="K152" s="20">
        <f t="shared" si="3"/>
        <v>173.8</v>
      </c>
      <c r="L152" s="20">
        <f t="shared" si="4"/>
        <v>41.87</v>
      </c>
      <c r="M152" s="21">
        <f t="shared" si="5"/>
        <v>215.67000000000002</v>
      </c>
      <c r="N152" s="19"/>
      <c r="O152" s="20"/>
      <c r="P152" s="20"/>
      <c r="Q152" s="20"/>
      <c r="R152" s="20"/>
      <c r="S152" s="21"/>
    </row>
    <row r="153" spans="1:19" x14ac:dyDescent="0.25">
      <c r="A153" s="18" t="s">
        <v>181</v>
      </c>
      <c r="B153" s="19"/>
      <c r="C153" s="20"/>
      <c r="D153" s="20"/>
      <c r="E153" s="20"/>
      <c r="F153" s="20"/>
      <c r="G153" s="21"/>
      <c r="H153" s="19">
        <v>0.3</v>
      </c>
      <c r="I153" s="20">
        <v>264</v>
      </c>
      <c r="J153" s="20">
        <v>20</v>
      </c>
      <c r="K153" s="20">
        <f t="shared" si="3"/>
        <v>52.8</v>
      </c>
      <c r="L153" s="20">
        <f t="shared" si="4"/>
        <v>12.72</v>
      </c>
      <c r="M153" s="21">
        <f t="shared" si="5"/>
        <v>65.52</v>
      </c>
      <c r="N153" s="19"/>
      <c r="O153" s="20"/>
      <c r="P153" s="20"/>
      <c r="Q153" s="20"/>
      <c r="R153" s="20"/>
      <c r="S153" s="21"/>
    </row>
    <row r="154" spans="1:19" x14ac:dyDescent="0.25">
      <c r="A154" s="18" t="s">
        <v>181</v>
      </c>
      <c r="B154" s="19"/>
      <c r="C154" s="20"/>
      <c r="D154" s="20"/>
      <c r="E154" s="20"/>
      <c r="F154" s="20"/>
      <c r="G154" s="21"/>
      <c r="H154" s="19">
        <v>0.46</v>
      </c>
      <c r="I154" s="20">
        <v>396</v>
      </c>
      <c r="J154" s="20">
        <v>20</v>
      </c>
      <c r="K154" s="20">
        <f t="shared" si="3"/>
        <v>79.2</v>
      </c>
      <c r="L154" s="20">
        <f t="shared" si="4"/>
        <v>19.079999999999998</v>
      </c>
      <c r="M154" s="21">
        <f t="shared" si="5"/>
        <v>98.28</v>
      </c>
      <c r="N154" s="19"/>
      <c r="O154" s="20"/>
      <c r="P154" s="20"/>
      <c r="Q154" s="20"/>
      <c r="R154" s="20"/>
      <c r="S154" s="21"/>
    </row>
    <row r="155" spans="1:19" x14ac:dyDescent="0.25">
      <c r="A155" s="18" t="s">
        <v>181</v>
      </c>
      <c r="B155" s="19"/>
      <c r="C155" s="20"/>
      <c r="D155" s="20"/>
      <c r="E155" s="20"/>
      <c r="F155" s="20"/>
      <c r="G155" s="21"/>
      <c r="H155" s="19">
        <v>1</v>
      </c>
      <c r="I155" s="20">
        <v>869</v>
      </c>
      <c r="J155" s="20">
        <v>20</v>
      </c>
      <c r="K155" s="20">
        <f t="shared" si="3"/>
        <v>173.8</v>
      </c>
      <c r="L155" s="20">
        <f t="shared" si="4"/>
        <v>41.87</v>
      </c>
      <c r="M155" s="21">
        <f t="shared" si="5"/>
        <v>215.67000000000002</v>
      </c>
      <c r="N155" s="19"/>
      <c r="O155" s="20"/>
      <c r="P155" s="20"/>
      <c r="Q155" s="20"/>
      <c r="R155" s="20"/>
      <c r="S155" s="21"/>
    </row>
    <row r="156" spans="1:19" x14ac:dyDescent="0.25">
      <c r="A156" s="18" t="s">
        <v>181</v>
      </c>
      <c r="B156" s="19"/>
      <c r="C156" s="20"/>
      <c r="D156" s="20"/>
      <c r="E156" s="20"/>
      <c r="F156" s="20"/>
      <c r="G156" s="21"/>
      <c r="H156" s="19">
        <v>0.61</v>
      </c>
      <c r="I156" s="20">
        <v>528</v>
      </c>
      <c r="J156" s="20">
        <v>20</v>
      </c>
      <c r="K156" s="20">
        <f t="shared" si="3"/>
        <v>105.6</v>
      </c>
      <c r="L156" s="20">
        <f t="shared" si="4"/>
        <v>25.44</v>
      </c>
      <c r="M156" s="21">
        <f t="shared" si="5"/>
        <v>131.04</v>
      </c>
      <c r="N156" s="19"/>
      <c r="O156" s="20"/>
      <c r="P156" s="20"/>
      <c r="Q156" s="20"/>
      <c r="R156" s="20"/>
      <c r="S156" s="21"/>
    </row>
    <row r="157" spans="1:19" x14ac:dyDescent="0.25">
      <c r="A157" s="18" t="s">
        <v>181</v>
      </c>
      <c r="B157" s="19"/>
      <c r="C157" s="20"/>
      <c r="D157" s="20"/>
      <c r="E157" s="20"/>
      <c r="F157" s="20"/>
      <c r="G157" s="21"/>
      <c r="H157" s="19">
        <v>0.7</v>
      </c>
      <c r="I157" s="20">
        <v>610.5</v>
      </c>
      <c r="J157" s="20">
        <v>20</v>
      </c>
      <c r="K157" s="20">
        <f t="shared" si="3"/>
        <v>122.1</v>
      </c>
      <c r="L157" s="20">
        <f t="shared" si="4"/>
        <v>29.41</v>
      </c>
      <c r="M157" s="21">
        <f t="shared" si="5"/>
        <v>151.51</v>
      </c>
      <c r="N157" s="19"/>
      <c r="O157" s="20"/>
      <c r="P157" s="20"/>
      <c r="Q157" s="20"/>
      <c r="R157" s="20"/>
      <c r="S157" s="21"/>
    </row>
    <row r="158" spans="1:19" x14ac:dyDescent="0.25">
      <c r="A158" s="18" t="s">
        <v>181</v>
      </c>
      <c r="B158" s="19"/>
      <c r="C158" s="20"/>
      <c r="D158" s="20"/>
      <c r="E158" s="20"/>
      <c r="F158" s="20"/>
      <c r="G158" s="21"/>
      <c r="H158" s="19">
        <v>0.66</v>
      </c>
      <c r="I158" s="20">
        <v>572</v>
      </c>
      <c r="J158" s="20">
        <v>20</v>
      </c>
      <c r="K158" s="20">
        <f t="shared" si="3"/>
        <v>114.4</v>
      </c>
      <c r="L158" s="20">
        <f t="shared" si="4"/>
        <v>27.56</v>
      </c>
      <c r="M158" s="21">
        <f t="shared" si="5"/>
        <v>141.96</v>
      </c>
      <c r="N158" s="19"/>
      <c r="O158" s="20"/>
      <c r="P158" s="20"/>
      <c r="Q158" s="20"/>
      <c r="R158" s="20"/>
      <c r="S158" s="21"/>
    </row>
    <row r="159" spans="1:19" x14ac:dyDescent="0.25">
      <c r="A159" s="18" t="s">
        <v>181</v>
      </c>
      <c r="B159" s="19"/>
      <c r="C159" s="20"/>
      <c r="D159" s="20"/>
      <c r="E159" s="20"/>
      <c r="F159" s="20"/>
      <c r="G159" s="21"/>
      <c r="H159" s="19">
        <v>0.82</v>
      </c>
      <c r="I159" s="20">
        <v>611</v>
      </c>
      <c r="J159" s="20">
        <v>20</v>
      </c>
      <c r="K159" s="20">
        <f t="shared" si="3"/>
        <v>122.2</v>
      </c>
      <c r="L159" s="20">
        <f t="shared" si="4"/>
        <v>29.44</v>
      </c>
      <c r="M159" s="21">
        <f t="shared" si="5"/>
        <v>151.64000000000001</v>
      </c>
      <c r="N159" s="19"/>
      <c r="O159" s="20"/>
      <c r="P159" s="20"/>
      <c r="Q159" s="20"/>
      <c r="R159" s="20"/>
      <c r="S159" s="21"/>
    </row>
    <row r="160" spans="1:19" x14ac:dyDescent="0.25">
      <c r="A160" s="18" t="s">
        <v>181</v>
      </c>
      <c r="B160" s="19"/>
      <c r="C160" s="20"/>
      <c r="D160" s="20"/>
      <c r="E160" s="20"/>
      <c r="F160" s="20"/>
      <c r="G160" s="21"/>
      <c r="H160" s="19">
        <v>1</v>
      </c>
      <c r="I160" s="20">
        <v>742.6</v>
      </c>
      <c r="J160" s="20">
        <v>20</v>
      </c>
      <c r="K160" s="20">
        <f t="shared" si="3"/>
        <v>148.52000000000001</v>
      </c>
      <c r="L160" s="20">
        <f t="shared" si="4"/>
        <v>35.78</v>
      </c>
      <c r="M160" s="21">
        <f t="shared" si="5"/>
        <v>184.3</v>
      </c>
      <c r="N160" s="19"/>
      <c r="O160" s="20"/>
      <c r="P160" s="20"/>
      <c r="Q160" s="20"/>
      <c r="R160" s="20"/>
      <c r="S160" s="21"/>
    </row>
    <row r="161" spans="1:19" x14ac:dyDescent="0.25">
      <c r="A161" s="18" t="s">
        <v>181</v>
      </c>
      <c r="B161" s="19"/>
      <c r="C161" s="20"/>
      <c r="D161" s="20"/>
      <c r="E161" s="20"/>
      <c r="F161" s="20"/>
      <c r="G161" s="21"/>
      <c r="H161" s="19">
        <v>0.85</v>
      </c>
      <c r="I161" s="20">
        <v>629.79999999999995</v>
      </c>
      <c r="J161" s="20">
        <v>20</v>
      </c>
      <c r="K161" s="20">
        <f t="shared" si="3"/>
        <v>125.96</v>
      </c>
      <c r="L161" s="20">
        <f t="shared" si="4"/>
        <v>30.34</v>
      </c>
      <c r="M161" s="21">
        <f t="shared" si="5"/>
        <v>156.29999999999998</v>
      </c>
      <c r="N161" s="19"/>
      <c r="O161" s="20"/>
      <c r="P161" s="20"/>
      <c r="Q161" s="20"/>
      <c r="R161" s="20"/>
      <c r="S161" s="21"/>
    </row>
    <row r="162" spans="1:19" x14ac:dyDescent="0.25">
      <c r="A162" s="18" t="s">
        <v>96</v>
      </c>
      <c r="B162" s="19"/>
      <c r="C162" s="20"/>
      <c r="D162" s="20"/>
      <c r="E162" s="20"/>
      <c r="F162" s="20"/>
      <c r="G162" s="21"/>
      <c r="H162" s="19">
        <v>0.76</v>
      </c>
      <c r="I162" s="20">
        <v>800.65</v>
      </c>
      <c r="J162" s="20">
        <v>20</v>
      </c>
      <c r="K162" s="20">
        <f t="shared" si="3"/>
        <v>160.13</v>
      </c>
      <c r="L162" s="20">
        <f t="shared" si="4"/>
        <v>38.58</v>
      </c>
      <c r="M162" s="21">
        <f t="shared" si="5"/>
        <v>198.70999999999998</v>
      </c>
      <c r="N162" s="19"/>
      <c r="O162" s="20"/>
      <c r="P162" s="20"/>
      <c r="Q162" s="20"/>
      <c r="R162" s="20"/>
      <c r="S162" s="21"/>
    </row>
    <row r="163" spans="1:19" ht="49.5" x14ac:dyDescent="0.25">
      <c r="A163" s="18" t="s">
        <v>192</v>
      </c>
      <c r="B163" s="19"/>
      <c r="C163" s="20"/>
      <c r="D163" s="20"/>
      <c r="E163" s="20"/>
      <c r="F163" s="20"/>
      <c r="G163" s="21"/>
      <c r="H163" s="19">
        <v>4.1900000000000004</v>
      </c>
      <c r="I163" s="20">
        <v>2383.2000000000003</v>
      </c>
      <c r="J163" s="20">
        <v>20</v>
      </c>
      <c r="K163" s="20">
        <f t="shared" si="3"/>
        <v>476.64</v>
      </c>
      <c r="L163" s="20">
        <f t="shared" si="4"/>
        <v>114.82</v>
      </c>
      <c r="M163" s="21">
        <f t="shared" si="5"/>
        <v>591.46</v>
      </c>
      <c r="N163" s="19"/>
      <c r="O163" s="20"/>
      <c r="P163" s="20"/>
      <c r="Q163" s="20"/>
      <c r="R163" s="20"/>
      <c r="S163" s="21"/>
    </row>
    <row r="164" spans="1:19" x14ac:dyDescent="0.25">
      <c r="A164" s="18" t="s">
        <v>98</v>
      </c>
      <c r="B164" s="19"/>
      <c r="C164" s="20"/>
      <c r="D164" s="20"/>
      <c r="E164" s="20"/>
      <c r="F164" s="20"/>
      <c r="G164" s="21"/>
      <c r="H164" s="19">
        <v>1</v>
      </c>
      <c r="I164" s="20">
        <v>568.79999999999995</v>
      </c>
      <c r="J164" s="20">
        <v>20</v>
      </c>
      <c r="K164" s="20">
        <f t="shared" si="3"/>
        <v>113.76</v>
      </c>
      <c r="L164" s="20">
        <f t="shared" si="4"/>
        <v>27.4</v>
      </c>
      <c r="M164" s="21">
        <f t="shared" si="5"/>
        <v>141.16</v>
      </c>
      <c r="N164" s="19"/>
      <c r="O164" s="20"/>
      <c r="P164" s="20"/>
      <c r="Q164" s="20"/>
      <c r="R164" s="20"/>
      <c r="S164" s="21"/>
    </row>
    <row r="165" spans="1:19" x14ac:dyDescent="0.25">
      <c r="A165" s="18" t="s">
        <v>98</v>
      </c>
      <c r="B165" s="19"/>
      <c r="C165" s="20"/>
      <c r="D165" s="20"/>
      <c r="E165" s="20"/>
      <c r="F165" s="20"/>
      <c r="G165" s="21"/>
      <c r="H165" s="19">
        <v>1</v>
      </c>
      <c r="I165" s="20">
        <v>568.79999999999995</v>
      </c>
      <c r="J165" s="20">
        <v>20</v>
      </c>
      <c r="K165" s="20">
        <f t="shared" si="3"/>
        <v>113.76</v>
      </c>
      <c r="L165" s="20">
        <f t="shared" si="4"/>
        <v>27.4</v>
      </c>
      <c r="M165" s="21">
        <f t="shared" si="5"/>
        <v>141.16</v>
      </c>
      <c r="N165" s="19"/>
      <c r="O165" s="20"/>
      <c r="P165" s="20"/>
      <c r="Q165" s="20"/>
      <c r="R165" s="20"/>
      <c r="S165" s="21"/>
    </row>
    <row r="166" spans="1:19" x14ac:dyDescent="0.25">
      <c r="A166" s="18" t="s">
        <v>98</v>
      </c>
      <c r="B166" s="19"/>
      <c r="C166" s="20"/>
      <c r="D166" s="20"/>
      <c r="E166" s="20"/>
      <c r="F166" s="20"/>
      <c r="G166" s="21"/>
      <c r="H166" s="19">
        <v>0.91</v>
      </c>
      <c r="I166" s="20">
        <v>518.4</v>
      </c>
      <c r="J166" s="20">
        <v>20</v>
      </c>
      <c r="K166" s="20">
        <f t="shared" si="3"/>
        <v>103.68</v>
      </c>
      <c r="L166" s="20">
        <f t="shared" si="4"/>
        <v>24.98</v>
      </c>
      <c r="M166" s="21">
        <f t="shared" si="5"/>
        <v>128.66</v>
      </c>
      <c r="N166" s="19"/>
      <c r="O166" s="20"/>
      <c r="P166" s="20"/>
      <c r="Q166" s="20"/>
      <c r="R166" s="20"/>
      <c r="S166" s="21"/>
    </row>
    <row r="167" spans="1:19" x14ac:dyDescent="0.25">
      <c r="A167" s="18" t="s">
        <v>98</v>
      </c>
      <c r="B167" s="19"/>
      <c r="C167" s="20"/>
      <c r="D167" s="20"/>
      <c r="E167" s="20"/>
      <c r="F167" s="20"/>
      <c r="G167" s="21"/>
      <c r="H167" s="19">
        <v>1</v>
      </c>
      <c r="I167" s="20">
        <v>568.79999999999995</v>
      </c>
      <c r="J167" s="20">
        <v>20</v>
      </c>
      <c r="K167" s="20">
        <f t="shared" si="3"/>
        <v>113.76</v>
      </c>
      <c r="L167" s="20">
        <f t="shared" si="4"/>
        <v>27.4</v>
      </c>
      <c r="M167" s="21">
        <f t="shared" si="5"/>
        <v>141.16</v>
      </c>
      <c r="N167" s="19"/>
      <c r="O167" s="20"/>
      <c r="P167" s="20"/>
      <c r="Q167" s="20"/>
      <c r="R167" s="20"/>
      <c r="S167" s="21"/>
    </row>
    <row r="168" spans="1:19" x14ac:dyDescent="0.25">
      <c r="A168" s="18" t="s">
        <v>98</v>
      </c>
      <c r="B168" s="19"/>
      <c r="C168" s="20"/>
      <c r="D168" s="20"/>
      <c r="E168" s="20"/>
      <c r="F168" s="20"/>
      <c r="G168" s="21"/>
      <c r="H168" s="19">
        <v>0.28000000000000003</v>
      </c>
      <c r="I168" s="20">
        <v>158.4</v>
      </c>
      <c r="J168" s="20">
        <v>20</v>
      </c>
      <c r="K168" s="20">
        <f t="shared" si="3"/>
        <v>31.68</v>
      </c>
      <c r="L168" s="20">
        <f t="shared" si="4"/>
        <v>7.63</v>
      </c>
      <c r="M168" s="21">
        <f t="shared" si="5"/>
        <v>39.31</v>
      </c>
      <c r="N168" s="19"/>
      <c r="O168" s="20"/>
      <c r="P168" s="20"/>
      <c r="Q168" s="20"/>
      <c r="R168" s="20"/>
      <c r="S168" s="21"/>
    </row>
    <row r="169" spans="1:19" ht="33" x14ac:dyDescent="0.25">
      <c r="A169" s="18" t="s">
        <v>171</v>
      </c>
      <c r="B169" s="19"/>
      <c r="C169" s="20"/>
      <c r="D169" s="20"/>
      <c r="E169" s="20"/>
      <c r="F169" s="20"/>
      <c r="G169" s="21"/>
      <c r="H169" s="19">
        <v>1.6</v>
      </c>
      <c r="I169" s="20">
        <v>1245.5</v>
      </c>
      <c r="J169" s="20">
        <v>20</v>
      </c>
      <c r="K169" s="20">
        <f t="shared" si="3"/>
        <v>249.1</v>
      </c>
      <c r="L169" s="20">
        <f t="shared" si="4"/>
        <v>60.01</v>
      </c>
      <c r="M169" s="21">
        <f t="shared" si="5"/>
        <v>309.11</v>
      </c>
      <c r="N169" s="19"/>
      <c r="O169" s="20"/>
      <c r="P169" s="20"/>
      <c r="Q169" s="20"/>
      <c r="R169" s="20"/>
      <c r="S169" s="21"/>
    </row>
    <row r="170" spans="1:19" x14ac:dyDescent="0.25">
      <c r="A170" s="18" t="s">
        <v>210</v>
      </c>
      <c r="B170" s="19"/>
      <c r="C170" s="20"/>
      <c r="D170" s="20"/>
      <c r="E170" s="20"/>
      <c r="F170" s="20"/>
      <c r="G170" s="21"/>
      <c r="H170" s="19">
        <v>1</v>
      </c>
      <c r="I170" s="20">
        <v>647</v>
      </c>
      <c r="J170" s="20">
        <v>20</v>
      </c>
      <c r="K170" s="20">
        <f t="shared" si="3"/>
        <v>129.4</v>
      </c>
      <c r="L170" s="20">
        <f t="shared" si="4"/>
        <v>31.17</v>
      </c>
      <c r="M170" s="21">
        <f t="shared" si="5"/>
        <v>160.57</v>
      </c>
      <c r="N170" s="19"/>
      <c r="O170" s="20"/>
      <c r="P170" s="20"/>
      <c r="Q170" s="20"/>
      <c r="R170" s="20"/>
      <c r="S170" s="21"/>
    </row>
    <row r="171" spans="1:19" x14ac:dyDescent="0.25">
      <c r="A171" s="18" t="s">
        <v>210</v>
      </c>
      <c r="B171" s="19"/>
      <c r="C171" s="20"/>
      <c r="D171" s="20"/>
      <c r="E171" s="20"/>
      <c r="F171" s="20"/>
      <c r="G171" s="21"/>
      <c r="H171" s="19">
        <v>0.6</v>
      </c>
      <c r="I171" s="20">
        <v>598.5</v>
      </c>
      <c r="J171" s="20">
        <v>20</v>
      </c>
      <c r="K171" s="20">
        <f t="shared" si="3"/>
        <v>119.7</v>
      </c>
      <c r="L171" s="20">
        <f t="shared" si="4"/>
        <v>28.84</v>
      </c>
      <c r="M171" s="21">
        <f t="shared" si="5"/>
        <v>148.54</v>
      </c>
      <c r="N171" s="19"/>
      <c r="O171" s="20"/>
      <c r="P171" s="20"/>
      <c r="Q171" s="20"/>
      <c r="R171" s="20"/>
      <c r="S171" s="21"/>
    </row>
    <row r="172" spans="1:19" x14ac:dyDescent="0.25">
      <c r="A172" s="36" t="s">
        <v>211</v>
      </c>
      <c r="B172" s="15"/>
      <c r="C172" s="16"/>
      <c r="D172" s="16"/>
      <c r="E172" s="16"/>
      <c r="F172" s="16"/>
      <c r="G172" s="17"/>
      <c r="H172" s="15">
        <v>1</v>
      </c>
      <c r="I172" s="16">
        <v>1778</v>
      </c>
      <c r="J172" s="16">
        <v>20</v>
      </c>
      <c r="K172" s="16">
        <f t="shared" si="3"/>
        <v>355.6</v>
      </c>
      <c r="L172" s="16">
        <f t="shared" si="4"/>
        <v>85.66</v>
      </c>
      <c r="M172" s="17">
        <f t="shared" si="5"/>
        <v>441.26</v>
      </c>
      <c r="N172" s="15"/>
      <c r="O172" s="16"/>
      <c r="P172" s="16"/>
      <c r="Q172" s="16"/>
      <c r="R172" s="16"/>
      <c r="S172" s="17"/>
    </row>
    <row r="173" spans="1:19" ht="33" x14ac:dyDescent="0.25">
      <c r="A173" s="18" t="s">
        <v>171</v>
      </c>
      <c r="B173" s="19"/>
      <c r="C173" s="20"/>
      <c r="D173" s="20"/>
      <c r="E173" s="20"/>
      <c r="F173" s="20"/>
      <c r="G173" s="21"/>
      <c r="H173" s="19">
        <v>1</v>
      </c>
      <c r="I173" s="20">
        <v>1778</v>
      </c>
      <c r="J173" s="20">
        <v>20</v>
      </c>
      <c r="K173" s="20">
        <f t="shared" si="3"/>
        <v>355.6</v>
      </c>
      <c r="L173" s="20">
        <f t="shared" si="4"/>
        <v>85.66</v>
      </c>
      <c r="M173" s="21">
        <f t="shared" si="5"/>
        <v>441.26</v>
      </c>
      <c r="N173" s="19"/>
      <c r="O173" s="20"/>
      <c r="P173" s="20"/>
      <c r="Q173" s="20"/>
      <c r="R173" s="20"/>
      <c r="S173" s="21"/>
    </row>
    <row r="174" spans="1:19" x14ac:dyDescent="0.25">
      <c r="A174" s="18" t="s">
        <v>212</v>
      </c>
      <c r="B174" s="19"/>
      <c r="C174" s="20"/>
      <c r="D174" s="20"/>
      <c r="E174" s="20"/>
      <c r="F174" s="20"/>
      <c r="G174" s="21"/>
      <c r="H174" s="19">
        <v>1</v>
      </c>
      <c r="I174" s="20">
        <v>1778</v>
      </c>
      <c r="J174" s="20">
        <v>20</v>
      </c>
      <c r="K174" s="20">
        <f t="shared" si="3"/>
        <v>355.6</v>
      </c>
      <c r="L174" s="20">
        <f t="shared" si="4"/>
        <v>85.66</v>
      </c>
      <c r="M174" s="21">
        <f t="shared" si="5"/>
        <v>441.26</v>
      </c>
      <c r="N174" s="19"/>
      <c r="O174" s="20"/>
      <c r="P174" s="20"/>
      <c r="Q174" s="20"/>
      <c r="R174" s="20"/>
      <c r="S174" s="21"/>
    </row>
    <row r="175" spans="1:19" x14ac:dyDescent="0.25">
      <c r="A175" s="36" t="s">
        <v>213</v>
      </c>
      <c r="B175" s="15"/>
      <c r="C175" s="16"/>
      <c r="D175" s="16"/>
      <c r="E175" s="16"/>
      <c r="F175" s="16"/>
      <c r="G175" s="17"/>
      <c r="H175" s="15">
        <v>8.0500000000000007</v>
      </c>
      <c r="I175" s="16">
        <v>6860.4</v>
      </c>
      <c r="J175" s="16">
        <v>20</v>
      </c>
      <c r="K175" s="16">
        <f t="shared" si="3"/>
        <v>1372.08</v>
      </c>
      <c r="L175" s="16">
        <f t="shared" si="4"/>
        <v>330.53</v>
      </c>
      <c r="M175" s="17">
        <f t="shared" si="5"/>
        <v>1702.61</v>
      </c>
      <c r="N175" s="15"/>
      <c r="O175" s="16"/>
      <c r="P175" s="16"/>
      <c r="Q175" s="16"/>
      <c r="R175" s="16"/>
      <c r="S175" s="17"/>
    </row>
    <row r="176" spans="1:19" ht="33" x14ac:dyDescent="0.25">
      <c r="A176" s="18" t="s">
        <v>176</v>
      </c>
      <c r="B176" s="19"/>
      <c r="C176" s="20"/>
      <c r="D176" s="20"/>
      <c r="E176" s="20"/>
      <c r="F176" s="20"/>
      <c r="G176" s="21"/>
      <c r="H176" s="19">
        <v>2.11</v>
      </c>
      <c r="I176" s="20">
        <v>2471.6</v>
      </c>
      <c r="J176" s="20">
        <v>20</v>
      </c>
      <c r="K176" s="20">
        <f t="shared" si="3"/>
        <v>494.32</v>
      </c>
      <c r="L176" s="20">
        <f t="shared" si="4"/>
        <v>119.08</v>
      </c>
      <c r="M176" s="21">
        <f t="shared" si="5"/>
        <v>613.4</v>
      </c>
      <c r="N176" s="19"/>
      <c r="O176" s="20"/>
      <c r="P176" s="20"/>
      <c r="Q176" s="20"/>
      <c r="R176" s="20"/>
      <c r="S176" s="21"/>
    </row>
    <row r="177" spans="1:19" x14ac:dyDescent="0.25">
      <c r="A177" s="18" t="s">
        <v>214</v>
      </c>
      <c r="B177" s="19"/>
      <c r="C177" s="20"/>
      <c r="D177" s="20"/>
      <c r="E177" s="20"/>
      <c r="F177" s="20"/>
      <c r="G177" s="21"/>
      <c r="H177" s="19">
        <v>0.59</v>
      </c>
      <c r="I177" s="20">
        <v>695.6</v>
      </c>
      <c r="J177" s="20">
        <v>20</v>
      </c>
      <c r="K177" s="20">
        <f t="shared" si="3"/>
        <v>139.12</v>
      </c>
      <c r="L177" s="20">
        <f t="shared" si="4"/>
        <v>33.51</v>
      </c>
      <c r="M177" s="21">
        <f t="shared" si="5"/>
        <v>172.63</v>
      </c>
      <c r="N177" s="19"/>
      <c r="O177" s="20"/>
      <c r="P177" s="20"/>
      <c r="Q177" s="20"/>
      <c r="R177" s="20"/>
      <c r="S177" s="21"/>
    </row>
    <row r="178" spans="1:19" x14ac:dyDescent="0.25">
      <c r="A178" s="18" t="s">
        <v>214</v>
      </c>
      <c r="B178" s="19"/>
      <c r="C178" s="20"/>
      <c r="D178" s="20"/>
      <c r="E178" s="20"/>
      <c r="F178" s="20"/>
      <c r="G178" s="21"/>
      <c r="H178" s="19">
        <v>0.95</v>
      </c>
      <c r="I178" s="20">
        <v>1110</v>
      </c>
      <c r="J178" s="20">
        <v>20</v>
      </c>
      <c r="K178" s="20">
        <f t="shared" si="3"/>
        <v>222</v>
      </c>
      <c r="L178" s="20">
        <f t="shared" si="4"/>
        <v>53.48</v>
      </c>
      <c r="M178" s="21">
        <f t="shared" si="5"/>
        <v>275.48</v>
      </c>
      <c r="N178" s="19"/>
      <c r="O178" s="20"/>
      <c r="P178" s="20"/>
      <c r="Q178" s="20"/>
      <c r="R178" s="20"/>
      <c r="S178" s="21"/>
    </row>
    <row r="179" spans="1:19" x14ac:dyDescent="0.25">
      <c r="A179" s="18" t="s">
        <v>214</v>
      </c>
      <c r="B179" s="19"/>
      <c r="C179" s="20"/>
      <c r="D179" s="20"/>
      <c r="E179" s="20"/>
      <c r="F179" s="20"/>
      <c r="G179" s="21"/>
      <c r="H179" s="19">
        <v>0.56999999999999995</v>
      </c>
      <c r="I179" s="20">
        <v>666</v>
      </c>
      <c r="J179" s="20">
        <v>20</v>
      </c>
      <c r="K179" s="20">
        <f t="shared" si="3"/>
        <v>133.19999999999999</v>
      </c>
      <c r="L179" s="20">
        <f t="shared" si="4"/>
        <v>32.090000000000003</v>
      </c>
      <c r="M179" s="21">
        <f t="shared" si="5"/>
        <v>165.29</v>
      </c>
      <c r="N179" s="19"/>
      <c r="O179" s="20"/>
      <c r="P179" s="20"/>
      <c r="Q179" s="20"/>
      <c r="R179" s="20"/>
      <c r="S179" s="21"/>
    </row>
    <row r="180" spans="1:19" ht="49.5" x14ac:dyDescent="0.25">
      <c r="A180" s="18" t="s">
        <v>180</v>
      </c>
      <c r="B180" s="19"/>
      <c r="C180" s="20"/>
      <c r="D180" s="20"/>
      <c r="E180" s="20"/>
      <c r="F180" s="20"/>
      <c r="G180" s="21"/>
      <c r="H180" s="19">
        <v>5.53</v>
      </c>
      <c r="I180" s="20">
        <v>4158.3999999999996</v>
      </c>
      <c r="J180" s="20">
        <v>20</v>
      </c>
      <c r="K180" s="20">
        <f t="shared" si="3"/>
        <v>831.68</v>
      </c>
      <c r="L180" s="20">
        <f t="shared" si="4"/>
        <v>200.35</v>
      </c>
      <c r="M180" s="21">
        <f t="shared" si="5"/>
        <v>1032.03</v>
      </c>
      <c r="N180" s="19"/>
      <c r="O180" s="20"/>
      <c r="P180" s="20"/>
      <c r="Q180" s="20"/>
      <c r="R180" s="20"/>
      <c r="S180" s="21"/>
    </row>
    <row r="181" spans="1:19" x14ac:dyDescent="0.25">
      <c r="A181" s="18" t="s">
        <v>215</v>
      </c>
      <c r="B181" s="19"/>
      <c r="C181" s="20"/>
      <c r="D181" s="20"/>
      <c r="E181" s="20"/>
      <c r="F181" s="20"/>
      <c r="G181" s="21"/>
      <c r="H181" s="19">
        <v>0.08</v>
      </c>
      <c r="I181" s="20">
        <v>56.4</v>
      </c>
      <c r="J181" s="20">
        <v>20</v>
      </c>
      <c r="K181" s="20">
        <f t="shared" si="3"/>
        <v>11.28</v>
      </c>
      <c r="L181" s="20">
        <f t="shared" si="4"/>
        <v>2.72</v>
      </c>
      <c r="M181" s="21">
        <f t="shared" si="5"/>
        <v>14</v>
      </c>
      <c r="N181" s="19"/>
      <c r="O181" s="20"/>
      <c r="P181" s="20"/>
      <c r="Q181" s="20"/>
      <c r="R181" s="20"/>
      <c r="S181" s="21"/>
    </row>
    <row r="182" spans="1:19" x14ac:dyDescent="0.25">
      <c r="A182" s="18" t="s">
        <v>215</v>
      </c>
      <c r="B182" s="19"/>
      <c r="C182" s="20"/>
      <c r="D182" s="20"/>
      <c r="E182" s="20"/>
      <c r="F182" s="20"/>
      <c r="G182" s="21"/>
      <c r="H182" s="19">
        <v>1</v>
      </c>
      <c r="I182" s="20">
        <v>742.6</v>
      </c>
      <c r="J182" s="20">
        <v>20</v>
      </c>
      <c r="K182" s="20">
        <f t="shared" si="3"/>
        <v>148.52000000000001</v>
      </c>
      <c r="L182" s="20">
        <f t="shared" si="4"/>
        <v>35.78</v>
      </c>
      <c r="M182" s="21">
        <f t="shared" si="5"/>
        <v>184.3</v>
      </c>
      <c r="N182" s="19"/>
      <c r="O182" s="20"/>
      <c r="P182" s="20"/>
      <c r="Q182" s="20"/>
      <c r="R182" s="20"/>
      <c r="S182" s="21"/>
    </row>
    <row r="183" spans="1:19" x14ac:dyDescent="0.25">
      <c r="A183" s="18" t="s">
        <v>215</v>
      </c>
      <c r="B183" s="19"/>
      <c r="C183" s="20"/>
      <c r="D183" s="20"/>
      <c r="E183" s="20"/>
      <c r="F183" s="20"/>
      <c r="G183" s="21"/>
      <c r="H183" s="19">
        <v>1</v>
      </c>
      <c r="I183" s="20">
        <v>742.6</v>
      </c>
      <c r="J183" s="20">
        <v>20</v>
      </c>
      <c r="K183" s="20">
        <f t="shared" si="3"/>
        <v>148.52000000000001</v>
      </c>
      <c r="L183" s="20">
        <f t="shared" si="4"/>
        <v>35.78</v>
      </c>
      <c r="M183" s="21">
        <f t="shared" si="5"/>
        <v>184.3</v>
      </c>
      <c r="N183" s="19"/>
      <c r="O183" s="20"/>
      <c r="P183" s="20"/>
      <c r="Q183" s="20"/>
      <c r="R183" s="20"/>
      <c r="S183" s="21"/>
    </row>
    <row r="184" spans="1:19" x14ac:dyDescent="0.25">
      <c r="A184" s="18" t="s">
        <v>215</v>
      </c>
      <c r="B184" s="19"/>
      <c r="C184" s="20"/>
      <c r="D184" s="20"/>
      <c r="E184" s="20"/>
      <c r="F184" s="20"/>
      <c r="G184" s="21"/>
      <c r="H184" s="19">
        <v>0.56000000000000005</v>
      </c>
      <c r="I184" s="20">
        <v>369.6</v>
      </c>
      <c r="J184" s="20">
        <v>20</v>
      </c>
      <c r="K184" s="20">
        <f t="shared" si="3"/>
        <v>73.92</v>
      </c>
      <c r="L184" s="20">
        <f t="shared" si="4"/>
        <v>17.809999999999999</v>
      </c>
      <c r="M184" s="21">
        <f t="shared" si="5"/>
        <v>91.73</v>
      </c>
      <c r="N184" s="19"/>
      <c r="O184" s="20"/>
      <c r="P184" s="20"/>
      <c r="Q184" s="20"/>
      <c r="R184" s="20"/>
      <c r="S184" s="21"/>
    </row>
    <row r="185" spans="1:19" x14ac:dyDescent="0.25">
      <c r="A185" s="18" t="s">
        <v>215</v>
      </c>
      <c r="B185" s="19"/>
      <c r="C185" s="20"/>
      <c r="D185" s="20"/>
      <c r="E185" s="20"/>
      <c r="F185" s="20"/>
      <c r="G185" s="21"/>
      <c r="H185" s="19">
        <v>0.23</v>
      </c>
      <c r="I185" s="20">
        <v>169.2</v>
      </c>
      <c r="J185" s="20">
        <v>20</v>
      </c>
      <c r="K185" s="20">
        <f t="shared" si="3"/>
        <v>33.840000000000003</v>
      </c>
      <c r="L185" s="20">
        <f t="shared" si="4"/>
        <v>8.15</v>
      </c>
      <c r="M185" s="21">
        <f t="shared" si="5"/>
        <v>41.99</v>
      </c>
      <c r="N185" s="19"/>
      <c r="O185" s="20"/>
      <c r="P185" s="20"/>
      <c r="Q185" s="20"/>
      <c r="R185" s="20"/>
      <c r="S185" s="21"/>
    </row>
    <row r="186" spans="1:19" x14ac:dyDescent="0.25">
      <c r="A186" s="18" t="s">
        <v>215</v>
      </c>
      <c r="B186" s="19"/>
      <c r="C186" s="20"/>
      <c r="D186" s="20"/>
      <c r="E186" s="20"/>
      <c r="F186" s="20"/>
      <c r="G186" s="21"/>
      <c r="H186" s="19">
        <v>1</v>
      </c>
      <c r="I186" s="20">
        <v>742.6</v>
      </c>
      <c r="J186" s="20">
        <v>20</v>
      </c>
      <c r="K186" s="20">
        <f t="shared" si="3"/>
        <v>148.52000000000001</v>
      </c>
      <c r="L186" s="20">
        <f t="shared" si="4"/>
        <v>35.78</v>
      </c>
      <c r="M186" s="21">
        <f t="shared" si="5"/>
        <v>184.3</v>
      </c>
      <c r="N186" s="19"/>
      <c r="O186" s="20"/>
      <c r="P186" s="20"/>
      <c r="Q186" s="20"/>
      <c r="R186" s="20"/>
      <c r="S186" s="21"/>
    </row>
    <row r="187" spans="1:19" x14ac:dyDescent="0.25">
      <c r="A187" s="18" t="s">
        <v>215</v>
      </c>
      <c r="B187" s="19"/>
      <c r="C187" s="20"/>
      <c r="D187" s="20"/>
      <c r="E187" s="20"/>
      <c r="F187" s="20"/>
      <c r="G187" s="21"/>
      <c r="H187" s="19">
        <v>1</v>
      </c>
      <c r="I187" s="20">
        <v>742.6</v>
      </c>
      <c r="J187" s="20">
        <v>20</v>
      </c>
      <c r="K187" s="20">
        <f t="shared" si="3"/>
        <v>148.52000000000001</v>
      </c>
      <c r="L187" s="20">
        <f t="shared" si="4"/>
        <v>35.78</v>
      </c>
      <c r="M187" s="21">
        <f t="shared" si="5"/>
        <v>184.3</v>
      </c>
      <c r="N187" s="19"/>
      <c r="O187" s="20"/>
      <c r="P187" s="20"/>
      <c r="Q187" s="20"/>
      <c r="R187" s="20"/>
      <c r="S187" s="21"/>
    </row>
    <row r="188" spans="1:19" x14ac:dyDescent="0.25">
      <c r="A188" s="18" t="s">
        <v>216</v>
      </c>
      <c r="B188" s="19"/>
      <c r="C188" s="20"/>
      <c r="D188" s="20"/>
      <c r="E188" s="20"/>
      <c r="F188" s="20"/>
      <c r="G188" s="21"/>
      <c r="H188" s="19">
        <v>0.66</v>
      </c>
      <c r="I188" s="20">
        <v>592.79999999999995</v>
      </c>
      <c r="J188" s="20">
        <v>20</v>
      </c>
      <c r="K188" s="20">
        <f t="shared" si="3"/>
        <v>118.56</v>
      </c>
      <c r="L188" s="20">
        <f t="shared" si="4"/>
        <v>28.56</v>
      </c>
      <c r="M188" s="21">
        <f t="shared" si="5"/>
        <v>147.12</v>
      </c>
      <c r="N188" s="19"/>
      <c r="O188" s="20"/>
      <c r="P188" s="20"/>
      <c r="Q188" s="20"/>
      <c r="R188" s="20"/>
      <c r="S188" s="21"/>
    </row>
    <row r="189" spans="1:19" ht="49.5" x14ac:dyDescent="0.25">
      <c r="A189" s="18" t="s">
        <v>192</v>
      </c>
      <c r="B189" s="19"/>
      <c r="C189" s="20"/>
      <c r="D189" s="20"/>
      <c r="E189" s="20"/>
      <c r="F189" s="20"/>
      <c r="G189" s="21"/>
      <c r="H189" s="19">
        <v>0.41</v>
      </c>
      <c r="I189" s="20">
        <v>230.4</v>
      </c>
      <c r="J189" s="20">
        <v>20</v>
      </c>
      <c r="K189" s="20">
        <f t="shared" si="3"/>
        <v>46.08</v>
      </c>
      <c r="L189" s="20">
        <f t="shared" si="4"/>
        <v>11.1</v>
      </c>
      <c r="M189" s="21">
        <f t="shared" si="5"/>
        <v>57.18</v>
      </c>
      <c r="N189" s="19"/>
      <c r="O189" s="20"/>
      <c r="P189" s="20"/>
      <c r="Q189" s="20"/>
      <c r="R189" s="20"/>
      <c r="S189" s="21"/>
    </row>
    <row r="190" spans="1:19" x14ac:dyDescent="0.25">
      <c r="A190" s="18" t="s">
        <v>98</v>
      </c>
      <c r="B190" s="19"/>
      <c r="C190" s="20"/>
      <c r="D190" s="20"/>
      <c r="E190" s="20"/>
      <c r="F190" s="20"/>
      <c r="G190" s="21"/>
      <c r="H190" s="19">
        <v>0.41</v>
      </c>
      <c r="I190" s="20">
        <v>230.4</v>
      </c>
      <c r="J190" s="20">
        <v>20</v>
      </c>
      <c r="K190" s="20">
        <f t="shared" si="3"/>
        <v>46.08</v>
      </c>
      <c r="L190" s="20">
        <f t="shared" si="4"/>
        <v>11.1</v>
      </c>
      <c r="M190" s="21">
        <f t="shared" si="5"/>
        <v>57.18</v>
      </c>
      <c r="N190" s="19"/>
      <c r="O190" s="20"/>
      <c r="P190" s="20"/>
      <c r="Q190" s="20"/>
      <c r="R190" s="20"/>
      <c r="S190" s="21"/>
    </row>
    <row r="191" spans="1:19" x14ac:dyDescent="0.25">
      <c r="A191" s="36" t="s">
        <v>217</v>
      </c>
      <c r="B191" s="15"/>
      <c r="C191" s="16"/>
      <c r="D191" s="16"/>
      <c r="E191" s="16"/>
      <c r="F191" s="16"/>
      <c r="G191" s="17"/>
      <c r="H191" s="15">
        <v>4.92</v>
      </c>
      <c r="I191" s="16">
        <v>6829.3499999999995</v>
      </c>
      <c r="J191" s="16">
        <v>20</v>
      </c>
      <c r="K191" s="16">
        <f t="shared" si="3"/>
        <v>1365.87</v>
      </c>
      <c r="L191" s="16">
        <f t="shared" si="4"/>
        <v>329.04</v>
      </c>
      <c r="M191" s="17">
        <f t="shared" si="5"/>
        <v>1694.9099999999999</v>
      </c>
      <c r="N191" s="15"/>
      <c r="O191" s="16"/>
      <c r="P191" s="16"/>
      <c r="Q191" s="16"/>
      <c r="R191" s="16"/>
      <c r="S191" s="17"/>
    </row>
    <row r="192" spans="1:19" ht="33" x14ac:dyDescent="0.25">
      <c r="A192" s="18" t="s">
        <v>176</v>
      </c>
      <c r="B192" s="19"/>
      <c r="C192" s="20"/>
      <c r="D192" s="20"/>
      <c r="E192" s="20"/>
      <c r="F192" s="20"/>
      <c r="G192" s="21"/>
      <c r="H192" s="19">
        <v>4.92</v>
      </c>
      <c r="I192" s="20">
        <v>6829.3499999999995</v>
      </c>
      <c r="J192" s="20">
        <v>20</v>
      </c>
      <c r="K192" s="20">
        <f t="shared" si="3"/>
        <v>1365.87</v>
      </c>
      <c r="L192" s="20">
        <f t="shared" si="4"/>
        <v>329.04</v>
      </c>
      <c r="M192" s="21">
        <f t="shared" si="5"/>
        <v>1694.9099999999999</v>
      </c>
      <c r="N192" s="19"/>
      <c r="O192" s="20"/>
      <c r="P192" s="20"/>
      <c r="Q192" s="20"/>
      <c r="R192" s="20"/>
      <c r="S192" s="21"/>
    </row>
    <row r="193" spans="1:19" x14ac:dyDescent="0.25">
      <c r="A193" s="18" t="s">
        <v>218</v>
      </c>
      <c r="B193" s="19"/>
      <c r="C193" s="20"/>
      <c r="D193" s="20"/>
      <c r="E193" s="20"/>
      <c r="F193" s="20"/>
      <c r="G193" s="21"/>
      <c r="H193" s="19">
        <v>0.49</v>
      </c>
      <c r="I193" s="20">
        <v>670.8</v>
      </c>
      <c r="J193" s="20">
        <v>20</v>
      </c>
      <c r="K193" s="20">
        <f t="shared" si="3"/>
        <v>134.16</v>
      </c>
      <c r="L193" s="20">
        <f t="shared" si="4"/>
        <v>32.32</v>
      </c>
      <c r="M193" s="21">
        <f t="shared" si="5"/>
        <v>166.48</v>
      </c>
      <c r="N193" s="19"/>
      <c r="O193" s="20"/>
      <c r="P193" s="20"/>
      <c r="Q193" s="20"/>
      <c r="R193" s="20"/>
      <c r="S193" s="21"/>
    </row>
    <row r="194" spans="1:19" x14ac:dyDescent="0.25">
      <c r="A194" s="18" t="s">
        <v>218</v>
      </c>
      <c r="B194" s="19"/>
      <c r="C194" s="20"/>
      <c r="D194" s="20"/>
      <c r="E194" s="20"/>
      <c r="F194" s="20"/>
      <c r="G194" s="21"/>
      <c r="H194" s="19">
        <v>1</v>
      </c>
      <c r="I194" s="20">
        <v>1358.8</v>
      </c>
      <c r="J194" s="20">
        <v>20</v>
      </c>
      <c r="K194" s="20">
        <f t="shared" si="3"/>
        <v>271.76</v>
      </c>
      <c r="L194" s="20">
        <f t="shared" si="4"/>
        <v>65.47</v>
      </c>
      <c r="M194" s="21">
        <f t="shared" si="5"/>
        <v>337.23</v>
      </c>
      <c r="N194" s="19"/>
      <c r="O194" s="20"/>
      <c r="P194" s="20"/>
      <c r="Q194" s="20"/>
      <c r="R194" s="20"/>
      <c r="S194" s="21"/>
    </row>
    <row r="195" spans="1:19" x14ac:dyDescent="0.25">
      <c r="A195" s="18" t="s">
        <v>218</v>
      </c>
      <c r="B195" s="19"/>
      <c r="C195" s="20"/>
      <c r="D195" s="20"/>
      <c r="E195" s="20"/>
      <c r="F195" s="20"/>
      <c r="G195" s="21"/>
      <c r="H195" s="19">
        <v>0.83</v>
      </c>
      <c r="I195" s="20">
        <v>1126.5999999999999</v>
      </c>
      <c r="J195" s="20">
        <v>20</v>
      </c>
      <c r="K195" s="20">
        <f t="shared" si="3"/>
        <v>225.32</v>
      </c>
      <c r="L195" s="20">
        <f t="shared" si="4"/>
        <v>54.28</v>
      </c>
      <c r="M195" s="21">
        <f t="shared" si="5"/>
        <v>279.60000000000002</v>
      </c>
      <c r="N195" s="19"/>
      <c r="O195" s="20"/>
      <c r="P195" s="20"/>
      <c r="Q195" s="20"/>
      <c r="R195" s="20"/>
      <c r="S195" s="21"/>
    </row>
    <row r="196" spans="1:19" x14ac:dyDescent="0.25">
      <c r="A196" s="18" t="s">
        <v>218</v>
      </c>
      <c r="B196" s="19"/>
      <c r="C196" s="20"/>
      <c r="D196" s="20"/>
      <c r="E196" s="20"/>
      <c r="F196" s="20"/>
      <c r="G196" s="21"/>
      <c r="H196" s="19">
        <v>0.23</v>
      </c>
      <c r="I196" s="20">
        <v>280.8</v>
      </c>
      <c r="J196" s="20">
        <v>20</v>
      </c>
      <c r="K196" s="20">
        <f t="shared" si="3"/>
        <v>56.16</v>
      </c>
      <c r="L196" s="20">
        <f t="shared" si="4"/>
        <v>13.53</v>
      </c>
      <c r="M196" s="21">
        <f t="shared" si="5"/>
        <v>69.69</v>
      </c>
      <c r="N196" s="19"/>
      <c r="O196" s="20"/>
      <c r="P196" s="20"/>
      <c r="Q196" s="20"/>
      <c r="R196" s="20"/>
      <c r="S196" s="21"/>
    </row>
    <row r="197" spans="1:19" x14ac:dyDescent="0.25">
      <c r="A197" s="18" t="s">
        <v>218</v>
      </c>
      <c r="B197" s="19"/>
      <c r="C197" s="20"/>
      <c r="D197" s="20"/>
      <c r="E197" s="20"/>
      <c r="F197" s="20"/>
      <c r="G197" s="21"/>
      <c r="H197" s="19">
        <v>0.53</v>
      </c>
      <c r="I197" s="20">
        <v>655.20000000000005</v>
      </c>
      <c r="J197" s="20">
        <v>20</v>
      </c>
      <c r="K197" s="20">
        <f t="shared" si="3"/>
        <v>131.04</v>
      </c>
      <c r="L197" s="20">
        <f t="shared" si="4"/>
        <v>31.57</v>
      </c>
      <c r="M197" s="21">
        <f t="shared" si="5"/>
        <v>162.60999999999999</v>
      </c>
      <c r="N197" s="19"/>
      <c r="O197" s="20"/>
      <c r="P197" s="20"/>
      <c r="Q197" s="20"/>
      <c r="R197" s="20"/>
      <c r="S197" s="21"/>
    </row>
    <row r="198" spans="1:19" x14ac:dyDescent="0.25">
      <c r="A198" s="18" t="s">
        <v>218</v>
      </c>
      <c r="B198" s="19"/>
      <c r="C198" s="20"/>
      <c r="D198" s="20"/>
      <c r="E198" s="20"/>
      <c r="F198" s="20"/>
      <c r="G198" s="21"/>
      <c r="H198" s="19">
        <v>0.84</v>
      </c>
      <c r="I198" s="20">
        <v>1029.5999999999999</v>
      </c>
      <c r="J198" s="20">
        <v>20</v>
      </c>
      <c r="K198" s="20">
        <f t="shared" si="3"/>
        <v>205.92</v>
      </c>
      <c r="L198" s="20">
        <f t="shared" si="4"/>
        <v>49.61</v>
      </c>
      <c r="M198" s="21">
        <f t="shared" si="5"/>
        <v>255.52999999999997</v>
      </c>
      <c r="N198" s="19"/>
      <c r="O198" s="20"/>
      <c r="P198" s="20"/>
      <c r="Q198" s="20"/>
      <c r="R198" s="20"/>
      <c r="S198" s="21"/>
    </row>
    <row r="199" spans="1:19" x14ac:dyDescent="0.25">
      <c r="A199" s="18" t="s">
        <v>218</v>
      </c>
      <c r="B199" s="19"/>
      <c r="C199" s="20"/>
      <c r="D199" s="20"/>
      <c r="E199" s="20"/>
      <c r="F199" s="20"/>
      <c r="G199" s="21"/>
      <c r="H199" s="19">
        <v>1</v>
      </c>
      <c r="I199" s="20">
        <v>1707.55</v>
      </c>
      <c r="J199" s="20">
        <v>20</v>
      </c>
      <c r="K199" s="20">
        <f t="shared" si="3"/>
        <v>341.51</v>
      </c>
      <c r="L199" s="20">
        <f t="shared" si="4"/>
        <v>82.27</v>
      </c>
      <c r="M199" s="21">
        <f t="shared" si="5"/>
        <v>423.78</v>
      </c>
      <c r="N199" s="19"/>
      <c r="O199" s="20"/>
      <c r="P199" s="20"/>
      <c r="Q199" s="20"/>
      <c r="R199" s="20"/>
      <c r="S199" s="21"/>
    </row>
    <row r="200" spans="1:19" x14ac:dyDescent="0.25">
      <c r="A200" s="36" t="s">
        <v>219</v>
      </c>
      <c r="B200" s="15"/>
      <c r="C200" s="16"/>
      <c r="D200" s="16"/>
      <c r="E200" s="16"/>
      <c r="F200" s="16"/>
      <c r="G200" s="17"/>
      <c r="H200" s="15">
        <v>4.5299999999999994</v>
      </c>
      <c r="I200" s="16">
        <v>2975.0200000000004</v>
      </c>
      <c r="J200" s="16">
        <v>20</v>
      </c>
      <c r="K200" s="16">
        <f t="shared" si="3"/>
        <v>595</v>
      </c>
      <c r="L200" s="16">
        <f t="shared" si="4"/>
        <v>143.34</v>
      </c>
      <c r="M200" s="17">
        <f t="shared" si="5"/>
        <v>738.34</v>
      </c>
      <c r="N200" s="15"/>
      <c r="O200" s="16"/>
      <c r="P200" s="16"/>
      <c r="Q200" s="16"/>
      <c r="R200" s="16"/>
      <c r="S200" s="17"/>
    </row>
    <row r="201" spans="1:19" ht="33" x14ac:dyDescent="0.25">
      <c r="A201" s="18" t="s">
        <v>171</v>
      </c>
      <c r="B201" s="19"/>
      <c r="C201" s="20"/>
      <c r="D201" s="20"/>
      <c r="E201" s="20"/>
      <c r="F201" s="20"/>
      <c r="G201" s="21"/>
      <c r="H201" s="19">
        <v>4.5299999999999994</v>
      </c>
      <c r="I201" s="20">
        <v>2975.0200000000004</v>
      </c>
      <c r="J201" s="20">
        <v>20</v>
      </c>
      <c r="K201" s="20">
        <f t="shared" si="3"/>
        <v>595</v>
      </c>
      <c r="L201" s="20">
        <f t="shared" si="4"/>
        <v>143.34</v>
      </c>
      <c r="M201" s="21">
        <f t="shared" si="5"/>
        <v>738.34</v>
      </c>
      <c r="N201" s="19"/>
      <c r="O201" s="20"/>
      <c r="P201" s="20"/>
      <c r="Q201" s="20"/>
      <c r="R201" s="20"/>
      <c r="S201" s="21"/>
    </row>
    <row r="202" spans="1:19" x14ac:dyDescent="0.25">
      <c r="A202" s="18" t="s">
        <v>210</v>
      </c>
      <c r="B202" s="19"/>
      <c r="C202" s="20"/>
      <c r="D202" s="20"/>
      <c r="E202" s="20"/>
      <c r="F202" s="20"/>
      <c r="G202" s="21"/>
      <c r="H202" s="19">
        <v>0.46</v>
      </c>
      <c r="I202" s="20">
        <v>294.83999999999997</v>
      </c>
      <c r="J202" s="20">
        <v>20</v>
      </c>
      <c r="K202" s="20">
        <f t="shared" si="3"/>
        <v>58.97</v>
      </c>
      <c r="L202" s="20">
        <f t="shared" si="4"/>
        <v>14.21</v>
      </c>
      <c r="M202" s="21">
        <f t="shared" si="5"/>
        <v>73.180000000000007</v>
      </c>
      <c r="N202" s="19"/>
      <c r="O202" s="20"/>
      <c r="P202" s="20"/>
      <c r="Q202" s="20"/>
      <c r="R202" s="20"/>
      <c r="S202" s="21"/>
    </row>
    <row r="203" spans="1:19" x14ac:dyDescent="0.25">
      <c r="A203" s="18" t="s">
        <v>210</v>
      </c>
      <c r="B203" s="19"/>
      <c r="C203" s="20"/>
      <c r="D203" s="20"/>
      <c r="E203" s="20"/>
      <c r="F203" s="20"/>
      <c r="G203" s="21"/>
      <c r="H203" s="19">
        <v>1</v>
      </c>
      <c r="I203" s="20">
        <v>647</v>
      </c>
      <c r="J203" s="20">
        <v>20</v>
      </c>
      <c r="K203" s="20">
        <f t="shared" si="3"/>
        <v>129.4</v>
      </c>
      <c r="L203" s="20">
        <f t="shared" si="4"/>
        <v>31.17</v>
      </c>
      <c r="M203" s="21">
        <f t="shared" si="5"/>
        <v>160.57</v>
      </c>
      <c r="N203" s="19"/>
      <c r="O203" s="20"/>
      <c r="P203" s="20"/>
      <c r="Q203" s="20"/>
      <c r="R203" s="20"/>
      <c r="S203" s="21"/>
    </row>
    <row r="204" spans="1:19" x14ac:dyDescent="0.25">
      <c r="A204" s="18" t="s">
        <v>210</v>
      </c>
      <c r="B204" s="19"/>
      <c r="C204" s="20"/>
      <c r="D204" s="20"/>
      <c r="E204" s="20"/>
      <c r="F204" s="20"/>
      <c r="G204" s="21"/>
      <c r="H204" s="19">
        <v>1</v>
      </c>
      <c r="I204" s="20">
        <v>647</v>
      </c>
      <c r="J204" s="20">
        <v>20</v>
      </c>
      <c r="K204" s="20">
        <f t="shared" si="3"/>
        <v>129.4</v>
      </c>
      <c r="L204" s="20">
        <f t="shared" si="4"/>
        <v>31.17</v>
      </c>
      <c r="M204" s="21">
        <f t="shared" si="5"/>
        <v>160.57</v>
      </c>
      <c r="N204" s="19"/>
      <c r="O204" s="20"/>
      <c r="P204" s="20"/>
      <c r="Q204" s="20"/>
      <c r="R204" s="20"/>
      <c r="S204" s="21"/>
    </row>
    <row r="205" spans="1:19" x14ac:dyDescent="0.25">
      <c r="A205" s="18" t="s">
        <v>210</v>
      </c>
      <c r="B205" s="19"/>
      <c r="C205" s="20"/>
      <c r="D205" s="20"/>
      <c r="E205" s="20"/>
      <c r="F205" s="20"/>
      <c r="G205" s="21"/>
      <c r="H205" s="19">
        <v>0.51</v>
      </c>
      <c r="I205" s="20">
        <v>327.58999999999997</v>
      </c>
      <c r="J205" s="20">
        <v>20</v>
      </c>
      <c r="K205" s="20">
        <f t="shared" si="3"/>
        <v>65.52</v>
      </c>
      <c r="L205" s="20">
        <f t="shared" si="4"/>
        <v>15.78</v>
      </c>
      <c r="M205" s="21">
        <f t="shared" si="5"/>
        <v>81.3</v>
      </c>
      <c r="N205" s="19"/>
      <c r="O205" s="20"/>
      <c r="P205" s="20"/>
      <c r="Q205" s="20"/>
      <c r="R205" s="20"/>
      <c r="S205" s="21"/>
    </row>
    <row r="206" spans="1:19" x14ac:dyDescent="0.25">
      <c r="A206" s="18" t="s">
        <v>210</v>
      </c>
      <c r="B206" s="19"/>
      <c r="C206" s="20"/>
      <c r="D206" s="20"/>
      <c r="E206" s="20"/>
      <c r="F206" s="20"/>
      <c r="G206" s="21"/>
      <c r="H206" s="19">
        <v>1</v>
      </c>
      <c r="I206" s="20">
        <v>647</v>
      </c>
      <c r="J206" s="20">
        <v>20</v>
      </c>
      <c r="K206" s="20">
        <f t="shared" si="3"/>
        <v>129.4</v>
      </c>
      <c r="L206" s="20">
        <f t="shared" si="4"/>
        <v>31.17</v>
      </c>
      <c r="M206" s="21">
        <f t="shared" si="5"/>
        <v>160.57</v>
      </c>
      <c r="N206" s="19"/>
      <c r="O206" s="20"/>
      <c r="P206" s="20"/>
      <c r="Q206" s="20"/>
      <c r="R206" s="20"/>
      <c r="S206" s="21"/>
    </row>
    <row r="207" spans="1:19" x14ac:dyDescent="0.25">
      <c r="A207" s="18" t="s">
        <v>220</v>
      </c>
      <c r="B207" s="19"/>
      <c r="C207" s="20"/>
      <c r="D207" s="20"/>
      <c r="E207" s="20"/>
      <c r="F207" s="20"/>
      <c r="G207" s="21"/>
      <c r="H207" s="19">
        <v>0.56000000000000005</v>
      </c>
      <c r="I207" s="20">
        <v>411.59</v>
      </c>
      <c r="J207" s="20">
        <v>20</v>
      </c>
      <c r="K207" s="20">
        <f t="shared" si="3"/>
        <v>82.32</v>
      </c>
      <c r="L207" s="20">
        <f t="shared" si="4"/>
        <v>19.829999999999998</v>
      </c>
      <c r="M207" s="21">
        <f t="shared" si="5"/>
        <v>102.14999999999999</v>
      </c>
      <c r="N207" s="19"/>
      <c r="O207" s="20"/>
      <c r="P207" s="20"/>
      <c r="Q207" s="20"/>
      <c r="R207" s="20"/>
      <c r="S207" s="21"/>
    </row>
    <row r="208" spans="1:19" x14ac:dyDescent="0.25">
      <c r="A208" s="36" t="s">
        <v>221</v>
      </c>
      <c r="B208" s="15"/>
      <c r="C208" s="16"/>
      <c r="D208" s="16"/>
      <c r="E208" s="16"/>
      <c r="F208" s="16"/>
      <c r="G208" s="17"/>
      <c r="H208" s="15">
        <v>3.15</v>
      </c>
      <c r="I208" s="16">
        <v>1610.16</v>
      </c>
      <c r="J208" s="16">
        <v>20</v>
      </c>
      <c r="K208" s="16">
        <f t="shared" si="3"/>
        <v>322.02999999999997</v>
      </c>
      <c r="L208" s="16">
        <f t="shared" si="4"/>
        <v>77.58</v>
      </c>
      <c r="M208" s="17">
        <f t="shared" si="5"/>
        <v>399.60999999999996</v>
      </c>
      <c r="N208" s="15"/>
      <c r="O208" s="16"/>
      <c r="P208" s="16"/>
      <c r="Q208" s="16"/>
      <c r="R208" s="16"/>
      <c r="S208" s="17"/>
    </row>
    <row r="209" spans="1:19" ht="33" x14ac:dyDescent="0.25">
      <c r="A209" s="18" t="s">
        <v>171</v>
      </c>
      <c r="B209" s="19"/>
      <c r="C209" s="20"/>
      <c r="D209" s="20"/>
      <c r="E209" s="20"/>
      <c r="F209" s="20"/>
      <c r="G209" s="21"/>
      <c r="H209" s="19">
        <v>3.15</v>
      </c>
      <c r="I209" s="20">
        <v>1610.16</v>
      </c>
      <c r="J209" s="20">
        <v>20</v>
      </c>
      <c r="K209" s="20">
        <f t="shared" si="3"/>
        <v>322.02999999999997</v>
      </c>
      <c r="L209" s="20">
        <f t="shared" si="4"/>
        <v>77.58</v>
      </c>
      <c r="M209" s="21">
        <f t="shared" si="5"/>
        <v>399.60999999999996</v>
      </c>
      <c r="N209" s="19"/>
      <c r="O209" s="20"/>
      <c r="P209" s="20"/>
      <c r="Q209" s="20"/>
      <c r="R209" s="20"/>
      <c r="S209" s="21"/>
    </row>
    <row r="210" spans="1:19" x14ac:dyDescent="0.25">
      <c r="A210" s="18" t="s">
        <v>222</v>
      </c>
      <c r="B210" s="19"/>
      <c r="C210" s="20"/>
      <c r="D210" s="20"/>
      <c r="E210" s="20"/>
      <c r="F210" s="20"/>
      <c r="G210" s="21"/>
      <c r="H210" s="19">
        <v>0.7</v>
      </c>
      <c r="I210" s="20">
        <v>299.37</v>
      </c>
      <c r="J210" s="20">
        <v>20</v>
      </c>
      <c r="K210" s="20">
        <f t="shared" si="3"/>
        <v>59.87</v>
      </c>
      <c r="L210" s="20">
        <f t="shared" si="4"/>
        <v>14.42</v>
      </c>
      <c r="M210" s="21">
        <f t="shared" si="5"/>
        <v>74.289999999999992</v>
      </c>
      <c r="N210" s="19"/>
      <c r="O210" s="20"/>
      <c r="P210" s="20"/>
      <c r="Q210" s="20"/>
      <c r="R210" s="20"/>
      <c r="S210" s="21"/>
    </row>
    <row r="211" spans="1:19" x14ac:dyDescent="0.25">
      <c r="A211" s="18" t="s">
        <v>222</v>
      </c>
      <c r="B211" s="19"/>
      <c r="C211" s="20"/>
      <c r="D211" s="20"/>
      <c r="E211" s="20"/>
      <c r="F211" s="20"/>
      <c r="G211" s="21"/>
      <c r="H211" s="19">
        <v>0.7</v>
      </c>
      <c r="I211" s="20">
        <v>299.37</v>
      </c>
      <c r="J211" s="20">
        <v>20</v>
      </c>
      <c r="K211" s="20">
        <f t="shared" si="3"/>
        <v>59.87</v>
      </c>
      <c r="L211" s="20">
        <f t="shared" si="4"/>
        <v>14.42</v>
      </c>
      <c r="M211" s="21">
        <f t="shared" si="5"/>
        <v>74.289999999999992</v>
      </c>
      <c r="N211" s="19"/>
      <c r="O211" s="20"/>
      <c r="P211" s="20"/>
      <c r="Q211" s="20"/>
      <c r="R211" s="20"/>
      <c r="S211" s="21"/>
    </row>
    <row r="212" spans="1:19" x14ac:dyDescent="0.25">
      <c r="A212" s="18" t="s">
        <v>223</v>
      </c>
      <c r="B212" s="19"/>
      <c r="C212" s="20"/>
      <c r="D212" s="20"/>
      <c r="E212" s="20"/>
      <c r="F212" s="20"/>
      <c r="G212" s="21"/>
      <c r="H212" s="19">
        <v>0.75</v>
      </c>
      <c r="I212" s="20">
        <v>432.42</v>
      </c>
      <c r="J212" s="20">
        <v>20</v>
      </c>
      <c r="K212" s="20">
        <f t="shared" si="3"/>
        <v>86.48</v>
      </c>
      <c r="L212" s="20">
        <f t="shared" si="4"/>
        <v>20.83</v>
      </c>
      <c r="M212" s="21">
        <f t="shared" si="5"/>
        <v>107.31</v>
      </c>
      <c r="N212" s="19"/>
      <c r="O212" s="20"/>
      <c r="P212" s="20"/>
      <c r="Q212" s="20"/>
      <c r="R212" s="20"/>
      <c r="S212" s="21"/>
    </row>
    <row r="213" spans="1:19" x14ac:dyDescent="0.25">
      <c r="A213" s="18" t="s">
        <v>224</v>
      </c>
      <c r="B213" s="19"/>
      <c r="C213" s="20"/>
      <c r="D213" s="20"/>
      <c r="E213" s="20"/>
      <c r="F213" s="20"/>
      <c r="G213" s="21"/>
      <c r="H213" s="19">
        <v>1</v>
      </c>
      <c r="I213" s="20">
        <v>579</v>
      </c>
      <c r="J213" s="20">
        <v>20</v>
      </c>
      <c r="K213" s="20">
        <f t="shared" si="3"/>
        <v>115.8</v>
      </c>
      <c r="L213" s="20">
        <f t="shared" si="4"/>
        <v>27.9</v>
      </c>
      <c r="M213" s="21">
        <f t="shared" si="5"/>
        <v>143.69999999999999</v>
      </c>
      <c r="N213" s="19"/>
      <c r="O213" s="20"/>
      <c r="P213" s="20"/>
      <c r="Q213" s="20"/>
      <c r="R213" s="20"/>
      <c r="S213" s="21"/>
    </row>
    <row r="214" spans="1:19" x14ac:dyDescent="0.25">
      <c r="A214" s="36" t="s">
        <v>225</v>
      </c>
      <c r="B214" s="15"/>
      <c r="C214" s="16"/>
      <c r="D214" s="16"/>
      <c r="E214" s="16"/>
      <c r="F214" s="16"/>
      <c r="G214" s="17"/>
      <c r="H214" s="15">
        <v>0.8</v>
      </c>
      <c r="I214" s="16">
        <v>702.9</v>
      </c>
      <c r="J214" s="16">
        <v>20</v>
      </c>
      <c r="K214" s="16">
        <f t="shared" si="3"/>
        <v>140.58000000000001</v>
      </c>
      <c r="L214" s="16">
        <f t="shared" si="4"/>
        <v>33.869999999999997</v>
      </c>
      <c r="M214" s="17">
        <f t="shared" si="5"/>
        <v>174.45000000000002</v>
      </c>
      <c r="N214" s="15"/>
      <c r="O214" s="16"/>
      <c r="P214" s="16"/>
      <c r="Q214" s="16"/>
      <c r="R214" s="16"/>
      <c r="S214" s="17"/>
    </row>
    <row r="215" spans="1:19" ht="33" x14ac:dyDescent="0.25">
      <c r="A215" s="18" t="s">
        <v>176</v>
      </c>
      <c r="B215" s="19"/>
      <c r="C215" s="20"/>
      <c r="D215" s="20"/>
      <c r="E215" s="20"/>
      <c r="F215" s="20"/>
      <c r="G215" s="21"/>
      <c r="H215" s="19">
        <v>0.26</v>
      </c>
      <c r="I215" s="20">
        <v>303.39999999999998</v>
      </c>
      <c r="J215" s="20">
        <v>20</v>
      </c>
      <c r="K215" s="20">
        <f t="shared" si="3"/>
        <v>60.68</v>
      </c>
      <c r="L215" s="20">
        <f t="shared" si="4"/>
        <v>14.62</v>
      </c>
      <c r="M215" s="21">
        <f t="shared" si="5"/>
        <v>75.3</v>
      </c>
      <c r="N215" s="19"/>
      <c r="O215" s="20"/>
      <c r="P215" s="20"/>
      <c r="Q215" s="20"/>
      <c r="R215" s="20"/>
      <c r="S215" s="21"/>
    </row>
    <row r="216" spans="1:19" x14ac:dyDescent="0.25">
      <c r="A216" s="18" t="s">
        <v>226</v>
      </c>
      <c r="B216" s="19"/>
      <c r="C216" s="20"/>
      <c r="D216" s="20"/>
      <c r="E216" s="20"/>
      <c r="F216" s="20"/>
      <c r="G216" s="21"/>
      <c r="H216" s="19">
        <v>0.23</v>
      </c>
      <c r="I216" s="20">
        <v>266.39999999999998</v>
      </c>
      <c r="J216" s="20">
        <v>20</v>
      </c>
      <c r="K216" s="20">
        <f t="shared" si="3"/>
        <v>53.28</v>
      </c>
      <c r="L216" s="20">
        <f t="shared" si="4"/>
        <v>12.84</v>
      </c>
      <c r="M216" s="21">
        <f t="shared" si="5"/>
        <v>66.12</v>
      </c>
      <c r="N216" s="19"/>
      <c r="O216" s="20"/>
      <c r="P216" s="20"/>
      <c r="Q216" s="20"/>
      <c r="R216" s="20"/>
      <c r="S216" s="21"/>
    </row>
    <row r="217" spans="1:19" x14ac:dyDescent="0.25">
      <c r="A217" s="18" t="s">
        <v>226</v>
      </c>
      <c r="B217" s="19"/>
      <c r="C217" s="20"/>
      <c r="D217" s="20"/>
      <c r="E217" s="20"/>
      <c r="F217" s="20"/>
      <c r="G217" s="21"/>
      <c r="H217" s="19">
        <v>0.03</v>
      </c>
      <c r="I217" s="20">
        <v>37</v>
      </c>
      <c r="J217" s="20">
        <v>20</v>
      </c>
      <c r="K217" s="20">
        <f t="shared" si="3"/>
        <v>7.4</v>
      </c>
      <c r="L217" s="20">
        <f t="shared" si="4"/>
        <v>1.78</v>
      </c>
      <c r="M217" s="21">
        <f t="shared" si="5"/>
        <v>9.18</v>
      </c>
      <c r="N217" s="19"/>
      <c r="O217" s="20"/>
      <c r="P217" s="20"/>
      <c r="Q217" s="20"/>
      <c r="R217" s="20"/>
      <c r="S217" s="21"/>
    </row>
    <row r="218" spans="1:19" ht="49.5" x14ac:dyDescent="0.25">
      <c r="A218" s="18" t="s">
        <v>180</v>
      </c>
      <c r="B218" s="19"/>
      <c r="C218" s="20"/>
      <c r="D218" s="20"/>
      <c r="E218" s="20"/>
      <c r="F218" s="20"/>
      <c r="G218" s="21"/>
      <c r="H218" s="19">
        <v>0.54</v>
      </c>
      <c r="I218" s="20">
        <v>399.5</v>
      </c>
      <c r="J218" s="20">
        <v>20</v>
      </c>
      <c r="K218" s="20">
        <f t="shared" si="3"/>
        <v>79.900000000000006</v>
      </c>
      <c r="L218" s="20">
        <f t="shared" si="4"/>
        <v>19.25</v>
      </c>
      <c r="M218" s="21">
        <f t="shared" si="5"/>
        <v>99.15</v>
      </c>
      <c r="N218" s="19"/>
      <c r="O218" s="20"/>
      <c r="P218" s="20"/>
      <c r="Q218" s="20"/>
      <c r="R218" s="20"/>
      <c r="S218" s="21"/>
    </row>
    <row r="219" spans="1:19" x14ac:dyDescent="0.25">
      <c r="A219" s="18" t="s">
        <v>181</v>
      </c>
      <c r="B219" s="19"/>
      <c r="C219" s="20"/>
      <c r="D219" s="20"/>
      <c r="E219" s="20"/>
      <c r="F219" s="20"/>
      <c r="G219" s="21"/>
      <c r="H219" s="19">
        <v>0.04</v>
      </c>
      <c r="I219" s="20">
        <v>28.2</v>
      </c>
      <c r="J219" s="20">
        <v>20</v>
      </c>
      <c r="K219" s="20">
        <f t="shared" si="3"/>
        <v>5.64</v>
      </c>
      <c r="L219" s="20">
        <f t="shared" si="4"/>
        <v>1.36</v>
      </c>
      <c r="M219" s="21">
        <f t="shared" si="5"/>
        <v>7</v>
      </c>
      <c r="N219" s="19"/>
      <c r="O219" s="20"/>
      <c r="P219" s="20"/>
      <c r="Q219" s="20"/>
      <c r="R219" s="20"/>
      <c r="S219" s="21"/>
    </row>
    <row r="220" spans="1:19" x14ac:dyDescent="0.25">
      <c r="A220" s="18" t="s">
        <v>181</v>
      </c>
      <c r="B220" s="19"/>
      <c r="C220" s="20"/>
      <c r="D220" s="20"/>
      <c r="E220" s="20"/>
      <c r="F220" s="20"/>
      <c r="G220" s="21"/>
      <c r="H220" s="19">
        <v>0.5</v>
      </c>
      <c r="I220" s="20">
        <v>371.3</v>
      </c>
      <c r="J220" s="20">
        <v>20</v>
      </c>
      <c r="K220" s="20">
        <f t="shared" si="3"/>
        <v>74.260000000000005</v>
      </c>
      <c r="L220" s="20">
        <f t="shared" si="4"/>
        <v>17.89</v>
      </c>
      <c r="M220" s="21">
        <f t="shared" si="5"/>
        <v>92.15</v>
      </c>
      <c r="N220" s="19"/>
      <c r="O220" s="20"/>
      <c r="P220" s="20"/>
      <c r="Q220" s="20"/>
      <c r="R220" s="20"/>
      <c r="S220" s="21"/>
    </row>
    <row r="221" spans="1:19" x14ac:dyDescent="0.25">
      <c r="A221" s="36" t="s">
        <v>227</v>
      </c>
      <c r="B221" s="15"/>
      <c r="C221" s="16"/>
      <c r="D221" s="16"/>
      <c r="E221" s="16"/>
      <c r="F221" s="16"/>
      <c r="G221" s="17"/>
      <c r="H221" s="15">
        <v>2.16</v>
      </c>
      <c r="I221" s="16">
        <v>2034</v>
      </c>
      <c r="J221" s="16">
        <v>20</v>
      </c>
      <c r="K221" s="16">
        <f t="shared" si="3"/>
        <v>406.8</v>
      </c>
      <c r="L221" s="16">
        <f t="shared" si="4"/>
        <v>98</v>
      </c>
      <c r="M221" s="17">
        <f t="shared" si="5"/>
        <v>504.8</v>
      </c>
      <c r="N221" s="15"/>
      <c r="O221" s="16"/>
      <c r="P221" s="16"/>
      <c r="Q221" s="16"/>
      <c r="R221" s="16"/>
      <c r="S221" s="17"/>
    </row>
    <row r="222" spans="1:19" ht="33" x14ac:dyDescent="0.25">
      <c r="A222" s="18" t="s">
        <v>176</v>
      </c>
      <c r="B222" s="19"/>
      <c r="C222" s="20"/>
      <c r="D222" s="20"/>
      <c r="E222" s="20"/>
      <c r="F222" s="20"/>
      <c r="G222" s="21"/>
      <c r="H222" s="19">
        <v>1</v>
      </c>
      <c r="I222" s="20">
        <v>1169.2</v>
      </c>
      <c r="J222" s="20">
        <v>20</v>
      </c>
      <c r="K222" s="20">
        <f t="shared" si="3"/>
        <v>233.84</v>
      </c>
      <c r="L222" s="20">
        <f t="shared" si="4"/>
        <v>56.33</v>
      </c>
      <c r="M222" s="21">
        <f t="shared" si="5"/>
        <v>290.17</v>
      </c>
      <c r="N222" s="19"/>
      <c r="O222" s="20"/>
      <c r="P222" s="20"/>
      <c r="Q222" s="20"/>
      <c r="R222" s="20"/>
      <c r="S222" s="21"/>
    </row>
    <row r="223" spans="1:19" x14ac:dyDescent="0.25">
      <c r="A223" s="18" t="s">
        <v>228</v>
      </c>
      <c r="B223" s="19"/>
      <c r="C223" s="20"/>
      <c r="D223" s="20"/>
      <c r="E223" s="20"/>
      <c r="F223" s="20"/>
      <c r="G223" s="21"/>
      <c r="H223" s="19">
        <v>1</v>
      </c>
      <c r="I223" s="20">
        <v>1169.2</v>
      </c>
      <c r="J223" s="20">
        <v>20</v>
      </c>
      <c r="K223" s="20">
        <f t="shared" si="3"/>
        <v>233.84</v>
      </c>
      <c r="L223" s="20">
        <f t="shared" si="4"/>
        <v>56.33</v>
      </c>
      <c r="M223" s="21">
        <f t="shared" si="5"/>
        <v>290.17</v>
      </c>
      <c r="N223" s="19"/>
      <c r="O223" s="20"/>
      <c r="P223" s="20"/>
      <c r="Q223" s="20"/>
      <c r="R223" s="20"/>
      <c r="S223" s="21"/>
    </row>
    <row r="224" spans="1:19" ht="49.5" x14ac:dyDescent="0.25">
      <c r="A224" s="18" t="s">
        <v>180</v>
      </c>
      <c r="B224" s="19"/>
      <c r="C224" s="20"/>
      <c r="D224" s="20"/>
      <c r="E224" s="20"/>
      <c r="F224" s="20"/>
      <c r="G224" s="21"/>
      <c r="H224" s="19">
        <v>1.1599999999999999</v>
      </c>
      <c r="I224" s="20">
        <v>864.80000000000007</v>
      </c>
      <c r="J224" s="20">
        <v>20</v>
      </c>
      <c r="K224" s="20">
        <f t="shared" si="3"/>
        <v>172.96</v>
      </c>
      <c r="L224" s="20">
        <f t="shared" si="4"/>
        <v>41.67</v>
      </c>
      <c r="M224" s="21">
        <f t="shared" si="5"/>
        <v>214.63</v>
      </c>
      <c r="N224" s="19"/>
      <c r="O224" s="20"/>
      <c r="P224" s="20"/>
      <c r="Q224" s="20"/>
      <c r="R224" s="20"/>
      <c r="S224" s="21"/>
    </row>
    <row r="225" spans="1:21" x14ac:dyDescent="0.25">
      <c r="A225" s="18" t="s">
        <v>181</v>
      </c>
      <c r="B225" s="19"/>
      <c r="C225" s="20"/>
      <c r="D225" s="20"/>
      <c r="E225" s="20"/>
      <c r="F225" s="20"/>
      <c r="G225" s="21"/>
      <c r="H225" s="19">
        <v>1</v>
      </c>
      <c r="I225" s="20">
        <v>742.6</v>
      </c>
      <c r="J225" s="20">
        <v>20</v>
      </c>
      <c r="K225" s="20">
        <f t="shared" si="3"/>
        <v>148.52000000000001</v>
      </c>
      <c r="L225" s="20">
        <f t="shared" si="4"/>
        <v>35.78</v>
      </c>
      <c r="M225" s="21">
        <f t="shared" si="5"/>
        <v>184.3</v>
      </c>
      <c r="N225" s="19"/>
      <c r="O225" s="20"/>
      <c r="P225" s="20"/>
      <c r="Q225" s="20"/>
      <c r="R225" s="20"/>
      <c r="S225" s="21"/>
    </row>
    <row r="226" spans="1:21" x14ac:dyDescent="0.25">
      <c r="A226" s="18" t="s">
        <v>181</v>
      </c>
      <c r="B226" s="19"/>
      <c r="C226" s="20"/>
      <c r="D226" s="20"/>
      <c r="E226" s="20"/>
      <c r="F226" s="20"/>
      <c r="G226" s="21"/>
      <c r="H226" s="19">
        <v>0.16</v>
      </c>
      <c r="I226" s="20">
        <v>122.2</v>
      </c>
      <c r="J226" s="20">
        <v>20</v>
      </c>
      <c r="K226" s="20">
        <f t="shared" ref="K226" si="6">ROUND(I226*J226/100,2)</f>
        <v>24.44</v>
      </c>
      <c r="L226" s="20">
        <f t="shared" si="4"/>
        <v>5.89</v>
      </c>
      <c r="M226" s="21">
        <f t="shared" ref="M226" si="7">K226+L226</f>
        <v>30.330000000000002</v>
      </c>
      <c r="N226" s="19"/>
      <c r="O226" s="20"/>
      <c r="P226" s="20"/>
      <c r="Q226" s="20"/>
      <c r="R226" s="20"/>
      <c r="S226" s="21"/>
    </row>
    <row r="227" spans="1:21" x14ac:dyDescent="0.25">
      <c r="A227" s="36" t="s">
        <v>229</v>
      </c>
      <c r="B227" s="15"/>
      <c r="C227" s="16"/>
      <c r="D227" s="16"/>
      <c r="E227" s="16"/>
      <c r="F227" s="16"/>
      <c r="G227" s="17"/>
      <c r="H227" s="15">
        <v>6.01</v>
      </c>
      <c r="I227" s="16">
        <v>4838.9399999999996</v>
      </c>
      <c r="J227" s="16">
        <v>60</v>
      </c>
      <c r="K227" s="16">
        <v>967.79</v>
      </c>
      <c r="L227" s="16">
        <v>233.14</v>
      </c>
      <c r="M227" s="17">
        <v>1200.9299999999998</v>
      </c>
      <c r="N227" s="15"/>
      <c r="O227" s="16"/>
      <c r="P227" s="16"/>
      <c r="Q227" s="16"/>
      <c r="R227" s="16"/>
      <c r="S227" s="17"/>
      <c r="T227" s="28"/>
      <c r="U227" s="28"/>
    </row>
    <row r="228" spans="1:21" ht="49.5" x14ac:dyDescent="0.25">
      <c r="A228" s="18" t="s">
        <v>180</v>
      </c>
      <c r="B228" s="19"/>
      <c r="C228" s="20"/>
      <c r="D228" s="20"/>
      <c r="E228" s="20"/>
      <c r="F228" s="20"/>
      <c r="G228" s="21"/>
      <c r="H228" s="19">
        <v>3.05</v>
      </c>
      <c r="I228" s="20">
        <v>2658.85</v>
      </c>
      <c r="J228" s="20">
        <v>20</v>
      </c>
      <c r="K228" s="20">
        <f t="shared" ref="K228:K248" si="8">ROUND(I228*J228/100,2)</f>
        <v>531.77</v>
      </c>
      <c r="L228" s="20">
        <f t="shared" si="4"/>
        <v>128.1</v>
      </c>
      <c r="M228" s="21">
        <f t="shared" ref="M228:M248" si="9">K228+L228</f>
        <v>659.87</v>
      </c>
      <c r="N228" s="19"/>
      <c r="O228" s="20"/>
      <c r="P228" s="20"/>
      <c r="Q228" s="20"/>
      <c r="R228" s="20"/>
      <c r="S228" s="21"/>
    </row>
    <row r="229" spans="1:21" x14ac:dyDescent="0.25">
      <c r="A229" s="18" t="s">
        <v>181</v>
      </c>
      <c r="B229" s="19"/>
      <c r="C229" s="20"/>
      <c r="D229" s="20"/>
      <c r="E229" s="20"/>
      <c r="F229" s="20"/>
      <c r="G229" s="21"/>
      <c r="H229" s="19">
        <v>0.46</v>
      </c>
      <c r="I229" s="20">
        <v>417.6</v>
      </c>
      <c r="J229" s="20">
        <v>20</v>
      </c>
      <c r="K229" s="20">
        <f t="shared" si="8"/>
        <v>83.52</v>
      </c>
      <c r="L229" s="20">
        <f t="shared" si="4"/>
        <v>20.12</v>
      </c>
      <c r="M229" s="21">
        <f t="shared" si="9"/>
        <v>103.64</v>
      </c>
      <c r="N229" s="19"/>
      <c r="O229" s="20"/>
      <c r="P229" s="20"/>
      <c r="Q229" s="20"/>
      <c r="R229" s="20"/>
      <c r="S229" s="21"/>
    </row>
    <row r="230" spans="1:21" x14ac:dyDescent="0.25">
      <c r="A230" s="18" t="s">
        <v>181</v>
      </c>
      <c r="B230" s="19"/>
      <c r="C230" s="20"/>
      <c r="D230" s="20"/>
      <c r="E230" s="20"/>
      <c r="F230" s="20"/>
      <c r="G230" s="21"/>
      <c r="H230" s="19">
        <v>0.57999999999999996</v>
      </c>
      <c r="I230" s="20">
        <v>506</v>
      </c>
      <c r="J230" s="20">
        <v>20</v>
      </c>
      <c r="K230" s="20">
        <f t="shared" si="8"/>
        <v>101.2</v>
      </c>
      <c r="L230" s="20">
        <f t="shared" si="4"/>
        <v>24.38</v>
      </c>
      <c r="M230" s="21">
        <f t="shared" si="9"/>
        <v>125.58</v>
      </c>
      <c r="N230" s="19"/>
      <c r="O230" s="20"/>
      <c r="P230" s="20"/>
      <c r="Q230" s="20"/>
      <c r="R230" s="20"/>
      <c r="S230" s="21"/>
    </row>
    <row r="231" spans="1:21" x14ac:dyDescent="0.25">
      <c r="A231" s="18" t="s">
        <v>181</v>
      </c>
      <c r="B231" s="19"/>
      <c r="C231" s="20"/>
      <c r="D231" s="20"/>
      <c r="E231" s="20"/>
      <c r="F231" s="20"/>
      <c r="G231" s="21"/>
      <c r="H231" s="19">
        <v>0.12</v>
      </c>
      <c r="I231" s="20">
        <v>107.3</v>
      </c>
      <c r="J231" s="20">
        <v>20</v>
      </c>
      <c r="K231" s="20">
        <f t="shared" si="8"/>
        <v>21.46</v>
      </c>
      <c r="L231" s="20">
        <f t="shared" si="4"/>
        <v>5.17</v>
      </c>
      <c r="M231" s="21">
        <f t="shared" si="9"/>
        <v>26.630000000000003</v>
      </c>
      <c r="N231" s="19"/>
      <c r="O231" s="20"/>
      <c r="P231" s="20"/>
      <c r="Q231" s="20"/>
      <c r="R231" s="20"/>
      <c r="S231" s="21"/>
    </row>
    <row r="232" spans="1:21" x14ac:dyDescent="0.25">
      <c r="A232" s="18" t="s">
        <v>181</v>
      </c>
      <c r="B232" s="19"/>
      <c r="C232" s="20"/>
      <c r="D232" s="20"/>
      <c r="E232" s="20"/>
      <c r="F232" s="20"/>
      <c r="G232" s="21"/>
      <c r="H232" s="19">
        <v>0.31</v>
      </c>
      <c r="I232" s="20">
        <v>284.2</v>
      </c>
      <c r="J232" s="20">
        <v>20</v>
      </c>
      <c r="K232" s="20">
        <f t="shared" si="8"/>
        <v>56.84</v>
      </c>
      <c r="L232" s="20">
        <f t="shared" si="4"/>
        <v>13.69</v>
      </c>
      <c r="M232" s="21">
        <f t="shared" si="9"/>
        <v>70.53</v>
      </c>
      <c r="N232" s="19"/>
      <c r="O232" s="20"/>
      <c r="P232" s="20"/>
      <c r="Q232" s="20"/>
      <c r="R232" s="20"/>
      <c r="S232" s="21"/>
    </row>
    <row r="233" spans="1:21" x14ac:dyDescent="0.25">
      <c r="A233" s="18" t="s">
        <v>181</v>
      </c>
      <c r="B233" s="19"/>
      <c r="C233" s="20"/>
      <c r="D233" s="20"/>
      <c r="E233" s="20"/>
      <c r="F233" s="20"/>
      <c r="G233" s="21"/>
      <c r="H233" s="19">
        <v>0.53</v>
      </c>
      <c r="I233" s="20">
        <v>487.2</v>
      </c>
      <c r="J233" s="20">
        <v>20</v>
      </c>
      <c r="K233" s="20">
        <f t="shared" si="8"/>
        <v>97.44</v>
      </c>
      <c r="L233" s="20">
        <f t="shared" si="4"/>
        <v>23.47</v>
      </c>
      <c r="M233" s="21">
        <f t="shared" si="9"/>
        <v>120.91</v>
      </c>
      <c r="N233" s="19"/>
      <c r="O233" s="20"/>
      <c r="P233" s="20"/>
      <c r="Q233" s="20"/>
      <c r="R233" s="20"/>
      <c r="S233" s="21"/>
    </row>
    <row r="234" spans="1:21" x14ac:dyDescent="0.25">
      <c r="A234" s="18" t="s">
        <v>181</v>
      </c>
      <c r="B234" s="19"/>
      <c r="C234" s="20"/>
      <c r="D234" s="20"/>
      <c r="E234" s="20"/>
      <c r="F234" s="20"/>
      <c r="G234" s="21"/>
      <c r="H234" s="19">
        <v>0.3</v>
      </c>
      <c r="I234" s="20">
        <v>264</v>
      </c>
      <c r="J234" s="20">
        <v>20</v>
      </c>
      <c r="K234" s="20">
        <f t="shared" si="8"/>
        <v>52.8</v>
      </c>
      <c r="L234" s="20">
        <f t="shared" si="4"/>
        <v>12.72</v>
      </c>
      <c r="M234" s="21">
        <f t="shared" si="9"/>
        <v>65.52</v>
      </c>
      <c r="N234" s="19"/>
      <c r="O234" s="20"/>
      <c r="P234" s="20"/>
      <c r="Q234" s="20"/>
      <c r="R234" s="20"/>
      <c r="S234" s="21"/>
    </row>
    <row r="235" spans="1:21" x14ac:dyDescent="0.25">
      <c r="A235" s="18" t="s">
        <v>181</v>
      </c>
      <c r="B235" s="19"/>
      <c r="C235" s="20"/>
      <c r="D235" s="20"/>
      <c r="E235" s="20"/>
      <c r="F235" s="20"/>
      <c r="G235" s="21"/>
      <c r="H235" s="19">
        <v>0.22</v>
      </c>
      <c r="I235" s="20">
        <v>200.10000000000002</v>
      </c>
      <c r="J235" s="20">
        <v>20</v>
      </c>
      <c r="K235" s="20">
        <f t="shared" si="8"/>
        <v>40.020000000000003</v>
      </c>
      <c r="L235" s="20">
        <f t="shared" si="4"/>
        <v>9.64</v>
      </c>
      <c r="M235" s="21">
        <f t="shared" si="9"/>
        <v>49.660000000000004</v>
      </c>
      <c r="N235" s="19"/>
      <c r="O235" s="20"/>
      <c r="P235" s="20"/>
      <c r="Q235" s="20"/>
      <c r="R235" s="20"/>
      <c r="S235" s="21"/>
    </row>
    <row r="236" spans="1:21" x14ac:dyDescent="0.25">
      <c r="A236" s="18" t="s">
        <v>181</v>
      </c>
      <c r="B236" s="19"/>
      <c r="C236" s="20"/>
      <c r="D236" s="20"/>
      <c r="E236" s="20"/>
      <c r="F236" s="20"/>
      <c r="G236" s="21"/>
      <c r="H236" s="19">
        <v>0.19</v>
      </c>
      <c r="I236" s="20">
        <v>141</v>
      </c>
      <c r="J236" s="20">
        <v>20</v>
      </c>
      <c r="K236" s="20">
        <f t="shared" si="8"/>
        <v>28.2</v>
      </c>
      <c r="L236" s="20">
        <f t="shared" si="4"/>
        <v>6.79</v>
      </c>
      <c r="M236" s="21">
        <f t="shared" si="9"/>
        <v>34.99</v>
      </c>
      <c r="N236" s="19"/>
      <c r="O236" s="20"/>
      <c r="P236" s="20"/>
      <c r="Q236" s="20"/>
      <c r="R236" s="20"/>
      <c r="S236" s="21"/>
    </row>
    <row r="237" spans="1:21" x14ac:dyDescent="0.25">
      <c r="A237" s="18" t="s">
        <v>181</v>
      </c>
      <c r="B237" s="19"/>
      <c r="C237" s="20"/>
      <c r="D237" s="20"/>
      <c r="E237" s="20"/>
      <c r="F237" s="20"/>
      <c r="G237" s="21"/>
      <c r="H237" s="19">
        <v>0.31</v>
      </c>
      <c r="I237" s="20">
        <v>227.95</v>
      </c>
      <c r="J237" s="20">
        <v>20</v>
      </c>
      <c r="K237" s="20">
        <f t="shared" si="8"/>
        <v>45.59</v>
      </c>
      <c r="L237" s="20">
        <f t="shared" si="4"/>
        <v>10.98</v>
      </c>
      <c r="M237" s="21">
        <f t="shared" si="9"/>
        <v>56.570000000000007</v>
      </c>
      <c r="N237" s="19"/>
      <c r="O237" s="20"/>
      <c r="P237" s="20"/>
      <c r="Q237" s="20"/>
      <c r="R237" s="20"/>
      <c r="S237" s="21"/>
    </row>
    <row r="238" spans="1:21" x14ac:dyDescent="0.25">
      <c r="A238" s="18" t="s">
        <v>181</v>
      </c>
      <c r="B238" s="19"/>
      <c r="C238" s="20"/>
      <c r="D238" s="20"/>
      <c r="E238" s="20"/>
      <c r="F238" s="20"/>
      <c r="G238" s="21"/>
      <c r="H238" s="19">
        <v>0.03</v>
      </c>
      <c r="I238" s="20">
        <v>23.5</v>
      </c>
      <c r="J238" s="20">
        <v>20</v>
      </c>
      <c r="K238" s="20">
        <f t="shared" si="8"/>
        <v>4.7</v>
      </c>
      <c r="L238" s="20">
        <f t="shared" si="4"/>
        <v>1.1299999999999999</v>
      </c>
      <c r="M238" s="21">
        <f t="shared" si="9"/>
        <v>5.83</v>
      </c>
      <c r="N238" s="19"/>
      <c r="O238" s="20"/>
      <c r="P238" s="20"/>
      <c r="Q238" s="20"/>
      <c r="R238" s="20"/>
      <c r="S238" s="21"/>
    </row>
    <row r="239" spans="1:21" ht="49.5" x14ac:dyDescent="0.25">
      <c r="A239" s="18" t="s">
        <v>192</v>
      </c>
      <c r="B239" s="19"/>
      <c r="C239" s="20"/>
      <c r="D239" s="20"/>
      <c r="E239" s="20"/>
      <c r="F239" s="20"/>
      <c r="G239" s="21"/>
      <c r="H239" s="19">
        <v>1.95</v>
      </c>
      <c r="I239" s="20">
        <v>1108.8</v>
      </c>
      <c r="J239" s="20">
        <v>20</v>
      </c>
      <c r="K239" s="20">
        <f t="shared" si="8"/>
        <v>221.76</v>
      </c>
      <c r="L239" s="20">
        <f t="shared" si="4"/>
        <v>53.42</v>
      </c>
      <c r="M239" s="21">
        <f t="shared" si="9"/>
        <v>275.18</v>
      </c>
      <c r="N239" s="19"/>
      <c r="O239" s="20"/>
      <c r="P239" s="20"/>
      <c r="Q239" s="20"/>
      <c r="R239" s="20"/>
      <c r="S239" s="21"/>
    </row>
    <row r="240" spans="1:21" x14ac:dyDescent="0.25">
      <c r="A240" s="18" t="s">
        <v>98</v>
      </c>
      <c r="B240" s="19"/>
      <c r="C240" s="20"/>
      <c r="D240" s="20"/>
      <c r="E240" s="20"/>
      <c r="F240" s="20"/>
      <c r="G240" s="21"/>
      <c r="H240" s="19">
        <v>0.53</v>
      </c>
      <c r="I240" s="20">
        <v>304.2</v>
      </c>
      <c r="J240" s="20">
        <v>20</v>
      </c>
      <c r="K240" s="20">
        <f t="shared" si="8"/>
        <v>60.84</v>
      </c>
      <c r="L240" s="20">
        <f t="shared" si="4"/>
        <v>14.66</v>
      </c>
      <c r="M240" s="21">
        <f t="shared" si="9"/>
        <v>75.5</v>
      </c>
      <c r="N240" s="19"/>
      <c r="O240" s="20"/>
      <c r="P240" s="20"/>
      <c r="Q240" s="20"/>
      <c r="R240" s="20"/>
      <c r="S240" s="21"/>
    </row>
    <row r="241" spans="1:19" x14ac:dyDescent="0.25">
      <c r="A241" s="18" t="s">
        <v>98</v>
      </c>
      <c r="B241" s="19"/>
      <c r="C241" s="20"/>
      <c r="D241" s="20"/>
      <c r="E241" s="20"/>
      <c r="F241" s="20"/>
      <c r="G241" s="21"/>
      <c r="H241" s="19">
        <v>0.34</v>
      </c>
      <c r="I241" s="206">
        <v>194.4</v>
      </c>
      <c r="J241" s="20">
        <v>20</v>
      </c>
      <c r="K241" s="20">
        <f t="shared" si="8"/>
        <v>38.880000000000003</v>
      </c>
      <c r="L241" s="20">
        <f t="shared" si="4"/>
        <v>9.3699999999999992</v>
      </c>
      <c r="M241" s="21">
        <f t="shared" si="9"/>
        <v>48.25</v>
      </c>
      <c r="N241" s="19"/>
      <c r="O241" s="206"/>
      <c r="P241" s="206"/>
      <c r="Q241" s="206"/>
      <c r="R241" s="206"/>
      <c r="S241" s="207"/>
    </row>
    <row r="242" spans="1:19" x14ac:dyDescent="0.25">
      <c r="A242" s="18" t="s">
        <v>98</v>
      </c>
      <c r="B242" s="19"/>
      <c r="C242" s="20"/>
      <c r="D242" s="20"/>
      <c r="E242" s="20"/>
      <c r="F242" s="20"/>
      <c r="G242" s="21"/>
      <c r="H242" s="19">
        <v>0.38</v>
      </c>
      <c r="I242" s="206">
        <v>214.2</v>
      </c>
      <c r="J242" s="20">
        <v>20</v>
      </c>
      <c r="K242" s="20">
        <f t="shared" si="8"/>
        <v>42.84</v>
      </c>
      <c r="L242" s="20">
        <f t="shared" si="4"/>
        <v>10.32</v>
      </c>
      <c r="M242" s="21">
        <f t="shared" si="9"/>
        <v>53.160000000000004</v>
      </c>
      <c r="N242" s="19"/>
      <c r="O242" s="206"/>
      <c r="P242" s="206"/>
      <c r="Q242" s="206"/>
      <c r="R242" s="206"/>
      <c r="S242" s="207"/>
    </row>
    <row r="243" spans="1:19" x14ac:dyDescent="0.25">
      <c r="A243" s="18" t="s">
        <v>98</v>
      </c>
      <c r="B243" s="19"/>
      <c r="C243" s="20"/>
      <c r="D243" s="20"/>
      <c r="E243" s="20"/>
      <c r="F243" s="20"/>
      <c r="G243" s="21"/>
      <c r="H243" s="19">
        <v>0.7</v>
      </c>
      <c r="I243" s="206">
        <v>396</v>
      </c>
      <c r="J243" s="20">
        <v>20</v>
      </c>
      <c r="K243" s="20">
        <f t="shared" si="8"/>
        <v>79.2</v>
      </c>
      <c r="L243" s="20">
        <f t="shared" si="4"/>
        <v>19.079999999999998</v>
      </c>
      <c r="M243" s="21">
        <f t="shared" si="9"/>
        <v>98.28</v>
      </c>
      <c r="N243" s="19"/>
      <c r="O243" s="206"/>
      <c r="P243" s="206"/>
      <c r="Q243" s="206"/>
      <c r="R243" s="206"/>
      <c r="S243" s="207"/>
    </row>
    <row r="244" spans="1:19" ht="33" x14ac:dyDescent="0.25">
      <c r="A244" s="18" t="s">
        <v>171</v>
      </c>
      <c r="B244" s="19"/>
      <c r="C244" s="20"/>
      <c r="D244" s="20"/>
      <c r="E244" s="20"/>
      <c r="F244" s="20"/>
      <c r="G244" s="21"/>
      <c r="H244" s="19">
        <f>H245+H248</f>
        <v>1.01</v>
      </c>
      <c r="I244" s="20">
        <v>1071.29</v>
      </c>
      <c r="J244" s="20">
        <v>20</v>
      </c>
      <c r="K244" s="20">
        <f t="shared" si="8"/>
        <v>214.26</v>
      </c>
      <c r="L244" s="20">
        <f t="shared" si="4"/>
        <v>51.62</v>
      </c>
      <c r="M244" s="21">
        <f t="shared" si="9"/>
        <v>265.88</v>
      </c>
      <c r="N244" s="19">
        <f t="shared" ref="N244:S244" si="10">N245+N248</f>
        <v>0</v>
      </c>
      <c r="O244" s="19">
        <f t="shared" si="10"/>
        <v>0</v>
      </c>
      <c r="P244" s="19">
        <f t="shared" si="10"/>
        <v>0</v>
      </c>
      <c r="Q244" s="19">
        <f t="shared" si="10"/>
        <v>0</v>
      </c>
      <c r="R244" s="19">
        <f t="shared" si="10"/>
        <v>0</v>
      </c>
      <c r="S244" s="19">
        <f t="shared" si="10"/>
        <v>0</v>
      </c>
    </row>
    <row r="245" spans="1:19" x14ac:dyDescent="0.25">
      <c r="A245" s="18" t="s">
        <v>199</v>
      </c>
      <c r="B245" s="19"/>
      <c r="C245" s="20"/>
      <c r="D245" s="20"/>
      <c r="E245" s="20"/>
      <c r="F245" s="20"/>
      <c r="G245" s="21"/>
      <c r="H245" s="19">
        <v>0.42</v>
      </c>
      <c r="I245" s="20">
        <v>312.55</v>
      </c>
      <c r="J245" s="20">
        <v>20</v>
      </c>
      <c r="K245" s="20">
        <f>ROUND(I245*J245/100,2)</f>
        <v>62.51</v>
      </c>
      <c r="L245" s="20">
        <f>ROUND(K245*0.2409,2)</f>
        <v>15.06</v>
      </c>
      <c r="M245" s="21">
        <f>K245+L245</f>
        <v>77.569999999999993</v>
      </c>
      <c r="N245" s="19"/>
      <c r="O245" s="20"/>
      <c r="P245" s="20"/>
      <c r="Q245" s="20"/>
      <c r="R245" s="20"/>
      <c r="S245" s="21"/>
    </row>
    <row r="246" spans="1:19" x14ac:dyDescent="0.25">
      <c r="A246" s="18" t="s">
        <v>199</v>
      </c>
      <c r="B246" s="179"/>
      <c r="C246" s="180"/>
      <c r="D246" s="180"/>
      <c r="E246" s="180"/>
      <c r="F246" s="180"/>
      <c r="G246" s="182"/>
      <c r="H246" s="179">
        <v>0.83</v>
      </c>
      <c r="I246" s="180">
        <v>471.6</v>
      </c>
      <c r="J246" s="20">
        <v>20</v>
      </c>
      <c r="K246" s="20">
        <f>ROUND(I246*J246/100,2)</f>
        <v>94.32</v>
      </c>
      <c r="L246" s="20">
        <f>ROUND(K246*0.2409,2)</f>
        <v>22.72</v>
      </c>
      <c r="M246" s="21">
        <f>K246+L246</f>
        <v>117.03999999999999</v>
      </c>
      <c r="N246" s="179"/>
      <c r="O246" s="180"/>
      <c r="P246" s="180"/>
      <c r="Q246" s="180"/>
      <c r="R246" s="180"/>
      <c r="S246" s="182"/>
    </row>
    <row r="247" spans="1:19" x14ac:dyDescent="0.25">
      <c r="A247" s="18" t="s">
        <v>100</v>
      </c>
      <c r="B247" s="179"/>
      <c r="C247" s="180"/>
      <c r="D247" s="180"/>
      <c r="E247" s="180"/>
      <c r="F247" s="180"/>
      <c r="G247" s="182"/>
      <c r="H247" s="179">
        <v>0.08</v>
      </c>
      <c r="I247" s="180">
        <v>32.659999999999997</v>
      </c>
      <c r="J247" s="180">
        <v>20</v>
      </c>
      <c r="K247" s="180">
        <f t="shared" ref="K247" si="11">ROUND(I247*J247/100,2)</f>
        <v>6.53</v>
      </c>
      <c r="L247" s="180">
        <f t="shared" ref="L247" si="12">ROUND(K247*0.2409,2)</f>
        <v>1.57</v>
      </c>
      <c r="M247" s="182">
        <f t="shared" ref="M247" si="13">K247+L247</f>
        <v>8.1</v>
      </c>
      <c r="N247" s="179"/>
      <c r="O247" s="180"/>
      <c r="P247" s="180"/>
      <c r="Q247" s="180"/>
      <c r="R247" s="180"/>
      <c r="S247" s="182"/>
    </row>
    <row r="248" spans="1:19" ht="17.25" thickBot="1" x14ac:dyDescent="0.3">
      <c r="A248" s="18" t="s">
        <v>100</v>
      </c>
      <c r="B248" s="22"/>
      <c r="C248" s="23"/>
      <c r="D248" s="23"/>
      <c r="E248" s="23"/>
      <c r="F248" s="23"/>
      <c r="G248" s="24"/>
      <c r="H248" s="22">
        <v>0.59</v>
      </c>
      <c r="I248" s="23">
        <v>254.48000000000002</v>
      </c>
      <c r="J248" s="23">
        <v>20</v>
      </c>
      <c r="K248" s="23">
        <f t="shared" si="8"/>
        <v>50.9</v>
      </c>
      <c r="L248" s="23">
        <f t="shared" si="4"/>
        <v>12.26</v>
      </c>
      <c r="M248" s="24">
        <f t="shared" si="9"/>
        <v>63.16</v>
      </c>
      <c r="N248" s="22"/>
      <c r="O248" s="23"/>
      <c r="P248" s="23"/>
      <c r="Q248" s="23"/>
      <c r="R248" s="23"/>
      <c r="S248" s="24"/>
    </row>
    <row r="250" spans="1:19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3" spans="1:19" ht="22.5" customHeight="1" x14ac:dyDescent="0.25"/>
  </sheetData>
  <mergeCells count="5"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61"/>
  <sheetViews>
    <sheetView zoomScale="85" zoomScaleNormal="85" workbookViewId="0">
      <selection activeCell="F143" sqref="F143"/>
    </sheetView>
  </sheetViews>
  <sheetFormatPr defaultColWidth="9.140625" defaultRowHeight="16.5" x14ac:dyDescent="0.25"/>
  <cols>
    <col min="1" max="1" width="42.5703125" style="2" customWidth="1"/>
    <col min="2" max="2" width="14" style="2" customWidth="1"/>
    <col min="3" max="3" width="16" style="2" customWidth="1"/>
    <col min="4" max="12" width="14" style="2" customWidth="1"/>
    <col min="13" max="13" width="13.7109375" style="2" customWidth="1"/>
    <col min="14" max="19" width="14" style="2" hidden="1" customWidth="1"/>
    <col min="20" max="20" width="15.85546875" style="2" customWidth="1"/>
    <col min="21" max="16384" width="9.140625" style="2"/>
  </cols>
  <sheetData>
    <row r="2" spans="1:19" s="1" customFormat="1" ht="48.9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19" x14ac:dyDescent="0.25">
      <c r="A4" s="2" t="s">
        <v>26</v>
      </c>
    </row>
    <row r="5" spans="1:19" ht="17.25" thickBot="1" x14ac:dyDescent="0.3"/>
    <row r="6" spans="1:19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857" t="s">
        <v>4</v>
      </c>
      <c r="I6" s="858"/>
      <c r="J6" s="858"/>
      <c r="K6" s="858"/>
      <c r="L6" s="858"/>
      <c r="M6" s="859"/>
      <c r="N6" s="857" t="s">
        <v>5</v>
      </c>
      <c r="O6" s="858"/>
      <c r="P6" s="858"/>
      <c r="Q6" s="858"/>
      <c r="R6" s="858"/>
      <c r="S6" s="859"/>
    </row>
    <row r="7" spans="1:19" ht="104.25" customHeight="1" x14ac:dyDescent="0.25">
      <c r="A7" s="907"/>
      <c r="B7" s="3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19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19" s="1" customFormat="1" ht="26.25" customHeight="1" x14ac:dyDescent="0.25">
      <c r="A9" s="10" t="s">
        <v>0</v>
      </c>
      <c r="B9" s="11"/>
      <c r="C9" s="12"/>
      <c r="D9" s="12"/>
      <c r="E9" s="12"/>
      <c r="F9" s="12"/>
      <c r="G9" s="13"/>
      <c r="H9" s="12">
        <f t="shared" ref="H9" si="0">H10+H44</f>
        <v>22.259472047999999</v>
      </c>
      <c r="I9" s="12"/>
      <c r="J9" s="12"/>
      <c r="K9" s="12">
        <f>K10+K44</f>
        <v>4377.2999999999993</v>
      </c>
      <c r="L9" s="12">
        <f>L10+L44</f>
        <v>1054.492776</v>
      </c>
      <c r="M9" s="13">
        <f>M10+M44</f>
        <v>5431.7927760000002</v>
      </c>
      <c r="N9" s="11"/>
      <c r="O9" s="12"/>
      <c r="P9" s="12"/>
      <c r="Q9" s="12"/>
      <c r="R9" s="12"/>
      <c r="S9" s="13"/>
    </row>
    <row r="10" spans="1:19" s="1" customFormat="1" ht="21.75" customHeight="1" x14ac:dyDescent="0.25">
      <c r="A10" s="14" t="s">
        <v>29</v>
      </c>
      <c r="B10" s="15"/>
      <c r="C10" s="16"/>
      <c r="D10" s="16"/>
      <c r="E10" s="16"/>
      <c r="F10" s="16"/>
      <c r="G10" s="17"/>
      <c r="H10" s="16">
        <f t="shared" ref="H10" si="1">H11+H19+H27+H35</f>
        <v>21.259472047999999</v>
      </c>
      <c r="I10" s="16"/>
      <c r="J10" s="16"/>
      <c r="K10" s="16">
        <f>K11+K19+K27+K35</f>
        <v>3978.5999999999995</v>
      </c>
      <c r="L10" s="16">
        <f>L11+L19+L27+L35</f>
        <v>958.44594600000005</v>
      </c>
      <c r="M10" s="17">
        <f>M11+M19+M27+M35</f>
        <v>4937.0459460000002</v>
      </c>
      <c r="N10" s="15"/>
      <c r="O10" s="16"/>
      <c r="P10" s="16"/>
      <c r="Q10" s="16"/>
      <c r="R10" s="16"/>
      <c r="S10" s="17"/>
    </row>
    <row r="11" spans="1:19" ht="37.5" customHeight="1" x14ac:dyDescent="0.25">
      <c r="A11" s="18" t="s">
        <v>14</v>
      </c>
      <c r="B11" s="19"/>
      <c r="C11" s="20"/>
      <c r="D11" s="20"/>
      <c r="E11" s="20"/>
      <c r="F11" s="20"/>
      <c r="G11" s="21"/>
      <c r="H11" s="30">
        <f t="shared" ref="H11" si="2">SUM(H12,H13,H14,H15,H16,H17,H18)</f>
        <v>4.556945153</v>
      </c>
      <c r="I11" s="30"/>
      <c r="J11" s="30"/>
      <c r="K11" s="30">
        <f>SUM(K12,K13,K14,K15,K16,K17,K18)</f>
        <v>1222.6599999999999</v>
      </c>
      <c r="L11" s="30">
        <f>L12+L13+L14+L15+L16+L17+L18</f>
        <v>294.54000000000002</v>
      </c>
      <c r="M11" s="31">
        <f>M12+M13+M14+M15+M16+M17+M18</f>
        <v>1517.2000000000003</v>
      </c>
      <c r="N11" s="19"/>
      <c r="O11" s="20"/>
      <c r="P11" s="20"/>
      <c r="Q11" s="20"/>
      <c r="R11" s="20"/>
      <c r="S11" s="21"/>
    </row>
    <row r="12" spans="1:19" ht="18.75" customHeight="1" x14ac:dyDescent="0.3">
      <c r="A12" s="435" t="s">
        <v>20</v>
      </c>
      <c r="B12" s="19"/>
      <c r="C12" s="20"/>
      <c r="D12" s="20"/>
      <c r="E12" s="20"/>
      <c r="F12" s="20"/>
      <c r="G12" s="21"/>
      <c r="H12" s="32">
        <v>0.30379</v>
      </c>
      <c r="I12" s="33">
        <v>1342.52</v>
      </c>
      <c r="J12" s="34">
        <v>20</v>
      </c>
      <c r="K12" s="33">
        <f>ROUND(I12*0.2*H12,2)</f>
        <v>81.569999999999993</v>
      </c>
      <c r="L12" s="33">
        <f>ROUND(K12*0.2409,2)</f>
        <v>19.649999999999999</v>
      </c>
      <c r="M12" s="35">
        <f>K12+L12</f>
        <v>101.22</v>
      </c>
      <c r="N12" s="19"/>
      <c r="O12" s="20"/>
      <c r="P12" s="20"/>
      <c r="Q12" s="20"/>
      <c r="R12" s="20"/>
      <c r="S12" s="21"/>
    </row>
    <row r="13" spans="1:19" ht="18.75" customHeight="1" x14ac:dyDescent="0.3">
      <c r="A13" s="435" t="s">
        <v>20</v>
      </c>
      <c r="B13" s="19"/>
      <c r="C13" s="20"/>
      <c r="D13" s="20"/>
      <c r="E13" s="20"/>
      <c r="F13" s="20"/>
      <c r="G13" s="21"/>
      <c r="H13" s="32">
        <v>1.1329100000000001</v>
      </c>
      <c r="I13" s="33">
        <v>1342.52</v>
      </c>
      <c r="J13" s="34">
        <v>20</v>
      </c>
      <c r="K13" s="33">
        <f t="shared" ref="K13:K18" si="3">ROUND(I13*0.2*H13,2)</f>
        <v>304.19</v>
      </c>
      <c r="L13" s="33">
        <f t="shared" ref="L13:L43" si="4">ROUND(K13*0.2409,2)</f>
        <v>73.28</v>
      </c>
      <c r="M13" s="35">
        <f t="shared" ref="M13:M44" si="5">K13+L13</f>
        <v>377.47</v>
      </c>
      <c r="N13" s="19"/>
      <c r="O13" s="20"/>
      <c r="P13" s="20"/>
      <c r="Q13" s="20"/>
      <c r="R13" s="20"/>
      <c r="S13" s="21"/>
    </row>
    <row r="14" spans="1:19" ht="18.75" customHeight="1" x14ac:dyDescent="0.3">
      <c r="A14" s="435" t="s">
        <v>20</v>
      </c>
      <c r="B14" s="19"/>
      <c r="C14" s="20"/>
      <c r="D14" s="20"/>
      <c r="E14" s="20"/>
      <c r="F14" s="20"/>
      <c r="G14" s="21"/>
      <c r="H14" s="32">
        <v>0.60758999999999996</v>
      </c>
      <c r="I14" s="33">
        <v>1342.52</v>
      </c>
      <c r="J14" s="34">
        <v>20</v>
      </c>
      <c r="K14" s="33">
        <f t="shared" si="3"/>
        <v>163.13999999999999</v>
      </c>
      <c r="L14" s="33">
        <f t="shared" si="4"/>
        <v>39.299999999999997</v>
      </c>
      <c r="M14" s="35">
        <f t="shared" si="5"/>
        <v>202.44</v>
      </c>
      <c r="N14" s="19"/>
      <c r="O14" s="20"/>
      <c r="P14" s="20"/>
      <c r="Q14" s="20"/>
      <c r="R14" s="20"/>
      <c r="S14" s="21"/>
    </row>
    <row r="15" spans="1:19" ht="18.75" customHeight="1" x14ac:dyDescent="0.3">
      <c r="A15" s="435" t="s">
        <v>20</v>
      </c>
      <c r="B15" s="19"/>
      <c r="C15" s="20"/>
      <c r="D15" s="20"/>
      <c r="E15" s="20"/>
      <c r="F15" s="20"/>
      <c r="G15" s="21"/>
      <c r="H15" s="32">
        <v>0.91139000000000003</v>
      </c>
      <c r="I15" s="33">
        <v>1342.52</v>
      </c>
      <c r="J15" s="34">
        <v>20</v>
      </c>
      <c r="K15" s="33">
        <f t="shared" si="3"/>
        <v>244.71</v>
      </c>
      <c r="L15" s="33">
        <f t="shared" si="4"/>
        <v>58.95</v>
      </c>
      <c r="M15" s="35">
        <f t="shared" si="5"/>
        <v>303.66000000000003</v>
      </c>
      <c r="N15" s="19"/>
      <c r="O15" s="20"/>
      <c r="P15" s="20"/>
      <c r="Q15" s="20"/>
      <c r="R15" s="20"/>
      <c r="S15" s="21"/>
    </row>
    <row r="16" spans="1:19" ht="18.75" customHeight="1" x14ac:dyDescent="0.3">
      <c r="A16" s="435" t="s">
        <v>20</v>
      </c>
      <c r="B16" s="19"/>
      <c r="C16" s="20"/>
      <c r="D16" s="20"/>
      <c r="E16" s="20"/>
      <c r="F16" s="20"/>
      <c r="G16" s="21"/>
      <c r="H16" s="32">
        <v>6.9620252999999993E-2</v>
      </c>
      <c r="I16" s="33">
        <v>1278.5899999999999</v>
      </c>
      <c r="J16" s="34">
        <v>20</v>
      </c>
      <c r="K16" s="33">
        <f t="shared" si="3"/>
        <v>17.8</v>
      </c>
      <c r="L16" s="33">
        <f t="shared" si="4"/>
        <v>4.29</v>
      </c>
      <c r="M16" s="35">
        <f t="shared" si="5"/>
        <v>22.09</v>
      </c>
      <c r="N16" s="19"/>
      <c r="O16" s="20"/>
      <c r="P16" s="20"/>
      <c r="Q16" s="20"/>
      <c r="R16" s="20"/>
      <c r="S16" s="21"/>
    </row>
    <row r="17" spans="1:19" ht="18.75" customHeight="1" x14ac:dyDescent="0.3">
      <c r="A17" s="435" t="s">
        <v>20</v>
      </c>
      <c r="B17" s="19"/>
      <c r="C17" s="20"/>
      <c r="D17" s="20"/>
      <c r="E17" s="20"/>
      <c r="F17" s="20"/>
      <c r="G17" s="21"/>
      <c r="H17" s="32">
        <v>0.16455690000000001</v>
      </c>
      <c r="I17" s="33">
        <v>1342.52</v>
      </c>
      <c r="J17" s="34">
        <v>20</v>
      </c>
      <c r="K17" s="33">
        <f t="shared" si="3"/>
        <v>44.18</v>
      </c>
      <c r="L17" s="33">
        <f t="shared" si="4"/>
        <v>10.64</v>
      </c>
      <c r="M17" s="35">
        <f t="shared" si="5"/>
        <v>54.82</v>
      </c>
      <c r="N17" s="19"/>
      <c r="O17" s="20"/>
      <c r="P17" s="20"/>
      <c r="Q17" s="20"/>
      <c r="R17" s="20"/>
      <c r="S17" s="21"/>
    </row>
    <row r="18" spans="1:19" ht="19.5" customHeight="1" x14ac:dyDescent="0.3">
      <c r="A18" s="435" t="s">
        <v>20</v>
      </c>
      <c r="B18" s="19"/>
      <c r="C18" s="20"/>
      <c r="D18" s="20"/>
      <c r="E18" s="20"/>
      <c r="F18" s="20"/>
      <c r="G18" s="21"/>
      <c r="H18" s="32">
        <v>1.3670880000000001</v>
      </c>
      <c r="I18" s="33">
        <v>1342.52</v>
      </c>
      <c r="J18" s="34">
        <v>20</v>
      </c>
      <c r="K18" s="33">
        <f t="shared" si="3"/>
        <v>367.07</v>
      </c>
      <c r="L18" s="33">
        <f t="shared" si="4"/>
        <v>88.43</v>
      </c>
      <c r="M18" s="35">
        <f t="shared" si="5"/>
        <v>455.5</v>
      </c>
      <c r="N18" s="19"/>
      <c r="O18" s="20"/>
      <c r="P18" s="20"/>
      <c r="Q18" s="20"/>
      <c r="R18" s="20"/>
      <c r="S18" s="21"/>
    </row>
    <row r="19" spans="1:19" ht="49.5" customHeight="1" x14ac:dyDescent="0.25">
      <c r="A19" s="18" t="s">
        <v>12</v>
      </c>
      <c r="B19" s="19"/>
      <c r="C19" s="20"/>
      <c r="D19" s="20"/>
      <c r="E19" s="20"/>
      <c r="F19" s="20"/>
      <c r="G19" s="21"/>
      <c r="H19" s="30">
        <f t="shared" ref="H19" si="6">H20+H21+H22+H23+H24+H25+H26</f>
        <v>5.5759455300000003</v>
      </c>
      <c r="I19" s="30"/>
      <c r="J19" s="30"/>
      <c r="K19" s="30">
        <f>K20+K21+K22+K23+K24+K25+K26</f>
        <v>1115.3699999999999</v>
      </c>
      <c r="L19" s="30">
        <f t="shared" ref="L19" si="7">K19*0.2409</f>
        <v>268.692633</v>
      </c>
      <c r="M19" s="31">
        <f t="shared" si="5"/>
        <v>1384.062633</v>
      </c>
      <c r="N19" s="19"/>
      <c r="O19" s="20"/>
      <c r="P19" s="20"/>
      <c r="Q19" s="20"/>
      <c r="R19" s="20"/>
      <c r="S19" s="21"/>
    </row>
    <row r="20" spans="1:19" ht="18.75" x14ac:dyDescent="0.3">
      <c r="A20" s="436" t="s">
        <v>16</v>
      </c>
      <c r="B20" s="19"/>
      <c r="C20" s="20"/>
      <c r="D20" s="20"/>
      <c r="E20" s="20"/>
      <c r="F20" s="20"/>
      <c r="G20" s="21"/>
      <c r="H20" s="32">
        <v>1</v>
      </c>
      <c r="I20" s="33">
        <v>1355.43</v>
      </c>
      <c r="J20" s="34">
        <v>20</v>
      </c>
      <c r="K20" s="33">
        <f t="shared" ref="K20:K26" si="8">ROUND(I20*0.2*H20,2)</f>
        <v>271.08999999999997</v>
      </c>
      <c r="L20" s="33">
        <f t="shared" si="4"/>
        <v>65.31</v>
      </c>
      <c r="M20" s="35">
        <f t="shared" si="5"/>
        <v>336.4</v>
      </c>
      <c r="N20" s="19"/>
      <c r="O20" s="20"/>
      <c r="P20" s="20"/>
      <c r="Q20" s="20"/>
      <c r="R20" s="20"/>
      <c r="S20" s="21"/>
    </row>
    <row r="21" spans="1:19" ht="18.75" x14ac:dyDescent="0.3">
      <c r="A21" s="436" t="s">
        <v>17</v>
      </c>
      <c r="B21" s="19"/>
      <c r="C21" s="20"/>
      <c r="D21" s="20"/>
      <c r="E21" s="20"/>
      <c r="F21" s="20"/>
      <c r="G21" s="21"/>
      <c r="H21" s="32">
        <v>0.75949</v>
      </c>
      <c r="I21" s="33">
        <v>1001.46</v>
      </c>
      <c r="J21" s="34">
        <v>20</v>
      </c>
      <c r="K21" s="33">
        <f t="shared" si="8"/>
        <v>152.12</v>
      </c>
      <c r="L21" s="33">
        <f t="shared" si="4"/>
        <v>36.65</v>
      </c>
      <c r="M21" s="35">
        <f t="shared" si="5"/>
        <v>188.77</v>
      </c>
      <c r="N21" s="19"/>
      <c r="O21" s="20"/>
      <c r="P21" s="20"/>
      <c r="Q21" s="20"/>
      <c r="R21" s="20"/>
      <c r="S21" s="21"/>
    </row>
    <row r="22" spans="1:19" ht="18.75" x14ac:dyDescent="0.3">
      <c r="A22" s="436" t="s">
        <v>17</v>
      </c>
      <c r="B22" s="19"/>
      <c r="C22" s="20"/>
      <c r="D22" s="20"/>
      <c r="E22" s="20"/>
      <c r="F22" s="20"/>
      <c r="G22" s="21"/>
      <c r="H22" s="32">
        <v>0.72151889999999996</v>
      </c>
      <c r="I22" s="33">
        <v>939.95</v>
      </c>
      <c r="J22" s="34">
        <v>20</v>
      </c>
      <c r="K22" s="33">
        <f t="shared" si="8"/>
        <v>135.63999999999999</v>
      </c>
      <c r="L22" s="33">
        <f t="shared" si="4"/>
        <v>32.68</v>
      </c>
      <c r="M22" s="35">
        <f t="shared" si="5"/>
        <v>168.32</v>
      </c>
      <c r="N22" s="19"/>
      <c r="O22" s="20"/>
      <c r="P22" s="20"/>
      <c r="Q22" s="20"/>
      <c r="R22" s="20"/>
      <c r="S22" s="21"/>
    </row>
    <row r="23" spans="1:19" ht="18.75" x14ac:dyDescent="0.3">
      <c r="A23" s="436" t="s">
        <v>17</v>
      </c>
      <c r="B23" s="19"/>
      <c r="C23" s="20"/>
      <c r="D23" s="20"/>
      <c r="E23" s="20"/>
      <c r="F23" s="20"/>
      <c r="G23" s="21"/>
      <c r="H23" s="32">
        <v>0.48101260000000001</v>
      </c>
      <c r="I23" s="33">
        <v>982.23</v>
      </c>
      <c r="J23" s="34">
        <v>20</v>
      </c>
      <c r="K23" s="33">
        <f t="shared" si="8"/>
        <v>94.49</v>
      </c>
      <c r="L23" s="33">
        <f t="shared" si="4"/>
        <v>22.76</v>
      </c>
      <c r="M23" s="35">
        <f t="shared" si="5"/>
        <v>117.25</v>
      </c>
      <c r="N23" s="19"/>
      <c r="O23" s="20"/>
      <c r="P23" s="20"/>
      <c r="Q23" s="20"/>
      <c r="R23" s="20"/>
      <c r="S23" s="21"/>
    </row>
    <row r="24" spans="1:19" ht="18.75" x14ac:dyDescent="0.3">
      <c r="A24" s="436" t="s">
        <v>17</v>
      </c>
      <c r="B24" s="19"/>
      <c r="C24" s="20"/>
      <c r="D24" s="20"/>
      <c r="E24" s="20"/>
      <c r="F24" s="20"/>
      <c r="G24" s="21"/>
      <c r="H24" s="32">
        <v>1.0443037900000001</v>
      </c>
      <c r="I24" s="33">
        <v>994.73</v>
      </c>
      <c r="J24" s="34">
        <v>20</v>
      </c>
      <c r="K24" s="33">
        <f t="shared" si="8"/>
        <v>207.76</v>
      </c>
      <c r="L24" s="33">
        <f t="shared" si="4"/>
        <v>50.05</v>
      </c>
      <c r="M24" s="35">
        <f t="shared" si="5"/>
        <v>257.81</v>
      </c>
      <c r="N24" s="19"/>
      <c r="O24" s="20"/>
      <c r="P24" s="20"/>
      <c r="Q24" s="20"/>
      <c r="R24" s="20"/>
      <c r="S24" s="21"/>
    </row>
    <row r="25" spans="1:19" ht="18.75" x14ac:dyDescent="0.3">
      <c r="A25" s="436" t="s">
        <v>18</v>
      </c>
      <c r="B25" s="19"/>
      <c r="C25" s="20"/>
      <c r="D25" s="20"/>
      <c r="E25" s="20"/>
      <c r="F25" s="20"/>
      <c r="G25" s="21"/>
      <c r="H25" s="32">
        <v>1.0886075900000001</v>
      </c>
      <c r="I25" s="33">
        <v>809.99</v>
      </c>
      <c r="J25" s="34">
        <v>20</v>
      </c>
      <c r="K25" s="33">
        <f t="shared" si="8"/>
        <v>176.35</v>
      </c>
      <c r="L25" s="33">
        <f t="shared" si="4"/>
        <v>42.48</v>
      </c>
      <c r="M25" s="35">
        <f t="shared" si="5"/>
        <v>218.82999999999998</v>
      </c>
      <c r="N25" s="19"/>
      <c r="O25" s="20"/>
      <c r="P25" s="20"/>
      <c r="Q25" s="20"/>
      <c r="R25" s="20"/>
      <c r="S25" s="21"/>
    </row>
    <row r="26" spans="1:19" ht="18.75" x14ac:dyDescent="0.3">
      <c r="A26" s="436" t="s">
        <v>18</v>
      </c>
      <c r="B26" s="19"/>
      <c r="C26" s="20"/>
      <c r="D26" s="20"/>
      <c r="E26" s="20"/>
      <c r="F26" s="20"/>
      <c r="G26" s="21"/>
      <c r="H26" s="32">
        <v>0.48101264999999999</v>
      </c>
      <c r="I26" s="33">
        <v>809.99</v>
      </c>
      <c r="J26" s="34">
        <v>20</v>
      </c>
      <c r="K26" s="33">
        <f t="shared" si="8"/>
        <v>77.92</v>
      </c>
      <c r="L26" s="33">
        <f t="shared" si="4"/>
        <v>18.77</v>
      </c>
      <c r="M26" s="35">
        <f t="shared" si="5"/>
        <v>96.69</v>
      </c>
      <c r="N26" s="19"/>
      <c r="O26" s="20"/>
      <c r="P26" s="20"/>
      <c r="Q26" s="20"/>
      <c r="R26" s="20"/>
      <c r="S26" s="21"/>
    </row>
    <row r="27" spans="1:19" ht="57" customHeight="1" x14ac:dyDescent="0.25">
      <c r="A27" s="18" t="s">
        <v>13</v>
      </c>
      <c r="B27" s="19"/>
      <c r="C27" s="20"/>
      <c r="D27" s="20"/>
      <c r="E27" s="20"/>
      <c r="F27" s="20"/>
      <c r="G27" s="21"/>
      <c r="H27" s="30">
        <f t="shared" ref="H27" si="9">H28+H29+H30+H31+H32+H33+H34</f>
        <v>5.2405144450000005</v>
      </c>
      <c r="I27" s="30"/>
      <c r="J27" s="30"/>
      <c r="K27" s="30">
        <f>K28+K29+K30+K31+K32+K33+K34</f>
        <v>741.90999999999985</v>
      </c>
      <c r="L27" s="30">
        <f t="shared" ref="L27" si="10">K27*0.2409</f>
        <v>178.72611899999995</v>
      </c>
      <c r="M27" s="31">
        <f t="shared" si="5"/>
        <v>920.63611899999978</v>
      </c>
      <c r="N27" s="19"/>
      <c r="O27" s="20"/>
      <c r="P27" s="20"/>
      <c r="Q27" s="20"/>
      <c r="R27" s="20"/>
      <c r="S27" s="21"/>
    </row>
    <row r="28" spans="1:19" ht="18.75" x14ac:dyDescent="0.3">
      <c r="A28" s="436" t="s">
        <v>25</v>
      </c>
      <c r="B28" s="19"/>
      <c r="C28" s="20"/>
      <c r="D28" s="20"/>
      <c r="E28" s="20"/>
      <c r="F28" s="20"/>
      <c r="G28" s="21"/>
      <c r="H28" s="32">
        <v>0.47467999999999999</v>
      </c>
      <c r="I28" s="33">
        <v>804.95</v>
      </c>
      <c r="J28" s="34">
        <v>20</v>
      </c>
      <c r="K28" s="33">
        <f t="shared" ref="K28:K34" si="11">ROUND(I28*0.2*H28,2)</f>
        <v>76.42</v>
      </c>
      <c r="L28" s="33">
        <f t="shared" si="4"/>
        <v>18.41</v>
      </c>
      <c r="M28" s="35">
        <f t="shared" si="5"/>
        <v>94.83</v>
      </c>
      <c r="N28" s="19"/>
      <c r="O28" s="20"/>
      <c r="P28" s="20"/>
      <c r="Q28" s="20"/>
      <c r="R28" s="20"/>
      <c r="S28" s="21"/>
    </row>
    <row r="29" spans="1:19" ht="18.75" x14ac:dyDescent="0.3">
      <c r="A29" s="436" t="s">
        <v>19</v>
      </c>
      <c r="B29" s="19"/>
      <c r="C29" s="20"/>
      <c r="D29" s="20"/>
      <c r="E29" s="20"/>
      <c r="F29" s="20"/>
      <c r="G29" s="21"/>
      <c r="H29" s="32">
        <v>1.01267</v>
      </c>
      <c r="I29" s="33">
        <v>698.18</v>
      </c>
      <c r="J29" s="34">
        <v>20</v>
      </c>
      <c r="K29" s="33">
        <f t="shared" si="11"/>
        <v>141.41</v>
      </c>
      <c r="L29" s="33">
        <f t="shared" si="4"/>
        <v>34.07</v>
      </c>
      <c r="M29" s="35">
        <f t="shared" si="5"/>
        <v>175.48</v>
      </c>
      <c r="N29" s="19"/>
      <c r="O29" s="20"/>
      <c r="P29" s="20"/>
      <c r="Q29" s="20"/>
      <c r="R29" s="20"/>
      <c r="S29" s="21"/>
    </row>
    <row r="30" spans="1:19" ht="18.75" x14ac:dyDescent="0.3">
      <c r="A30" s="436" t="s">
        <v>19</v>
      </c>
      <c r="B30" s="19"/>
      <c r="C30" s="20"/>
      <c r="D30" s="20"/>
      <c r="E30" s="20"/>
      <c r="F30" s="20"/>
      <c r="G30" s="21"/>
      <c r="H30" s="32">
        <v>0.55063289999999998</v>
      </c>
      <c r="I30" s="33">
        <v>698.18</v>
      </c>
      <c r="J30" s="34">
        <v>20</v>
      </c>
      <c r="K30" s="33">
        <f t="shared" si="11"/>
        <v>76.89</v>
      </c>
      <c r="L30" s="33">
        <f t="shared" si="4"/>
        <v>18.52</v>
      </c>
      <c r="M30" s="35">
        <f t="shared" si="5"/>
        <v>95.41</v>
      </c>
      <c r="N30" s="19"/>
      <c r="O30" s="20"/>
      <c r="P30" s="20"/>
      <c r="Q30" s="20"/>
      <c r="R30" s="20"/>
      <c r="S30" s="21"/>
    </row>
    <row r="31" spans="1:19" ht="18.75" x14ac:dyDescent="0.3">
      <c r="A31" s="436" t="s">
        <v>19</v>
      </c>
      <c r="B31" s="19"/>
      <c r="C31" s="20"/>
      <c r="D31" s="20"/>
      <c r="E31" s="20"/>
      <c r="F31" s="20"/>
      <c r="G31" s="21"/>
      <c r="H31" s="32">
        <v>0.51898730000000004</v>
      </c>
      <c r="I31" s="33">
        <v>698.18</v>
      </c>
      <c r="J31" s="34">
        <v>20</v>
      </c>
      <c r="K31" s="33">
        <f t="shared" si="11"/>
        <v>72.47</v>
      </c>
      <c r="L31" s="33">
        <f t="shared" si="4"/>
        <v>17.46</v>
      </c>
      <c r="M31" s="35">
        <f t="shared" si="5"/>
        <v>89.93</v>
      </c>
      <c r="N31" s="19"/>
      <c r="O31" s="20"/>
      <c r="P31" s="20"/>
      <c r="Q31" s="20"/>
      <c r="R31" s="20"/>
      <c r="S31" s="21"/>
    </row>
    <row r="32" spans="1:19" ht="18.75" x14ac:dyDescent="0.3">
      <c r="A32" s="436" t="s">
        <v>19</v>
      </c>
      <c r="B32" s="19"/>
      <c r="C32" s="20"/>
      <c r="D32" s="20"/>
      <c r="E32" s="20"/>
      <c r="F32" s="20"/>
      <c r="G32" s="21"/>
      <c r="H32" s="32">
        <v>1.2278481000000001</v>
      </c>
      <c r="I32" s="33">
        <v>698.18</v>
      </c>
      <c r="J32" s="34">
        <v>20</v>
      </c>
      <c r="K32" s="33">
        <f t="shared" si="11"/>
        <v>171.45</v>
      </c>
      <c r="L32" s="33">
        <f t="shared" si="4"/>
        <v>41.3</v>
      </c>
      <c r="M32" s="35">
        <f t="shared" si="5"/>
        <v>212.75</v>
      </c>
      <c r="N32" s="19"/>
      <c r="O32" s="20"/>
      <c r="P32" s="20"/>
      <c r="Q32" s="20"/>
      <c r="R32" s="20"/>
      <c r="S32" s="21"/>
    </row>
    <row r="33" spans="1:19" ht="18.75" x14ac:dyDescent="0.3">
      <c r="A33" s="436" t="s">
        <v>19</v>
      </c>
      <c r="B33" s="19"/>
      <c r="C33" s="20"/>
      <c r="D33" s="20"/>
      <c r="E33" s="20"/>
      <c r="F33" s="20"/>
      <c r="G33" s="21"/>
      <c r="H33" s="32">
        <v>0.25316450000000001</v>
      </c>
      <c r="I33" s="33">
        <v>698.18</v>
      </c>
      <c r="J33" s="34">
        <v>20</v>
      </c>
      <c r="K33" s="33">
        <f t="shared" si="11"/>
        <v>35.35</v>
      </c>
      <c r="L33" s="33">
        <f t="shared" si="4"/>
        <v>8.52</v>
      </c>
      <c r="M33" s="35">
        <f t="shared" si="5"/>
        <v>43.870000000000005</v>
      </c>
      <c r="N33" s="19"/>
      <c r="O33" s="20"/>
      <c r="P33" s="20"/>
      <c r="Q33" s="20"/>
      <c r="R33" s="20"/>
      <c r="S33" s="21"/>
    </row>
    <row r="34" spans="1:19" ht="18.75" x14ac:dyDescent="0.3">
      <c r="A34" s="436" t="s">
        <v>19</v>
      </c>
      <c r="B34" s="19"/>
      <c r="C34" s="20"/>
      <c r="D34" s="20"/>
      <c r="E34" s="20"/>
      <c r="F34" s="20"/>
      <c r="G34" s="21"/>
      <c r="H34" s="32">
        <v>1.2025316450000001</v>
      </c>
      <c r="I34" s="33">
        <v>698.18</v>
      </c>
      <c r="J34" s="34">
        <v>20</v>
      </c>
      <c r="K34" s="33">
        <f t="shared" si="11"/>
        <v>167.92</v>
      </c>
      <c r="L34" s="33">
        <f t="shared" si="4"/>
        <v>40.450000000000003</v>
      </c>
      <c r="M34" s="35">
        <f t="shared" si="5"/>
        <v>208.37</v>
      </c>
      <c r="N34" s="19"/>
      <c r="O34" s="20"/>
      <c r="P34" s="20"/>
      <c r="Q34" s="20"/>
      <c r="R34" s="20"/>
      <c r="S34" s="21"/>
    </row>
    <row r="35" spans="1:19" ht="36" customHeight="1" x14ac:dyDescent="0.25">
      <c r="A35" s="18" t="s">
        <v>11</v>
      </c>
      <c r="B35" s="19"/>
      <c r="C35" s="20"/>
      <c r="D35" s="20"/>
      <c r="E35" s="20"/>
      <c r="F35" s="20"/>
      <c r="G35" s="21"/>
      <c r="H35" s="30">
        <f t="shared" ref="H35" si="12">H36+H37+H38+H39+H40+H41+H42+H43</f>
        <v>5.8860669200000011</v>
      </c>
      <c r="I35" s="30"/>
      <c r="J35" s="30"/>
      <c r="K35" s="30">
        <f>K36+K37+K38+K39+K40+K41+K42+K43</f>
        <v>898.66000000000008</v>
      </c>
      <c r="L35" s="30">
        <f t="shared" ref="L35" si="13">K35*0.2409</f>
        <v>216.48719400000002</v>
      </c>
      <c r="M35" s="31">
        <f t="shared" si="5"/>
        <v>1115.1471940000001</v>
      </c>
      <c r="N35" s="19"/>
      <c r="O35" s="20"/>
      <c r="P35" s="20"/>
      <c r="Q35" s="20"/>
      <c r="R35" s="20"/>
      <c r="S35" s="21"/>
    </row>
    <row r="36" spans="1:19" ht="18.75" x14ac:dyDescent="0.3">
      <c r="A36" s="435" t="s">
        <v>30</v>
      </c>
      <c r="B36" s="19"/>
      <c r="C36" s="20"/>
      <c r="D36" s="20"/>
      <c r="E36" s="20"/>
      <c r="F36" s="20"/>
      <c r="G36" s="21"/>
      <c r="H36" s="32">
        <v>1.1518987000000001</v>
      </c>
      <c r="I36" s="33">
        <v>843.39</v>
      </c>
      <c r="J36" s="34">
        <v>20</v>
      </c>
      <c r="K36" s="33">
        <f t="shared" ref="K36:K43" si="14">ROUND(I36*0.2*H36,2)</f>
        <v>194.3</v>
      </c>
      <c r="L36" s="33">
        <f t="shared" si="4"/>
        <v>46.81</v>
      </c>
      <c r="M36" s="35">
        <f t="shared" si="5"/>
        <v>241.11</v>
      </c>
      <c r="N36" s="19"/>
      <c r="O36" s="20"/>
      <c r="P36" s="20"/>
      <c r="Q36" s="20"/>
      <c r="R36" s="20"/>
      <c r="S36" s="21"/>
    </row>
    <row r="37" spans="1:19" ht="18.75" x14ac:dyDescent="0.3">
      <c r="A37" s="435" t="s">
        <v>30</v>
      </c>
      <c r="B37" s="19"/>
      <c r="C37" s="20"/>
      <c r="D37" s="20"/>
      <c r="E37" s="20"/>
      <c r="F37" s="20"/>
      <c r="G37" s="21"/>
      <c r="H37" s="32">
        <v>0.84810099999999999</v>
      </c>
      <c r="I37" s="33">
        <v>843.39</v>
      </c>
      <c r="J37" s="34">
        <v>20</v>
      </c>
      <c r="K37" s="33">
        <f t="shared" si="14"/>
        <v>143.06</v>
      </c>
      <c r="L37" s="33">
        <f t="shared" si="4"/>
        <v>34.46</v>
      </c>
      <c r="M37" s="35">
        <f t="shared" si="5"/>
        <v>177.52</v>
      </c>
      <c r="N37" s="19"/>
      <c r="O37" s="20"/>
      <c r="P37" s="20"/>
      <c r="Q37" s="20"/>
      <c r="R37" s="20"/>
      <c r="S37" s="21"/>
    </row>
    <row r="38" spans="1:19" ht="18.75" x14ac:dyDescent="0.3">
      <c r="A38" s="435" t="s">
        <v>30</v>
      </c>
      <c r="B38" s="19"/>
      <c r="C38" s="20"/>
      <c r="D38" s="20"/>
      <c r="E38" s="20"/>
      <c r="F38" s="20"/>
      <c r="G38" s="21"/>
      <c r="H38" s="32">
        <v>1.1518980000000001</v>
      </c>
      <c r="I38" s="33">
        <v>843.39</v>
      </c>
      <c r="J38" s="34">
        <v>20</v>
      </c>
      <c r="K38" s="33">
        <f t="shared" si="14"/>
        <v>194.3</v>
      </c>
      <c r="L38" s="33">
        <f t="shared" si="4"/>
        <v>46.81</v>
      </c>
      <c r="M38" s="35">
        <f t="shared" si="5"/>
        <v>241.11</v>
      </c>
      <c r="N38" s="19"/>
      <c r="O38" s="20"/>
      <c r="P38" s="20"/>
      <c r="Q38" s="20"/>
      <c r="R38" s="20"/>
      <c r="S38" s="21"/>
    </row>
    <row r="39" spans="1:19" ht="18.75" x14ac:dyDescent="0.3">
      <c r="A39" s="435" t="s">
        <v>30</v>
      </c>
      <c r="B39" s="19"/>
      <c r="C39" s="20"/>
      <c r="D39" s="20"/>
      <c r="E39" s="20"/>
      <c r="F39" s="20"/>
      <c r="G39" s="21"/>
      <c r="H39" s="32">
        <v>0.77215100000000003</v>
      </c>
      <c r="I39" s="33">
        <v>843.39</v>
      </c>
      <c r="J39" s="34">
        <v>20</v>
      </c>
      <c r="K39" s="33">
        <f t="shared" si="14"/>
        <v>130.24</v>
      </c>
      <c r="L39" s="33">
        <f t="shared" si="4"/>
        <v>31.37</v>
      </c>
      <c r="M39" s="35">
        <f t="shared" si="5"/>
        <v>161.61000000000001</v>
      </c>
      <c r="N39" s="19"/>
      <c r="O39" s="20"/>
      <c r="P39" s="20"/>
      <c r="Q39" s="20"/>
      <c r="R39" s="20"/>
      <c r="S39" s="21"/>
    </row>
    <row r="40" spans="1:19" ht="18.75" x14ac:dyDescent="0.3">
      <c r="A40" s="435" t="s">
        <v>30</v>
      </c>
      <c r="B40" s="19"/>
      <c r="C40" s="20"/>
      <c r="D40" s="20"/>
      <c r="E40" s="20"/>
      <c r="F40" s="20"/>
      <c r="G40" s="21"/>
      <c r="H40" s="32">
        <v>0.67088000000000003</v>
      </c>
      <c r="I40" s="33">
        <v>843.39</v>
      </c>
      <c r="J40" s="34">
        <v>20</v>
      </c>
      <c r="K40" s="33">
        <f t="shared" si="14"/>
        <v>113.16</v>
      </c>
      <c r="L40" s="33">
        <f t="shared" si="4"/>
        <v>27.26</v>
      </c>
      <c r="M40" s="35">
        <f t="shared" si="5"/>
        <v>140.41999999999999</v>
      </c>
      <c r="N40" s="19"/>
      <c r="O40" s="20"/>
      <c r="P40" s="20"/>
      <c r="Q40" s="20"/>
      <c r="R40" s="20"/>
      <c r="S40" s="21"/>
    </row>
    <row r="41" spans="1:19" ht="18.75" x14ac:dyDescent="0.3">
      <c r="A41" s="435" t="s">
        <v>30</v>
      </c>
      <c r="B41" s="19"/>
      <c r="C41" s="20"/>
      <c r="D41" s="20"/>
      <c r="E41" s="20"/>
      <c r="F41" s="20"/>
      <c r="G41" s="21"/>
      <c r="H41" s="32">
        <v>0.15189800000000001</v>
      </c>
      <c r="I41" s="33">
        <v>843.39</v>
      </c>
      <c r="J41" s="34">
        <v>20</v>
      </c>
      <c r="K41" s="33">
        <f t="shared" si="14"/>
        <v>25.62</v>
      </c>
      <c r="L41" s="33">
        <f t="shared" si="4"/>
        <v>6.17</v>
      </c>
      <c r="M41" s="35">
        <f t="shared" si="5"/>
        <v>31.79</v>
      </c>
      <c r="N41" s="19"/>
      <c r="O41" s="20"/>
      <c r="P41" s="20"/>
      <c r="Q41" s="20"/>
      <c r="R41" s="20"/>
      <c r="S41" s="21"/>
    </row>
    <row r="42" spans="1:19" ht="18.75" x14ac:dyDescent="0.3">
      <c r="A42" s="435" t="s">
        <v>31</v>
      </c>
      <c r="B42" s="19"/>
      <c r="C42" s="20"/>
      <c r="D42" s="20"/>
      <c r="E42" s="20"/>
      <c r="F42" s="20"/>
      <c r="G42" s="21"/>
      <c r="H42" s="32">
        <v>0.62658199999999997</v>
      </c>
      <c r="I42" s="33">
        <v>430</v>
      </c>
      <c r="J42" s="34">
        <v>20</v>
      </c>
      <c r="K42" s="33">
        <f t="shared" si="14"/>
        <v>53.89</v>
      </c>
      <c r="L42" s="33">
        <f t="shared" si="4"/>
        <v>12.98</v>
      </c>
      <c r="M42" s="35">
        <f t="shared" si="5"/>
        <v>66.87</v>
      </c>
      <c r="N42" s="19"/>
      <c r="O42" s="20"/>
      <c r="P42" s="20"/>
      <c r="Q42" s="20"/>
      <c r="R42" s="20"/>
      <c r="S42" s="21"/>
    </row>
    <row r="43" spans="1:19" ht="18.75" x14ac:dyDescent="0.3">
      <c r="A43" s="435" t="s">
        <v>31</v>
      </c>
      <c r="B43" s="19"/>
      <c r="C43" s="20"/>
      <c r="D43" s="20"/>
      <c r="E43" s="20"/>
      <c r="F43" s="20"/>
      <c r="G43" s="21"/>
      <c r="H43" s="32">
        <v>0.51265822000000005</v>
      </c>
      <c r="I43" s="33">
        <v>430</v>
      </c>
      <c r="J43" s="34">
        <v>20</v>
      </c>
      <c r="K43" s="33">
        <f t="shared" si="14"/>
        <v>44.09</v>
      </c>
      <c r="L43" s="33">
        <f t="shared" si="4"/>
        <v>10.62</v>
      </c>
      <c r="M43" s="35">
        <f t="shared" si="5"/>
        <v>54.71</v>
      </c>
      <c r="N43" s="19"/>
      <c r="O43" s="20"/>
      <c r="P43" s="20"/>
      <c r="Q43" s="20"/>
      <c r="R43" s="20"/>
      <c r="S43" s="21"/>
    </row>
    <row r="44" spans="1:19" s="1" customFormat="1" ht="24" customHeight="1" x14ac:dyDescent="0.25">
      <c r="A44" s="14" t="s">
        <v>11</v>
      </c>
      <c r="B44" s="15"/>
      <c r="C44" s="16"/>
      <c r="D44" s="16"/>
      <c r="E44" s="16"/>
      <c r="F44" s="16"/>
      <c r="G44" s="17"/>
      <c r="H44" s="16">
        <f t="shared" ref="H44:J44" si="15">H48</f>
        <v>1</v>
      </c>
      <c r="I44" s="16">
        <f t="shared" si="15"/>
        <v>0</v>
      </c>
      <c r="J44" s="16">
        <f t="shared" si="15"/>
        <v>0</v>
      </c>
      <c r="K44" s="16">
        <f>K48</f>
        <v>398.7</v>
      </c>
      <c r="L44" s="16">
        <f t="shared" ref="L44" si="16">K44*0.2409</f>
        <v>96.04683</v>
      </c>
      <c r="M44" s="17">
        <f t="shared" si="5"/>
        <v>494.74682999999999</v>
      </c>
      <c r="N44" s="15"/>
      <c r="O44" s="16"/>
      <c r="P44" s="16"/>
      <c r="Q44" s="16"/>
      <c r="R44" s="16"/>
      <c r="S44" s="17"/>
    </row>
    <row r="45" spans="1:19" ht="37.5" customHeight="1" x14ac:dyDescent="0.25">
      <c r="A45" s="18" t="s">
        <v>14</v>
      </c>
      <c r="B45" s="19"/>
      <c r="C45" s="20"/>
      <c r="D45" s="20"/>
      <c r="E45" s="20"/>
      <c r="F45" s="20"/>
      <c r="G45" s="21"/>
      <c r="H45" s="19"/>
      <c r="I45" s="20"/>
      <c r="J45" s="20"/>
      <c r="K45" s="20"/>
      <c r="L45" s="20"/>
      <c r="M45" s="21"/>
      <c r="N45" s="19"/>
      <c r="O45" s="20"/>
      <c r="P45" s="20"/>
      <c r="Q45" s="20"/>
      <c r="R45" s="20"/>
      <c r="S45" s="21"/>
    </row>
    <row r="46" spans="1:19" ht="18.75" customHeight="1" x14ac:dyDescent="0.25">
      <c r="A46" s="18" t="s">
        <v>1</v>
      </c>
      <c r="B46" s="19"/>
      <c r="C46" s="20"/>
      <c r="D46" s="20"/>
      <c r="E46" s="20"/>
      <c r="F46" s="20"/>
      <c r="G46" s="21"/>
      <c r="H46" s="19"/>
      <c r="I46" s="20"/>
      <c r="J46" s="20"/>
      <c r="K46" s="20"/>
      <c r="L46" s="20"/>
      <c r="M46" s="21"/>
      <c r="N46" s="19"/>
      <c r="O46" s="20"/>
      <c r="P46" s="20"/>
      <c r="Q46" s="20"/>
      <c r="R46" s="20"/>
      <c r="S46" s="21"/>
    </row>
    <row r="47" spans="1:19" ht="19.5" customHeight="1" x14ac:dyDescent="0.25">
      <c r="A47" s="18" t="s">
        <v>1</v>
      </c>
      <c r="B47" s="19"/>
      <c r="C47" s="20"/>
      <c r="D47" s="20"/>
      <c r="E47" s="20"/>
      <c r="F47" s="20"/>
      <c r="G47" s="21"/>
      <c r="H47" s="19"/>
      <c r="I47" s="20"/>
      <c r="J47" s="20"/>
      <c r="K47" s="20"/>
      <c r="L47" s="20"/>
      <c r="M47" s="21"/>
      <c r="N47" s="19"/>
      <c r="O47" s="20"/>
      <c r="P47" s="20"/>
      <c r="Q47" s="20"/>
      <c r="R47" s="20"/>
      <c r="S47" s="21"/>
    </row>
    <row r="48" spans="1:19" ht="49.5" customHeight="1" x14ac:dyDescent="0.25">
      <c r="A48" s="18" t="s">
        <v>12</v>
      </c>
      <c r="B48" s="19"/>
      <c r="C48" s="20"/>
      <c r="D48" s="20"/>
      <c r="E48" s="20"/>
      <c r="F48" s="20"/>
      <c r="G48" s="21"/>
      <c r="H48" s="30">
        <f t="shared" ref="H48" si="17">H49</f>
        <v>1</v>
      </c>
      <c r="I48" s="30"/>
      <c r="J48" s="30"/>
      <c r="K48" s="30">
        <f>K49</f>
        <v>398.7</v>
      </c>
      <c r="L48" s="30">
        <f>L49</f>
        <v>96.05</v>
      </c>
      <c r="M48" s="31">
        <f>M49</f>
        <v>494.75</v>
      </c>
      <c r="N48" s="19"/>
      <c r="O48" s="20"/>
      <c r="P48" s="20"/>
      <c r="Q48" s="20"/>
      <c r="R48" s="20"/>
      <c r="S48" s="21"/>
    </row>
    <row r="49" spans="1:19" ht="18.75" x14ac:dyDescent="0.3">
      <c r="A49" s="437" t="s">
        <v>32</v>
      </c>
      <c r="B49" s="19"/>
      <c r="C49" s="20"/>
      <c r="D49" s="20"/>
      <c r="E49" s="20"/>
      <c r="F49" s="20"/>
      <c r="G49" s="21"/>
      <c r="H49" s="32">
        <v>1</v>
      </c>
      <c r="I49" s="33">
        <v>1993.51</v>
      </c>
      <c r="J49" s="34">
        <v>20</v>
      </c>
      <c r="K49" s="33">
        <f t="shared" ref="K49" si="18">ROUND(I49*0.2*H49,2)</f>
        <v>398.7</v>
      </c>
      <c r="L49" s="33">
        <f t="shared" ref="L49" si="19">ROUND(K49*0.2409,2)</f>
        <v>96.05</v>
      </c>
      <c r="M49" s="35">
        <f t="shared" ref="M49" si="20">K49+L49</f>
        <v>494.75</v>
      </c>
      <c r="N49" s="19"/>
      <c r="O49" s="20"/>
      <c r="P49" s="20"/>
      <c r="Q49" s="20"/>
      <c r="R49" s="20"/>
      <c r="S49" s="21"/>
    </row>
    <row r="50" spans="1:19" x14ac:dyDescent="0.25">
      <c r="A50" s="18" t="s">
        <v>1</v>
      </c>
      <c r="B50" s="19"/>
      <c r="C50" s="20"/>
      <c r="D50" s="20"/>
      <c r="E50" s="20"/>
      <c r="F50" s="20"/>
      <c r="G50" s="21"/>
      <c r="H50" s="19"/>
      <c r="I50" s="20"/>
      <c r="J50" s="20"/>
      <c r="K50" s="20"/>
      <c r="L50" s="20"/>
      <c r="M50" s="21"/>
      <c r="N50" s="19"/>
      <c r="O50" s="20"/>
      <c r="P50" s="20"/>
      <c r="Q50" s="20"/>
      <c r="R50" s="20"/>
      <c r="S50" s="21"/>
    </row>
    <row r="51" spans="1:19" ht="64.5" customHeight="1" x14ac:dyDescent="0.25">
      <c r="A51" s="18" t="s">
        <v>13</v>
      </c>
      <c r="B51" s="19"/>
      <c r="C51" s="20"/>
      <c r="D51" s="20"/>
      <c r="E51" s="20"/>
      <c r="F51" s="20"/>
      <c r="G51" s="21"/>
      <c r="H51" s="19"/>
      <c r="I51" s="20"/>
      <c r="J51" s="20"/>
      <c r="K51" s="20"/>
      <c r="L51" s="20"/>
      <c r="M51" s="21"/>
      <c r="N51" s="19"/>
      <c r="O51" s="20"/>
      <c r="P51" s="20"/>
      <c r="Q51" s="20"/>
      <c r="R51" s="20"/>
      <c r="S51" s="21"/>
    </row>
    <row r="52" spans="1:19" x14ac:dyDescent="0.25">
      <c r="A52" s="18" t="s">
        <v>1</v>
      </c>
      <c r="B52" s="19"/>
      <c r="C52" s="20"/>
      <c r="D52" s="20"/>
      <c r="E52" s="20"/>
      <c r="F52" s="20"/>
      <c r="G52" s="21"/>
      <c r="H52" s="19"/>
      <c r="I52" s="20"/>
      <c r="J52" s="20"/>
      <c r="K52" s="20"/>
      <c r="L52" s="20"/>
      <c r="M52" s="21"/>
      <c r="N52" s="19"/>
      <c r="O52" s="20"/>
      <c r="P52" s="20"/>
      <c r="Q52" s="20"/>
      <c r="R52" s="20"/>
      <c r="S52" s="21"/>
    </row>
    <row r="53" spans="1:19" x14ac:dyDescent="0.25">
      <c r="A53" s="18" t="s">
        <v>1</v>
      </c>
      <c r="B53" s="19"/>
      <c r="C53" s="20"/>
      <c r="D53" s="20"/>
      <c r="E53" s="20"/>
      <c r="F53" s="20"/>
      <c r="G53" s="21"/>
      <c r="H53" s="19"/>
      <c r="I53" s="20"/>
      <c r="J53" s="20"/>
      <c r="K53" s="20"/>
      <c r="L53" s="20"/>
      <c r="M53" s="21"/>
      <c r="N53" s="19"/>
      <c r="O53" s="20"/>
      <c r="P53" s="20"/>
      <c r="Q53" s="20"/>
      <c r="R53" s="20"/>
      <c r="S53" s="21"/>
    </row>
    <row r="54" spans="1:19" ht="37.5" customHeight="1" x14ac:dyDescent="0.25">
      <c r="A54" s="18" t="s">
        <v>11</v>
      </c>
      <c r="B54" s="19"/>
      <c r="C54" s="20"/>
      <c r="D54" s="20"/>
      <c r="E54" s="20"/>
      <c r="F54" s="20"/>
      <c r="G54" s="21"/>
      <c r="H54" s="19"/>
      <c r="I54" s="20"/>
      <c r="J54" s="20"/>
      <c r="K54" s="20"/>
      <c r="L54" s="20"/>
      <c r="M54" s="21"/>
      <c r="N54" s="19"/>
      <c r="O54" s="20"/>
      <c r="P54" s="20"/>
      <c r="Q54" s="20"/>
      <c r="R54" s="20"/>
      <c r="S54" s="21"/>
    </row>
    <row r="55" spans="1:19" x14ac:dyDescent="0.25">
      <c r="A55" s="18" t="s">
        <v>1</v>
      </c>
      <c r="B55" s="19"/>
      <c r="C55" s="20"/>
      <c r="D55" s="20"/>
      <c r="E55" s="20"/>
      <c r="F55" s="20"/>
      <c r="G55" s="21"/>
      <c r="H55" s="19"/>
      <c r="I55" s="20"/>
      <c r="J55" s="20"/>
      <c r="K55" s="20"/>
      <c r="L55" s="20"/>
      <c r="M55" s="21"/>
      <c r="N55" s="19"/>
      <c r="O55" s="20"/>
      <c r="P55" s="20"/>
      <c r="Q55" s="20"/>
      <c r="R55" s="20"/>
      <c r="S55" s="21"/>
    </row>
    <row r="56" spans="1:19" ht="17.25" thickBot="1" x14ac:dyDescent="0.3">
      <c r="A56" s="18" t="s">
        <v>1</v>
      </c>
      <c r="B56" s="22"/>
      <c r="C56" s="23"/>
      <c r="D56" s="23"/>
      <c r="E56" s="23"/>
      <c r="F56" s="23"/>
      <c r="G56" s="24"/>
      <c r="H56" s="22"/>
      <c r="I56" s="23"/>
      <c r="J56" s="23"/>
      <c r="K56" s="23"/>
      <c r="L56" s="23"/>
      <c r="M56" s="24"/>
      <c r="N56" s="22"/>
      <c r="O56" s="23"/>
      <c r="P56" s="23"/>
      <c r="Q56" s="23"/>
      <c r="R56" s="23"/>
      <c r="S56" s="24"/>
    </row>
    <row r="58" spans="1:19" ht="21" customHeight="1" x14ac:dyDescent="0.25">
      <c r="A58" s="901" t="s">
        <v>33</v>
      </c>
      <c r="B58" s="901"/>
      <c r="C58" s="901"/>
      <c r="D58" s="901"/>
      <c r="E58" s="901"/>
      <c r="F58" s="901"/>
      <c r="G58" s="901"/>
      <c r="H58" s="901"/>
      <c r="I58" s="901"/>
      <c r="J58" s="901"/>
      <c r="K58" s="901"/>
      <c r="L58" s="901"/>
      <c r="M58" s="901"/>
      <c r="N58" s="901"/>
      <c r="O58" s="901"/>
      <c r="P58" s="901"/>
      <c r="Q58" s="901"/>
      <c r="R58" s="901"/>
      <c r="S58" s="25"/>
    </row>
    <row r="61" spans="1:19" ht="18" customHeight="1" x14ac:dyDescent="0.25"/>
  </sheetData>
  <mergeCells count="6">
    <mergeCell ref="A58:R58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S40"/>
  <sheetViews>
    <sheetView zoomScale="70" zoomScaleNormal="70" workbookViewId="0">
      <selection activeCell="F143" sqref="F143"/>
    </sheetView>
  </sheetViews>
  <sheetFormatPr defaultColWidth="9.140625" defaultRowHeight="16.5" x14ac:dyDescent="0.25"/>
  <cols>
    <col min="1" max="1" width="42.7109375" style="2" customWidth="1"/>
    <col min="2" max="2" width="14" style="2" customWidth="1"/>
    <col min="3" max="3" width="16" style="2" customWidth="1"/>
    <col min="4" max="19" width="14" style="2" customWidth="1"/>
    <col min="20" max="20" width="15.85546875" style="2" customWidth="1"/>
    <col min="21" max="16384" width="9.140625" style="2"/>
  </cols>
  <sheetData>
    <row r="2" spans="1:19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19" x14ac:dyDescent="0.25">
      <c r="A4" s="2" t="s">
        <v>748</v>
      </c>
    </row>
    <row r="5" spans="1:19" ht="17.25" thickBot="1" x14ac:dyDescent="0.3"/>
    <row r="6" spans="1:19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908" t="s">
        <v>4</v>
      </c>
      <c r="I6" s="909"/>
      <c r="J6" s="909"/>
      <c r="K6" s="909"/>
      <c r="L6" s="909"/>
      <c r="M6" s="910"/>
      <c r="N6" s="857" t="s">
        <v>5</v>
      </c>
      <c r="O6" s="858"/>
      <c r="P6" s="858"/>
      <c r="Q6" s="858"/>
      <c r="R6" s="858"/>
      <c r="S6" s="859"/>
    </row>
    <row r="7" spans="1:19" ht="104.25" customHeight="1" x14ac:dyDescent="0.25">
      <c r="A7" s="907"/>
      <c r="B7" s="3" t="s">
        <v>27</v>
      </c>
      <c r="C7" s="412" t="s">
        <v>10</v>
      </c>
      <c r="D7" s="412" t="s">
        <v>6</v>
      </c>
      <c r="E7" s="412" t="s">
        <v>7</v>
      </c>
      <c r="F7" s="412" t="s">
        <v>8</v>
      </c>
      <c r="G7" s="426" t="s">
        <v>9</v>
      </c>
      <c r="H7" s="3" t="s">
        <v>28</v>
      </c>
      <c r="I7" s="412" t="s">
        <v>10</v>
      </c>
      <c r="J7" s="412" t="s">
        <v>6</v>
      </c>
      <c r="K7" s="412" t="s">
        <v>7</v>
      </c>
      <c r="L7" s="412" t="s">
        <v>8</v>
      </c>
      <c r="M7" s="426" t="s">
        <v>9</v>
      </c>
      <c r="N7" s="3" t="s">
        <v>28</v>
      </c>
      <c r="O7" s="412" t="s">
        <v>10</v>
      </c>
      <c r="P7" s="412" t="s">
        <v>6</v>
      </c>
      <c r="Q7" s="412" t="s">
        <v>7</v>
      </c>
      <c r="R7" s="412" t="s">
        <v>8</v>
      </c>
      <c r="S7" s="426" t="s">
        <v>9</v>
      </c>
    </row>
    <row r="8" spans="1:19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19" s="1" customFormat="1" ht="26.25" customHeight="1" x14ac:dyDescent="0.25">
      <c r="A9" s="10" t="s">
        <v>0</v>
      </c>
      <c r="B9" s="11"/>
      <c r="C9" s="12"/>
      <c r="D9" s="12"/>
      <c r="E9" s="12"/>
      <c r="F9" s="12"/>
      <c r="G9" s="13"/>
      <c r="H9" s="12">
        <f t="shared" ref="H9:J9" si="0">H10</f>
        <v>0.90303999999999995</v>
      </c>
      <c r="I9" s="12">
        <f t="shared" si="0"/>
        <v>0</v>
      </c>
      <c r="J9" s="12">
        <f t="shared" si="0"/>
        <v>0</v>
      </c>
      <c r="K9" s="12">
        <f>K10</f>
        <v>203.70738392000001</v>
      </c>
      <c r="L9" s="12">
        <f t="shared" ref="L9:M9" si="1">L10</f>
        <v>49.073108786328007</v>
      </c>
      <c r="M9" s="12">
        <f t="shared" si="1"/>
        <v>252.780492706328</v>
      </c>
      <c r="N9" s="11"/>
      <c r="O9" s="12"/>
      <c r="P9" s="12"/>
      <c r="Q9" s="12"/>
      <c r="R9" s="12"/>
      <c r="S9" s="13"/>
    </row>
    <row r="10" spans="1:19" s="1" customFormat="1" ht="21.75" customHeight="1" x14ac:dyDescent="0.25">
      <c r="A10" s="14" t="s">
        <v>3</v>
      </c>
      <c r="B10" s="15"/>
      <c r="C10" s="16"/>
      <c r="D10" s="16"/>
      <c r="E10" s="16"/>
      <c r="F10" s="16"/>
      <c r="G10" s="17"/>
      <c r="H10" s="16">
        <f t="shared" ref="H10:J10" si="2">H11+H14+H17</f>
        <v>0.90303999999999995</v>
      </c>
      <c r="I10" s="16">
        <f t="shared" si="2"/>
        <v>0</v>
      </c>
      <c r="J10" s="16">
        <f t="shared" si="2"/>
        <v>0</v>
      </c>
      <c r="K10" s="16">
        <f>K11+K14+K17</f>
        <v>203.70738392000001</v>
      </c>
      <c r="L10" s="16">
        <f>L11+L14+L17</f>
        <v>49.073108786328007</v>
      </c>
      <c r="M10" s="17">
        <f>M11+M14+M17</f>
        <v>252.780492706328</v>
      </c>
      <c r="N10" s="15"/>
      <c r="O10" s="16"/>
      <c r="P10" s="16"/>
      <c r="Q10" s="16"/>
      <c r="R10" s="16"/>
      <c r="S10" s="17"/>
    </row>
    <row r="11" spans="1:19" ht="37.5" customHeight="1" x14ac:dyDescent="0.25">
      <c r="A11" s="18" t="s">
        <v>14</v>
      </c>
      <c r="B11" s="19"/>
      <c r="C11" s="20"/>
      <c r="D11" s="20"/>
      <c r="E11" s="20"/>
      <c r="F11" s="20"/>
      <c r="G11" s="21"/>
      <c r="H11" s="19">
        <f>H12</f>
        <v>5.7700000000000001E-2</v>
      </c>
      <c r="I11" s="20"/>
      <c r="J11" s="20"/>
      <c r="K11" s="20">
        <f>K12</f>
        <v>21.259911200000001</v>
      </c>
      <c r="L11" s="20">
        <f>L12</f>
        <v>5.1215126080800006</v>
      </c>
      <c r="M11" s="21">
        <f>L11+K11</f>
        <v>26.381423808080001</v>
      </c>
      <c r="N11" s="19"/>
      <c r="O11" s="20"/>
      <c r="P11" s="20"/>
      <c r="Q11" s="20"/>
      <c r="R11" s="20"/>
      <c r="S11" s="21"/>
    </row>
    <row r="12" spans="1:19" ht="18.75" customHeight="1" x14ac:dyDescent="0.25">
      <c r="A12" s="18" t="s">
        <v>80</v>
      </c>
      <c r="B12" s="19"/>
      <c r="C12" s="20"/>
      <c r="D12" s="20"/>
      <c r="E12" s="20"/>
      <c r="F12" s="20"/>
      <c r="G12" s="21"/>
      <c r="H12" s="19">
        <v>5.7700000000000001E-2</v>
      </c>
      <c r="I12" s="20">
        <v>1842.28</v>
      </c>
      <c r="J12" s="20">
        <v>20</v>
      </c>
      <c r="K12" s="20">
        <f>H12*I12*0.2</f>
        <v>21.259911200000001</v>
      </c>
      <c r="L12" s="20">
        <f>K12*0.2409</f>
        <v>5.1215126080800006</v>
      </c>
      <c r="M12" s="21">
        <f>K12+L12</f>
        <v>26.381423808080001</v>
      </c>
      <c r="N12" s="19"/>
      <c r="O12" s="20"/>
      <c r="P12" s="20"/>
      <c r="Q12" s="20"/>
      <c r="R12" s="20"/>
      <c r="S12" s="21"/>
    </row>
    <row r="13" spans="1:19" ht="19.5" customHeight="1" x14ac:dyDescent="0.25">
      <c r="A13" s="18" t="s">
        <v>1</v>
      </c>
      <c r="B13" s="19"/>
      <c r="C13" s="20"/>
      <c r="D13" s="20"/>
      <c r="E13" s="20"/>
      <c r="F13" s="20"/>
      <c r="G13" s="21"/>
      <c r="H13" s="19"/>
      <c r="I13" s="20"/>
      <c r="J13" s="20"/>
      <c r="K13" s="20"/>
      <c r="L13" s="20"/>
      <c r="M13" s="21"/>
      <c r="N13" s="19"/>
      <c r="O13" s="20"/>
      <c r="P13" s="20"/>
      <c r="Q13" s="20"/>
      <c r="R13" s="20"/>
      <c r="S13" s="21"/>
    </row>
    <row r="14" spans="1:19" ht="49.5" customHeight="1" x14ac:dyDescent="0.25">
      <c r="A14" s="18" t="s">
        <v>12</v>
      </c>
      <c r="B14" s="19"/>
      <c r="C14" s="20"/>
      <c r="D14" s="20"/>
      <c r="E14" s="20"/>
      <c r="F14" s="20"/>
      <c r="G14" s="21"/>
      <c r="H14" s="19">
        <f>SUM(H15:H16)</f>
        <v>0.79147000000000001</v>
      </c>
      <c r="I14" s="20"/>
      <c r="J14" s="20"/>
      <c r="K14" s="20">
        <f>SUM(K15:K16)</f>
        <v>175.07316400000002</v>
      </c>
      <c r="L14" s="20">
        <f>SUM(L15:L16)</f>
        <v>42.175125207600004</v>
      </c>
      <c r="M14" s="21">
        <f>M15+M16</f>
        <v>217.24828920760001</v>
      </c>
      <c r="N14" s="19"/>
      <c r="O14" s="20"/>
      <c r="P14" s="20"/>
      <c r="Q14" s="20"/>
      <c r="R14" s="20"/>
      <c r="S14" s="21"/>
    </row>
    <row r="15" spans="1:19" x14ac:dyDescent="0.25">
      <c r="A15" s="18" t="s">
        <v>24</v>
      </c>
      <c r="B15" s="19"/>
      <c r="C15" s="20"/>
      <c r="D15" s="20"/>
      <c r="E15" s="20"/>
      <c r="F15" s="20"/>
      <c r="G15" s="21"/>
      <c r="H15" s="19">
        <v>0.18776999999999999</v>
      </c>
      <c r="I15" s="20">
        <v>1106</v>
      </c>
      <c r="J15" s="20">
        <v>20</v>
      </c>
      <c r="K15" s="20">
        <f>H15*I15*0.2</f>
        <v>41.534724000000004</v>
      </c>
      <c r="L15" s="20">
        <f>K15*0.2409</f>
        <v>10.005715011600001</v>
      </c>
      <c r="M15" s="21">
        <f>K15+L15</f>
        <v>51.540439011600007</v>
      </c>
      <c r="N15" s="19"/>
      <c r="O15" s="20"/>
      <c r="P15" s="20"/>
      <c r="Q15" s="20"/>
      <c r="R15" s="20"/>
      <c r="S15" s="21"/>
    </row>
    <row r="16" spans="1:19" x14ac:dyDescent="0.25">
      <c r="A16" s="18" t="s">
        <v>83</v>
      </c>
      <c r="B16" s="19"/>
      <c r="C16" s="20"/>
      <c r="D16" s="20"/>
      <c r="E16" s="20"/>
      <c r="F16" s="20"/>
      <c r="G16" s="21"/>
      <c r="H16" s="19">
        <v>0.60370000000000001</v>
      </c>
      <c r="I16" s="20">
        <v>1106</v>
      </c>
      <c r="J16" s="20">
        <v>20</v>
      </c>
      <c r="K16" s="20">
        <f>H16*I16*0.2</f>
        <v>133.53844000000001</v>
      </c>
      <c r="L16" s="20">
        <f>K16*0.2409</f>
        <v>32.169410196000001</v>
      </c>
      <c r="M16" s="21">
        <f>K16+L16</f>
        <v>165.70785019600001</v>
      </c>
      <c r="N16" s="19"/>
      <c r="O16" s="20"/>
      <c r="P16" s="20"/>
      <c r="Q16" s="20"/>
      <c r="R16" s="20"/>
      <c r="S16" s="21"/>
    </row>
    <row r="17" spans="1:19" ht="57" customHeight="1" x14ac:dyDescent="0.25">
      <c r="A17" s="18" t="s">
        <v>13</v>
      </c>
      <c r="B17" s="19"/>
      <c r="C17" s="20"/>
      <c r="D17" s="20"/>
      <c r="E17" s="20"/>
      <c r="F17" s="20"/>
      <c r="G17" s="21"/>
      <c r="H17" s="19">
        <f>SUM(H18:H19)</f>
        <v>5.3870000000000001E-2</v>
      </c>
      <c r="I17" s="20"/>
      <c r="J17" s="20"/>
      <c r="K17" s="20">
        <f>SUM(K18:K19)</f>
        <v>7.3743087200000002</v>
      </c>
      <c r="L17" s="20">
        <f>SUM(L18:L19)</f>
        <v>1.776470970648</v>
      </c>
      <c r="M17" s="21">
        <f>M18+M19</f>
        <v>9.1507796906479992</v>
      </c>
      <c r="N17" s="19"/>
      <c r="O17" s="20"/>
      <c r="P17" s="20"/>
      <c r="Q17" s="20"/>
      <c r="R17" s="20"/>
      <c r="S17" s="21"/>
    </row>
    <row r="18" spans="1:19" x14ac:dyDescent="0.25">
      <c r="A18" s="18" t="s">
        <v>25</v>
      </c>
      <c r="B18" s="19"/>
      <c r="C18" s="20"/>
      <c r="D18" s="20"/>
      <c r="E18" s="20"/>
      <c r="F18" s="20"/>
      <c r="G18" s="21"/>
      <c r="H18" s="19">
        <v>1.9E-2</v>
      </c>
      <c r="I18" s="20">
        <v>589.34</v>
      </c>
      <c r="J18" s="20">
        <v>20</v>
      </c>
      <c r="K18" s="20">
        <f>H18*I18*0.2</f>
        <v>2.2394919999999998</v>
      </c>
      <c r="L18" s="20">
        <f>K18*0.2409</f>
        <v>0.53949362280000002</v>
      </c>
      <c r="M18" s="21">
        <f>K18+L18</f>
        <v>2.7789856227999996</v>
      </c>
      <c r="N18" s="19"/>
      <c r="O18" s="20"/>
      <c r="P18" s="20"/>
      <c r="Q18" s="20"/>
      <c r="R18" s="20"/>
      <c r="S18" s="21"/>
    </row>
    <row r="19" spans="1:19" x14ac:dyDescent="0.25">
      <c r="A19" s="18" t="s">
        <v>25</v>
      </c>
      <c r="B19" s="19"/>
      <c r="C19" s="20"/>
      <c r="D19" s="20"/>
      <c r="E19" s="20"/>
      <c r="F19" s="20"/>
      <c r="G19" s="21"/>
      <c r="H19" s="19">
        <v>3.4869999999999998E-2</v>
      </c>
      <c r="I19" s="20">
        <v>736.28</v>
      </c>
      <c r="J19" s="20">
        <v>20</v>
      </c>
      <c r="K19" s="20">
        <f>H19*I19*0.2</f>
        <v>5.1348167199999999</v>
      </c>
      <c r="L19" s="20">
        <f>K19*0.2409</f>
        <v>1.236977347848</v>
      </c>
      <c r="M19" s="21">
        <f>K19+L19</f>
        <v>6.3717940678479996</v>
      </c>
      <c r="N19" s="19"/>
      <c r="O19" s="20"/>
      <c r="P19" s="20"/>
      <c r="Q19" s="20"/>
      <c r="R19" s="20"/>
      <c r="S19" s="21"/>
    </row>
    <row r="20" spans="1:19" ht="36" customHeight="1" x14ac:dyDescent="0.25">
      <c r="A20" s="18" t="s">
        <v>11</v>
      </c>
      <c r="B20" s="19"/>
      <c r="C20" s="20"/>
      <c r="D20" s="20"/>
      <c r="E20" s="20"/>
      <c r="F20" s="20"/>
      <c r="G20" s="21"/>
      <c r="H20" s="19"/>
      <c r="I20" s="20"/>
      <c r="J20" s="20"/>
      <c r="K20" s="20"/>
      <c r="L20" s="20"/>
      <c r="M20" s="21"/>
      <c r="N20" s="19"/>
      <c r="O20" s="20"/>
      <c r="P20" s="20"/>
      <c r="Q20" s="20"/>
      <c r="R20" s="20"/>
      <c r="S20" s="21"/>
    </row>
    <row r="21" spans="1:19" x14ac:dyDescent="0.25">
      <c r="A21" s="18" t="s">
        <v>1</v>
      </c>
      <c r="B21" s="19"/>
      <c r="C21" s="20"/>
      <c r="D21" s="20"/>
      <c r="E21" s="20"/>
      <c r="F21" s="20"/>
      <c r="G21" s="21"/>
      <c r="H21" s="19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1"/>
    </row>
    <row r="22" spans="1:19" x14ac:dyDescent="0.25">
      <c r="A22" s="18" t="s">
        <v>1</v>
      </c>
      <c r="B22" s="19"/>
      <c r="C22" s="20"/>
      <c r="D22" s="20"/>
      <c r="E22" s="20"/>
      <c r="F22" s="20"/>
      <c r="G22" s="21"/>
      <c r="H22" s="19"/>
      <c r="I22" s="20"/>
      <c r="J22" s="20"/>
      <c r="K22" s="20"/>
      <c r="L22" s="20"/>
      <c r="M22" s="21"/>
      <c r="N22" s="19"/>
      <c r="O22" s="20"/>
      <c r="P22" s="20"/>
      <c r="Q22" s="20"/>
      <c r="R22" s="20"/>
      <c r="S22" s="21"/>
    </row>
    <row r="23" spans="1:19" s="1" customFormat="1" ht="24" customHeight="1" x14ac:dyDescent="0.25">
      <c r="A23" s="14" t="s">
        <v>3</v>
      </c>
      <c r="B23" s="15"/>
      <c r="C23" s="16"/>
      <c r="D23" s="16"/>
      <c r="E23" s="16"/>
      <c r="F23" s="16"/>
      <c r="G23" s="17"/>
      <c r="H23" s="15"/>
      <c r="I23" s="16"/>
      <c r="J23" s="16"/>
      <c r="K23" s="16"/>
      <c r="L23" s="16"/>
      <c r="M23" s="17"/>
      <c r="N23" s="15"/>
      <c r="O23" s="16"/>
      <c r="P23" s="16"/>
      <c r="Q23" s="16"/>
      <c r="R23" s="16"/>
      <c r="S23" s="17"/>
    </row>
    <row r="24" spans="1:19" ht="37.5" customHeight="1" x14ac:dyDescent="0.25">
      <c r="A24" s="18" t="s">
        <v>14</v>
      </c>
      <c r="B24" s="19"/>
      <c r="C24" s="20"/>
      <c r="D24" s="20"/>
      <c r="E24" s="20"/>
      <c r="F24" s="20"/>
      <c r="G24" s="21"/>
      <c r="H24" s="19"/>
      <c r="I24" s="20"/>
      <c r="J24" s="20"/>
      <c r="K24" s="20"/>
      <c r="L24" s="20"/>
      <c r="M24" s="21"/>
      <c r="N24" s="19"/>
      <c r="O24" s="20"/>
      <c r="P24" s="20"/>
      <c r="Q24" s="20"/>
      <c r="R24" s="20"/>
      <c r="S24" s="21"/>
    </row>
    <row r="25" spans="1:19" ht="18.75" customHeight="1" x14ac:dyDescent="0.25">
      <c r="A25" s="18" t="s">
        <v>1</v>
      </c>
      <c r="B25" s="19"/>
      <c r="C25" s="20"/>
      <c r="D25" s="20"/>
      <c r="E25" s="20"/>
      <c r="F25" s="20"/>
      <c r="G25" s="21"/>
      <c r="H25" s="19"/>
      <c r="I25" s="20"/>
      <c r="J25" s="20"/>
      <c r="K25" s="20"/>
      <c r="L25" s="20"/>
      <c r="M25" s="21"/>
      <c r="N25" s="19"/>
      <c r="O25" s="20"/>
      <c r="P25" s="20"/>
      <c r="Q25" s="20"/>
      <c r="R25" s="20"/>
      <c r="S25" s="21"/>
    </row>
    <row r="26" spans="1:19" ht="19.5" customHeight="1" x14ac:dyDescent="0.25">
      <c r="A26" s="18" t="s">
        <v>1</v>
      </c>
      <c r="B26" s="19"/>
      <c r="C26" s="20"/>
      <c r="D26" s="20"/>
      <c r="E26" s="20"/>
      <c r="F26" s="20"/>
      <c r="G26" s="21"/>
      <c r="H26" s="19"/>
      <c r="I26" s="20"/>
      <c r="J26" s="20"/>
      <c r="K26" s="20"/>
      <c r="L26" s="20"/>
      <c r="M26" s="21"/>
      <c r="N26" s="19"/>
      <c r="O26" s="20"/>
      <c r="P26" s="20"/>
      <c r="Q26" s="20"/>
      <c r="R26" s="20"/>
      <c r="S26" s="21"/>
    </row>
    <row r="27" spans="1:19" ht="49.5" customHeight="1" x14ac:dyDescent="0.25">
      <c r="A27" s="18" t="s">
        <v>12</v>
      </c>
      <c r="B27" s="19"/>
      <c r="C27" s="20"/>
      <c r="D27" s="20"/>
      <c r="E27" s="20"/>
      <c r="F27" s="20"/>
      <c r="G27" s="21"/>
      <c r="H27" s="19"/>
      <c r="I27" s="20"/>
      <c r="J27" s="20"/>
      <c r="K27" s="20"/>
      <c r="L27" s="20"/>
      <c r="M27" s="21"/>
      <c r="N27" s="19"/>
      <c r="O27" s="20"/>
      <c r="P27" s="20"/>
      <c r="Q27" s="20"/>
      <c r="R27" s="20"/>
      <c r="S27" s="21"/>
    </row>
    <row r="28" spans="1:19" x14ac:dyDescent="0.25">
      <c r="A28" s="18" t="s">
        <v>1</v>
      </c>
      <c r="B28" s="19"/>
      <c r="C28" s="20"/>
      <c r="D28" s="20"/>
      <c r="E28" s="20"/>
      <c r="F28" s="20"/>
      <c r="G28" s="21"/>
      <c r="H28" s="19"/>
      <c r="I28" s="20"/>
      <c r="J28" s="20"/>
      <c r="K28" s="20"/>
      <c r="L28" s="20"/>
      <c r="M28" s="21"/>
      <c r="N28" s="19"/>
      <c r="O28" s="20"/>
      <c r="P28" s="20"/>
      <c r="Q28" s="20"/>
      <c r="R28" s="20"/>
      <c r="S28" s="21"/>
    </row>
    <row r="29" spans="1:19" x14ac:dyDescent="0.25">
      <c r="A29" s="18" t="s">
        <v>1</v>
      </c>
      <c r="B29" s="19"/>
      <c r="C29" s="20"/>
      <c r="D29" s="20"/>
      <c r="E29" s="20"/>
      <c r="F29" s="20"/>
      <c r="G29" s="21"/>
      <c r="H29" s="19"/>
      <c r="I29" s="20"/>
      <c r="J29" s="20"/>
      <c r="K29" s="20"/>
      <c r="L29" s="20"/>
      <c r="M29" s="21"/>
      <c r="N29" s="19"/>
      <c r="O29" s="20"/>
      <c r="P29" s="20"/>
      <c r="Q29" s="20"/>
      <c r="R29" s="20"/>
      <c r="S29" s="21"/>
    </row>
    <row r="30" spans="1:19" ht="64.5" customHeight="1" x14ac:dyDescent="0.25">
      <c r="A30" s="18" t="s">
        <v>13</v>
      </c>
      <c r="B30" s="19"/>
      <c r="C30" s="20"/>
      <c r="D30" s="20"/>
      <c r="E30" s="20"/>
      <c r="F30" s="20"/>
      <c r="G30" s="21"/>
      <c r="H30" s="19"/>
      <c r="I30" s="20"/>
      <c r="J30" s="20"/>
      <c r="K30" s="20"/>
      <c r="L30" s="20"/>
      <c r="M30" s="21"/>
      <c r="N30" s="19"/>
      <c r="O30" s="20"/>
      <c r="P30" s="20"/>
      <c r="Q30" s="20"/>
      <c r="R30" s="20"/>
      <c r="S30" s="21"/>
    </row>
    <row r="31" spans="1:19" x14ac:dyDescent="0.25">
      <c r="A31" s="18" t="s">
        <v>1</v>
      </c>
      <c r="B31" s="19"/>
      <c r="C31" s="20"/>
      <c r="D31" s="20"/>
      <c r="E31" s="20"/>
      <c r="F31" s="20"/>
      <c r="G31" s="21"/>
      <c r="H31" s="19"/>
      <c r="I31" s="20"/>
      <c r="J31" s="20"/>
      <c r="K31" s="20"/>
      <c r="L31" s="20"/>
      <c r="M31" s="21"/>
      <c r="N31" s="19"/>
      <c r="O31" s="20"/>
      <c r="P31" s="20"/>
      <c r="Q31" s="20"/>
      <c r="R31" s="20"/>
      <c r="S31" s="21"/>
    </row>
    <row r="32" spans="1:19" x14ac:dyDescent="0.25">
      <c r="A32" s="18" t="s">
        <v>1</v>
      </c>
      <c r="B32" s="19"/>
      <c r="C32" s="20"/>
      <c r="D32" s="20"/>
      <c r="E32" s="20"/>
      <c r="F32" s="20"/>
      <c r="G32" s="21"/>
      <c r="H32" s="19"/>
      <c r="I32" s="20"/>
      <c r="J32" s="20"/>
      <c r="K32" s="20"/>
      <c r="L32" s="20"/>
      <c r="M32" s="21"/>
      <c r="N32" s="19"/>
      <c r="O32" s="20"/>
      <c r="P32" s="20"/>
      <c r="Q32" s="20"/>
      <c r="R32" s="20"/>
      <c r="S32" s="21"/>
    </row>
    <row r="33" spans="1:19" ht="37.5" customHeight="1" x14ac:dyDescent="0.25">
      <c r="A33" s="18" t="s">
        <v>11</v>
      </c>
      <c r="B33" s="19"/>
      <c r="C33" s="20"/>
      <c r="D33" s="20"/>
      <c r="E33" s="20"/>
      <c r="F33" s="20"/>
      <c r="G33" s="21"/>
      <c r="H33" s="19"/>
      <c r="I33" s="20"/>
      <c r="J33" s="20"/>
      <c r="K33" s="20"/>
      <c r="L33" s="20"/>
      <c r="M33" s="21"/>
      <c r="N33" s="19"/>
      <c r="O33" s="20"/>
      <c r="P33" s="20"/>
      <c r="Q33" s="20"/>
      <c r="R33" s="20"/>
      <c r="S33" s="21"/>
    </row>
    <row r="34" spans="1:19" x14ac:dyDescent="0.25">
      <c r="A34" s="18" t="s">
        <v>1</v>
      </c>
      <c r="B34" s="19"/>
      <c r="C34" s="20"/>
      <c r="D34" s="20"/>
      <c r="E34" s="20"/>
      <c r="F34" s="20"/>
      <c r="G34" s="21"/>
      <c r="H34" s="19"/>
      <c r="I34" s="20"/>
      <c r="J34" s="20"/>
      <c r="K34" s="20"/>
      <c r="L34" s="20"/>
      <c r="M34" s="21"/>
      <c r="N34" s="19"/>
      <c r="O34" s="20"/>
      <c r="P34" s="20"/>
      <c r="Q34" s="20"/>
      <c r="R34" s="20"/>
      <c r="S34" s="21"/>
    </row>
    <row r="35" spans="1:19" ht="17.25" thickBot="1" x14ac:dyDescent="0.3">
      <c r="A35" s="18" t="s">
        <v>1</v>
      </c>
      <c r="B35" s="22"/>
      <c r="C35" s="23"/>
      <c r="D35" s="23"/>
      <c r="E35" s="23"/>
      <c r="F35" s="23"/>
      <c r="G35" s="24"/>
      <c r="H35" s="22"/>
      <c r="I35" s="23"/>
      <c r="J35" s="23"/>
      <c r="K35" s="23"/>
      <c r="L35" s="23"/>
      <c r="M35" s="24"/>
      <c r="N35" s="22"/>
      <c r="O35" s="23"/>
      <c r="P35" s="23"/>
      <c r="Q35" s="23"/>
      <c r="R35" s="23"/>
      <c r="S35" s="24"/>
    </row>
    <row r="37" spans="1:19" ht="21" customHeight="1" x14ac:dyDescent="0.25">
      <c r="A37" s="901" t="s">
        <v>33</v>
      </c>
      <c r="B37" s="901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25"/>
    </row>
    <row r="40" spans="1:19" ht="18" customHeight="1" x14ac:dyDescent="0.25"/>
  </sheetData>
  <mergeCells count="6">
    <mergeCell ref="A37:R37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U93"/>
  <sheetViews>
    <sheetView topLeftCell="B1" zoomScale="70" zoomScaleNormal="70" workbookViewId="0">
      <selection activeCell="K14" sqref="K14"/>
    </sheetView>
  </sheetViews>
  <sheetFormatPr defaultRowHeight="16.5" x14ac:dyDescent="0.25"/>
  <cols>
    <col min="1" max="1" width="42.7109375" style="2" customWidth="1"/>
    <col min="2" max="2" width="12.5703125" style="2" customWidth="1"/>
    <col min="3" max="3" width="14.5703125" style="2" customWidth="1"/>
    <col min="4" max="4" width="13.28515625" style="2" customWidth="1"/>
    <col min="5" max="6" width="12.7109375" style="2" customWidth="1"/>
    <col min="7" max="7" width="16" style="2" customWidth="1"/>
    <col min="8" max="13" width="14" style="2" customWidth="1"/>
    <col min="14" max="14" width="11.5703125" style="2" customWidth="1"/>
    <col min="15" max="15" width="14" style="2" customWidth="1"/>
    <col min="16" max="16" width="12" style="2" customWidth="1"/>
    <col min="17" max="17" width="11.42578125" style="2" customWidth="1"/>
    <col min="18" max="18" width="12.5703125" style="2" customWidth="1"/>
    <col min="19" max="19" width="12.140625" style="2" customWidth="1"/>
    <col min="20" max="20" width="17.5703125" style="2" customWidth="1"/>
    <col min="21" max="22" width="15.85546875" style="2" customWidth="1"/>
    <col min="23" max="16384" width="9.140625" style="2"/>
  </cols>
  <sheetData>
    <row r="2" spans="1:21" s="1" customFormat="1" ht="44.2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21" x14ac:dyDescent="0.25">
      <c r="A4" s="2" t="s">
        <v>235</v>
      </c>
    </row>
    <row r="5" spans="1:21" x14ac:dyDescent="0.25">
      <c r="A5" s="2" t="s">
        <v>236</v>
      </c>
    </row>
    <row r="6" spans="1:21" ht="17.25" thickBot="1" x14ac:dyDescent="0.3"/>
    <row r="7" spans="1:21" ht="24" customHeight="1" x14ac:dyDescent="0.25">
      <c r="A7" s="861"/>
      <c r="B7" s="857" t="s">
        <v>2</v>
      </c>
      <c r="C7" s="858"/>
      <c r="D7" s="858"/>
      <c r="E7" s="858"/>
      <c r="F7" s="858"/>
      <c r="G7" s="859"/>
      <c r="H7" s="911" t="s">
        <v>4</v>
      </c>
      <c r="I7" s="912"/>
      <c r="J7" s="912"/>
      <c r="K7" s="912"/>
      <c r="L7" s="912"/>
      <c r="M7" s="913"/>
      <c r="N7" s="857" t="s">
        <v>5</v>
      </c>
      <c r="O7" s="858"/>
      <c r="P7" s="858"/>
      <c r="Q7" s="858"/>
      <c r="R7" s="858"/>
      <c r="S7" s="859"/>
    </row>
    <row r="8" spans="1:21" ht="104.25" customHeight="1" x14ac:dyDescent="0.25">
      <c r="A8" s="862"/>
      <c r="B8" s="3" t="s">
        <v>28</v>
      </c>
      <c r="C8" s="4" t="s">
        <v>10</v>
      </c>
      <c r="D8" s="4" t="s">
        <v>6</v>
      </c>
      <c r="E8" s="4" t="s">
        <v>7</v>
      </c>
      <c r="F8" s="4" t="s">
        <v>8</v>
      </c>
      <c r="G8" s="5" t="s">
        <v>9</v>
      </c>
      <c r="H8" s="3" t="s">
        <v>28</v>
      </c>
      <c r="I8" s="4" t="s">
        <v>10</v>
      </c>
      <c r="J8" s="4" t="s">
        <v>6</v>
      </c>
      <c r="K8" s="4" t="s">
        <v>7</v>
      </c>
      <c r="L8" s="4" t="s">
        <v>8</v>
      </c>
      <c r="M8" s="5" t="s">
        <v>9</v>
      </c>
      <c r="N8" s="3" t="s">
        <v>28</v>
      </c>
      <c r="O8" s="4" t="s">
        <v>10</v>
      </c>
      <c r="P8" s="4" t="s">
        <v>6</v>
      </c>
      <c r="Q8" s="4" t="s">
        <v>7</v>
      </c>
      <c r="R8" s="4" t="s">
        <v>8</v>
      </c>
      <c r="S8" s="5" t="s">
        <v>9</v>
      </c>
    </row>
    <row r="9" spans="1:21" ht="13.5" customHeight="1" x14ac:dyDescent="0.25">
      <c r="A9" s="241"/>
      <c r="B9" s="7"/>
      <c r="C9" s="8"/>
      <c r="D9" s="8"/>
      <c r="E9" s="8"/>
      <c r="F9" s="8"/>
      <c r="G9" s="9"/>
      <c r="H9" s="7"/>
      <c r="I9" s="8"/>
      <c r="J9" s="8"/>
      <c r="K9" s="8"/>
      <c r="L9" s="8"/>
      <c r="M9" s="9"/>
      <c r="N9" s="7"/>
      <c r="O9" s="8"/>
      <c r="P9" s="8"/>
      <c r="Q9" s="8"/>
      <c r="R9" s="8"/>
      <c r="S9" s="9"/>
    </row>
    <row r="10" spans="1:21" s="1" customFormat="1" ht="26.25" customHeight="1" x14ac:dyDescent="0.25">
      <c r="A10" s="242" t="s">
        <v>0</v>
      </c>
      <c r="B10" s="524">
        <f>B11</f>
        <v>1</v>
      </c>
      <c r="C10" s="524"/>
      <c r="D10" s="524"/>
      <c r="E10" s="524">
        <f t="shared" ref="E10:G10" si="0">E11</f>
        <v>202.39</v>
      </c>
      <c r="F10" s="524">
        <f t="shared" si="0"/>
        <v>48.76</v>
      </c>
      <c r="G10" s="524">
        <f t="shared" si="0"/>
        <v>251.15</v>
      </c>
      <c r="H10" s="243">
        <f>H11+H67</f>
        <v>53.449367088607602</v>
      </c>
      <c r="I10" s="12"/>
      <c r="J10" s="12"/>
      <c r="K10" s="12">
        <f>K11+K67</f>
        <v>5227.29</v>
      </c>
      <c r="L10" s="12">
        <f>L11+L67</f>
        <v>1259.2737910000001</v>
      </c>
      <c r="M10" s="13">
        <f>K10+L10</f>
        <v>6486.5637910000005</v>
      </c>
      <c r="N10" s="11"/>
      <c r="O10" s="12"/>
      <c r="P10" s="12"/>
      <c r="Q10" s="12"/>
      <c r="R10" s="12"/>
      <c r="S10" s="13"/>
    </row>
    <row r="11" spans="1:21" s="1" customFormat="1" ht="21.75" customHeight="1" thickBot="1" x14ac:dyDescent="0.3">
      <c r="A11" s="244" t="s">
        <v>132</v>
      </c>
      <c r="B11" s="245">
        <f>SUM(B13:B66)</f>
        <v>1</v>
      </c>
      <c r="C11" s="245"/>
      <c r="D11" s="245"/>
      <c r="E11" s="245">
        <f t="shared" ref="E11:G11" si="1">SUM(E13:E66)</f>
        <v>202.39</v>
      </c>
      <c r="F11" s="245">
        <f t="shared" si="1"/>
        <v>48.76</v>
      </c>
      <c r="G11" s="245">
        <f t="shared" si="1"/>
        <v>251.15</v>
      </c>
      <c r="H11" s="246">
        <f>H12+H24+H36+H62</f>
        <v>41.405063291139243</v>
      </c>
      <c r="I11" s="245"/>
      <c r="J11" s="245"/>
      <c r="K11" s="245">
        <f>K12+K24+K36+K62</f>
        <v>3109.3</v>
      </c>
      <c r="L11" s="245">
        <f>L12+L24+L36+L62</f>
        <v>749.05000000000007</v>
      </c>
      <c r="M11" s="247">
        <f>K11+L11</f>
        <v>3858.3500000000004</v>
      </c>
      <c r="N11" s="248"/>
      <c r="O11" s="245"/>
      <c r="P11" s="245"/>
      <c r="Q11" s="245"/>
      <c r="R11" s="245"/>
      <c r="S11" s="247"/>
      <c r="T11" s="411"/>
    </row>
    <row r="12" spans="1:21" ht="55.5" customHeight="1" x14ac:dyDescent="0.25">
      <c r="A12" s="128" t="s">
        <v>14</v>
      </c>
      <c r="B12" s="130"/>
      <c r="C12" s="130"/>
      <c r="D12" s="130"/>
      <c r="E12" s="130"/>
      <c r="F12" s="130"/>
      <c r="G12" s="131"/>
      <c r="H12" s="249">
        <f>SUM(H13:H23)</f>
        <v>8.424050632911392</v>
      </c>
      <c r="I12" s="156"/>
      <c r="J12" s="156"/>
      <c r="K12" s="156">
        <f>SUM(K13:K23)</f>
        <v>648.67000000000007</v>
      </c>
      <c r="L12" s="156">
        <f>SUM(L13:L23)</f>
        <v>156.27000000000001</v>
      </c>
      <c r="M12" s="240">
        <f>SUM(K12:L12)</f>
        <v>804.94</v>
      </c>
      <c r="N12" s="155"/>
      <c r="O12" s="156"/>
      <c r="P12" s="156"/>
      <c r="Q12" s="156"/>
      <c r="R12" s="156"/>
      <c r="S12" s="240"/>
    </row>
    <row r="13" spans="1:21" ht="18.75" customHeight="1" x14ac:dyDescent="0.25">
      <c r="A13" s="132" t="s">
        <v>80</v>
      </c>
      <c r="B13" s="136"/>
      <c r="C13" s="20"/>
      <c r="D13" s="134"/>
      <c r="E13" s="20"/>
      <c r="F13" s="20"/>
      <c r="G13" s="21"/>
      <c r="H13" s="250">
        <v>1</v>
      </c>
      <c r="I13" s="20">
        <v>1530</v>
      </c>
      <c r="J13" s="251">
        <v>5</v>
      </c>
      <c r="K13" s="20">
        <f>ROUND(I13*0.05*H13,2)</f>
        <v>76.5</v>
      </c>
      <c r="L13" s="20">
        <f>ROUND(K13*0.2409,2)</f>
        <v>18.43</v>
      </c>
      <c r="M13" s="21">
        <f>K13+L13</f>
        <v>94.93</v>
      </c>
      <c r="N13" s="19"/>
      <c r="O13" s="20"/>
      <c r="P13" s="20"/>
      <c r="Q13" s="20"/>
      <c r="R13" s="20"/>
      <c r="S13" s="21"/>
      <c r="T13" s="297"/>
      <c r="U13" s="28"/>
    </row>
    <row r="14" spans="1:21" ht="18.75" customHeight="1" x14ac:dyDescent="0.25">
      <c r="A14" s="132" t="s">
        <v>80</v>
      </c>
      <c r="B14" s="252"/>
      <c r="C14" s="145"/>
      <c r="D14" s="222"/>
      <c r="E14" s="145"/>
      <c r="F14" s="145"/>
      <c r="G14" s="146"/>
      <c r="H14" s="250">
        <f>80/158</f>
        <v>0.50632911392405067</v>
      </c>
      <c r="I14" s="20">
        <v>1530</v>
      </c>
      <c r="J14" s="136">
        <v>5</v>
      </c>
      <c r="K14" s="20">
        <f>ROUND(I14*0.05*H14,2)</f>
        <v>38.729999999999997</v>
      </c>
      <c r="L14" s="20">
        <f t="shared" ref="L14:L23" si="2">ROUND(K14*0.2409,2)</f>
        <v>9.33</v>
      </c>
      <c r="M14" s="21">
        <f t="shared" ref="M14:M35" si="3">K14+L14</f>
        <v>48.059999999999995</v>
      </c>
      <c r="N14" s="19"/>
      <c r="O14" s="20"/>
      <c r="P14" s="20"/>
      <c r="Q14" s="20"/>
      <c r="R14" s="20"/>
      <c r="S14" s="21"/>
      <c r="T14" s="297"/>
      <c r="U14" s="28"/>
    </row>
    <row r="15" spans="1:21" ht="18.75" customHeight="1" x14ac:dyDescent="0.25">
      <c r="A15" s="132" t="s">
        <v>80</v>
      </c>
      <c r="B15" s="252"/>
      <c r="C15" s="145"/>
      <c r="D15" s="222"/>
      <c r="E15" s="145"/>
      <c r="F15" s="145"/>
      <c r="G15" s="146"/>
      <c r="H15" s="250">
        <f>40/158</f>
        <v>0.25316455696202533</v>
      </c>
      <c r="I15" s="20">
        <v>1530</v>
      </c>
      <c r="J15" s="136">
        <v>5</v>
      </c>
      <c r="K15" s="20">
        <f t="shared" ref="K15:K23" si="4">ROUND(I15*0.05*H15,2)</f>
        <v>19.37</v>
      </c>
      <c r="L15" s="20">
        <f t="shared" si="2"/>
        <v>4.67</v>
      </c>
      <c r="M15" s="21">
        <f t="shared" si="3"/>
        <v>24.04</v>
      </c>
      <c r="N15" s="19"/>
      <c r="O15" s="20"/>
      <c r="P15" s="20"/>
      <c r="Q15" s="20"/>
      <c r="R15" s="20"/>
      <c r="S15" s="21"/>
      <c r="T15" s="297"/>
      <c r="U15" s="28"/>
    </row>
    <row r="16" spans="1:21" ht="18.75" customHeight="1" x14ac:dyDescent="0.25">
      <c r="A16" s="132" t="s">
        <v>80</v>
      </c>
      <c r="B16" s="252"/>
      <c r="C16" s="145"/>
      <c r="D16" s="222"/>
      <c r="E16" s="145"/>
      <c r="F16" s="145"/>
      <c r="G16" s="146"/>
      <c r="H16" s="250">
        <v>1</v>
      </c>
      <c r="I16" s="20">
        <v>1530</v>
      </c>
      <c r="J16" s="136">
        <v>5</v>
      </c>
      <c r="K16" s="20">
        <f t="shared" si="4"/>
        <v>76.5</v>
      </c>
      <c r="L16" s="20">
        <f t="shared" si="2"/>
        <v>18.43</v>
      </c>
      <c r="M16" s="21">
        <f t="shared" si="3"/>
        <v>94.93</v>
      </c>
      <c r="N16" s="19"/>
      <c r="O16" s="20"/>
      <c r="P16" s="20"/>
      <c r="Q16" s="20"/>
      <c r="R16" s="20"/>
      <c r="S16" s="21"/>
      <c r="T16" s="297"/>
      <c r="U16" s="28"/>
    </row>
    <row r="17" spans="1:21" ht="18.75" customHeight="1" x14ac:dyDescent="0.25">
      <c r="A17" s="132" t="s">
        <v>80</v>
      </c>
      <c r="B17" s="252"/>
      <c r="C17" s="145"/>
      <c r="D17" s="222"/>
      <c r="E17" s="145"/>
      <c r="F17" s="145"/>
      <c r="G17" s="146"/>
      <c r="H17" s="250">
        <f>89/158</f>
        <v>0.56329113924050633</v>
      </c>
      <c r="I17" s="20">
        <v>1530</v>
      </c>
      <c r="J17" s="136">
        <v>5</v>
      </c>
      <c r="K17" s="20">
        <f t="shared" si="4"/>
        <v>43.09</v>
      </c>
      <c r="L17" s="20">
        <f t="shared" si="2"/>
        <v>10.38</v>
      </c>
      <c r="M17" s="21">
        <f t="shared" si="3"/>
        <v>53.470000000000006</v>
      </c>
      <c r="N17" s="19"/>
      <c r="O17" s="20"/>
      <c r="P17" s="20"/>
      <c r="Q17" s="20"/>
      <c r="R17" s="20"/>
      <c r="S17" s="21"/>
      <c r="T17" s="297"/>
      <c r="U17" s="28"/>
    </row>
    <row r="18" spans="1:21" ht="18.75" customHeight="1" x14ac:dyDescent="0.25">
      <c r="A18" s="132" t="s">
        <v>80</v>
      </c>
      <c r="B18" s="252"/>
      <c r="C18" s="145"/>
      <c r="D18" s="222"/>
      <c r="E18" s="145"/>
      <c r="F18" s="145"/>
      <c r="G18" s="146"/>
      <c r="H18" s="250">
        <f>48/158</f>
        <v>0.30379746835443039</v>
      </c>
      <c r="I18" s="20">
        <v>1530</v>
      </c>
      <c r="J18" s="136">
        <v>5</v>
      </c>
      <c r="K18" s="20">
        <f t="shared" si="4"/>
        <v>23.24</v>
      </c>
      <c r="L18" s="20">
        <f t="shared" si="2"/>
        <v>5.6</v>
      </c>
      <c r="M18" s="21">
        <f t="shared" si="3"/>
        <v>28.839999999999996</v>
      </c>
      <c r="N18" s="19"/>
      <c r="O18" s="20"/>
      <c r="P18" s="20"/>
      <c r="Q18" s="20"/>
      <c r="R18" s="20"/>
      <c r="S18" s="21"/>
      <c r="T18" s="297"/>
      <c r="U18" s="28"/>
    </row>
    <row r="19" spans="1:21" ht="18.75" customHeight="1" x14ac:dyDescent="0.25">
      <c r="A19" s="132" t="s">
        <v>80</v>
      </c>
      <c r="B19" s="252"/>
      <c r="C19" s="145"/>
      <c r="D19" s="222"/>
      <c r="E19" s="145"/>
      <c r="F19" s="145"/>
      <c r="G19" s="146"/>
      <c r="H19" s="250">
        <v>1</v>
      </c>
      <c r="I19" s="20">
        <v>1530</v>
      </c>
      <c r="J19" s="136">
        <v>5</v>
      </c>
      <c r="K19" s="20">
        <f t="shared" si="4"/>
        <v>76.5</v>
      </c>
      <c r="L19" s="20">
        <f t="shared" si="2"/>
        <v>18.43</v>
      </c>
      <c r="M19" s="21">
        <f t="shared" si="3"/>
        <v>94.93</v>
      </c>
      <c r="N19" s="19"/>
      <c r="O19" s="20"/>
      <c r="P19" s="20"/>
      <c r="Q19" s="20"/>
      <c r="R19" s="20"/>
      <c r="S19" s="21"/>
      <c r="T19" s="297"/>
      <c r="U19" s="28"/>
    </row>
    <row r="20" spans="1:21" ht="18.75" customHeight="1" x14ac:dyDescent="0.25">
      <c r="A20" s="132" t="s">
        <v>80</v>
      </c>
      <c r="B20" s="252"/>
      <c r="C20" s="145"/>
      <c r="D20" s="222"/>
      <c r="E20" s="145"/>
      <c r="F20" s="145"/>
      <c r="G20" s="146"/>
      <c r="H20" s="250">
        <f>156/158</f>
        <v>0.98734177215189878</v>
      </c>
      <c r="I20" s="20">
        <v>1530</v>
      </c>
      <c r="J20" s="136">
        <v>5</v>
      </c>
      <c r="K20" s="20">
        <f t="shared" si="4"/>
        <v>75.53</v>
      </c>
      <c r="L20" s="20">
        <f t="shared" si="2"/>
        <v>18.2</v>
      </c>
      <c r="M20" s="21">
        <f t="shared" si="3"/>
        <v>93.73</v>
      </c>
      <c r="N20" s="19"/>
      <c r="O20" s="20"/>
      <c r="P20" s="20"/>
      <c r="Q20" s="20"/>
      <c r="R20" s="20"/>
      <c r="S20" s="21"/>
      <c r="T20" s="297"/>
      <c r="U20" s="28"/>
    </row>
    <row r="21" spans="1:21" ht="18.75" customHeight="1" x14ac:dyDescent="0.25">
      <c r="A21" s="132" t="s">
        <v>80</v>
      </c>
      <c r="B21" s="252"/>
      <c r="C21" s="145"/>
      <c r="D21" s="222"/>
      <c r="E21" s="145"/>
      <c r="F21" s="145"/>
      <c r="G21" s="146"/>
      <c r="H21" s="250">
        <f>136/158</f>
        <v>0.86075949367088611</v>
      </c>
      <c r="I21" s="20">
        <v>1530</v>
      </c>
      <c r="J21" s="136">
        <v>5</v>
      </c>
      <c r="K21" s="20">
        <f t="shared" si="4"/>
        <v>65.849999999999994</v>
      </c>
      <c r="L21" s="20">
        <f t="shared" si="2"/>
        <v>15.86</v>
      </c>
      <c r="M21" s="21">
        <f t="shared" si="3"/>
        <v>81.709999999999994</v>
      </c>
      <c r="N21" s="19"/>
      <c r="O21" s="20"/>
      <c r="P21" s="20"/>
      <c r="Q21" s="20"/>
      <c r="R21" s="20"/>
      <c r="S21" s="21"/>
      <c r="T21" s="297"/>
      <c r="U21" s="28"/>
    </row>
    <row r="22" spans="1:21" ht="18.75" customHeight="1" x14ac:dyDescent="0.25">
      <c r="A22" s="151" t="s">
        <v>237</v>
      </c>
      <c r="B22" s="252"/>
      <c r="C22" s="145"/>
      <c r="D22" s="222"/>
      <c r="E22" s="145"/>
      <c r="F22" s="145"/>
      <c r="G22" s="146"/>
      <c r="H22" s="250">
        <f>150/158</f>
        <v>0.94936708860759489</v>
      </c>
      <c r="I22" s="20">
        <v>2030</v>
      </c>
      <c r="J22" s="136">
        <v>5</v>
      </c>
      <c r="K22" s="20">
        <f t="shared" si="4"/>
        <v>96.36</v>
      </c>
      <c r="L22" s="20">
        <f t="shared" si="2"/>
        <v>23.21</v>
      </c>
      <c r="M22" s="21">
        <f t="shared" si="3"/>
        <v>119.57</v>
      </c>
      <c r="N22" s="19"/>
      <c r="O22" s="20"/>
      <c r="P22" s="20"/>
      <c r="Q22" s="20"/>
      <c r="R22" s="20"/>
      <c r="S22" s="21"/>
      <c r="T22" s="297"/>
      <c r="U22" s="28"/>
    </row>
    <row r="23" spans="1:21" ht="18.75" customHeight="1" thickBot="1" x14ac:dyDescent="0.3">
      <c r="A23" s="253" t="s">
        <v>238</v>
      </c>
      <c r="B23" s="254"/>
      <c r="C23" s="254"/>
      <c r="D23" s="255"/>
      <c r="E23" s="256"/>
      <c r="F23" s="256"/>
      <c r="G23" s="257"/>
      <c r="H23" s="258">
        <v>1</v>
      </c>
      <c r="I23" s="23">
        <v>1140</v>
      </c>
      <c r="J23" s="23">
        <v>5</v>
      </c>
      <c r="K23" s="20">
        <f t="shared" si="4"/>
        <v>57</v>
      </c>
      <c r="L23" s="20">
        <f t="shared" si="2"/>
        <v>13.73</v>
      </c>
      <c r="M23" s="24">
        <f t="shared" si="3"/>
        <v>70.73</v>
      </c>
      <c r="N23" s="22"/>
      <c r="O23" s="23"/>
      <c r="P23" s="23"/>
      <c r="Q23" s="23"/>
      <c r="R23" s="23"/>
      <c r="S23" s="24"/>
      <c r="T23" s="297"/>
      <c r="U23" s="28"/>
    </row>
    <row r="24" spans="1:21" ht="49.5" customHeight="1" x14ac:dyDescent="0.25">
      <c r="A24" s="128" t="s">
        <v>12</v>
      </c>
      <c r="B24" s="216"/>
      <c r="C24" s="130"/>
      <c r="D24" s="130"/>
      <c r="E24" s="130"/>
      <c r="F24" s="130"/>
      <c r="G24" s="131"/>
      <c r="H24" s="249">
        <f>SUM(H25:H35)</f>
        <v>10.759493670886076</v>
      </c>
      <c r="I24" s="156"/>
      <c r="J24" s="156"/>
      <c r="K24" s="156">
        <f>SUM(K25:K35)</f>
        <v>1252.31</v>
      </c>
      <c r="L24" s="156">
        <f t="shared" ref="L24:M24" si="5">SUM(L25:L35)</f>
        <v>301.68999999999994</v>
      </c>
      <c r="M24" s="156">
        <f t="shared" si="5"/>
        <v>1553.9999999999998</v>
      </c>
      <c r="N24" s="155"/>
      <c r="O24" s="156"/>
      <c r="P24" s="156"/>
      <c r="Q24" s="156"/>
      <c r="R24" s="156"/>
      <c r="S24" s="240"/>
      <c r="T24" s="297"/>
      <c r="U24" s="28"/>
    </row>
    <row r="25" spans="1:21" x14ac:dyDescent="0.25">
      <c r="A25" s="132" t="s">
        <v>24</v>
      </c>
      <c r="B25" s="219"/>
      <c r="C25" s="20"/>
      <c r="D25" s="134"/>
      <c r="E25" s="20"/>
      <c r="F25" s="20"/>
      <c r="G25" s="21"/>
      <c r="H25" s="250">
        <v>1</v>
      </c>
      <c r="I25" s="20">
        <v>902</v>
      </c>
      <c r="J25" s="20">
        <v>12</v>
      </c>
      <c r="K25" s="20">
        <f>ROUND(I25*0.12*H25,2)</f>
        <v>108.24</v>
      </c>
      <c r="L25" s="20">
        <f>ROUND(K25*0.2409,2)</f>
        <v>26.08</v>
      </c>
      <c r="M25" s="21">
        <f t="shared" si="3"/>
        <v>134.32</v>
      </c>
      <c r="N25" s="19"/>
      <c r="O25" s="20"/>
      <c r="P25" s="20"/>
      <c r="Q25" s="20"/>
      <c r="R25" s="20"/>
      <c r="S25" s="21"/>
      <c r="T25" s="297"/>
      <c r="U25" s="28"/>
    </row>
    <row r="26" spans="1:21" x14ac:dyDescent="0.25">
      <c r="A26" s="132" t="s">
        <v>24</v>
      </c>
      <c r="B26" s="219"/>
      <c r="C26" s="20"/>
      <c r="D26" s="134"/>
      <c r="E26" s="20"/>
      <c r="F26" s="20"/>
      <c r="G26" s="21"/>
      <c r="H26" s="250">
        <v>1</v>
      </c>
      <c r="I26" s="20">
        <v>866</v>
      </c>
      <c r="J26" s="20">
        <v>12</v>
      </c>
      <c r="K26" s="20">
        <f>ROUND(I26*0.12*H26,2)</f>
        <v>103.92</v>
      </c>
      <c r="L26" s="20">
        <f t="shared" ref="L26:L35" si="6">ROUND(K26*0.2409,2)</f>
        <v>25.03</v>
      </c>
      <c r="M26" s="21">
        <f t="shared" si="3"/>
        <v>128.94999999999999</v>
      </c>
      <c r="N26" s="19"/>
      <c r="O26" s="20"/>
      <c r="P26" s="20"/>
      <c r="Q26" s="20"/>
      <c r="R26" s="20"/>
      <c r="S26" s="21"/>
      <c r="T26" s="297"/>
      <c r="U26" s="28"/>
    </row>
    <row r="27" spans="1:21" x14ac:dyDescent="0.25">
      <c r="A27" s="132" t="s">
        <v>24</v>
      </c>
      <c r="B27" s="136"/>
      <c r="C27" s="20"/>
      <c r="D27" s="134"/>
      <c r="E27" s="20"/>
      <c r="F27" s="20"/>
      <c r="G27" s="21"/>
      <c r="H27" s="250">
        <v>1</v>
      </c>
      <c r="I27" s="20">
        <v>866</v>
      </c>
      <c r="J27" s="20">
        <v>11</v>
      </c>
      <c r="K27" s="20">
        <f>ROUND(I27*0.11*H27,2)</f>
        <v>95.26</v>
      </c>
      <c r="L27" s="20">
        <f t="shared" si="6"/>
        <v>22.95</v>
      </c>
      <c r="M27" s="21">
        <f t="shared" si="3"/>
        <v>118.21000000000001</v>
      </c>
      <c r="N27" s="19"/>
      <c r="O27" s="20"/>
      <c r="P27" s="20"/>
      <c r="Q27" s="20"/>
      <c r="R27" s="20"/>
      <c r="S27" s="21"/>
      <c r="T27" s="297"/>
      <c r="U27" s="28"/>
    </row>
    <row r="28" spans="1:21" x14ac:dyDescent="0.25">
      <c r="A28" s="132" t="s">
        <v>24</v>
      </c>
      <c r="B28" s="252"/>
      <c r="C28" s="145"/>
      <c r="D28" s="222"/>
      <c r="E28" s="145"/>
      <c r="F28" s="145"/>
      <c r="G28" s="146"/>
      <c r="H28" s="250">
        <f>120/158</f>
        <v>0.759493670886076</v>
      </c>
      <c r="I28" s="20">
        <v>890</v>
      </c>
      <c r="J28" s="20">
        <v>10</v>
      </c>
      <c r="K28" s="20">
        <f>ROUND(I28*0.1*H28,2)</f>
        <v>67.59</v>
      </c>
      <c r="L28" s="20">
        <f t="shared" si="6"/>
        <v>16.28</v>
      </c>
      <c r="M28" s="21">
        <f t="shared" si="3"/>
        <v>83.87</v>
      </c>
      <c r="N28" s="19"/>
      <c r="O28" s="20"/>
      <c r="P28" s="20"/>
      <c r="Q28" s="20"/>
      <c r="R28" s="20"/>
      <c r="S28" s="21"/>
      <c r="T28" s="297"/>
      <c r="U28" s="28"/>
    </row>
    <row r="29" spans="1:21" x14ac:dyDescent="0.25">
      <c r="A29" s="132" t="s">
        <v>24</v>
      </c>
      <c r="B29" s="252"/>
      <c r="C29" s="145"/>
      <c r="D29" s="222"/>
      <c r="E29" s="145"/>
      <c r="F29" s="145"/>
      <c r="G29" s="146"/>
      <c r="H29" s="250">
        <v>1</v>
      </c>
      <c r="I29" s="20">
        <v>854</v>
      </c>
      <c r="J29" s="20">
        <v>12</v>
      </c>
      <c r="K29" s="20">
        <f t="shared" ref="K29:K35" si="7">ROUND(I29*0.12*H29,2)</f>
        <v>102.48</v>
      </c>
      <c r="L29" s="20">
        <f t="shared" si="6"/>
        <v>24.69</v>
      </c>
      <c r="M29" s="21">
        <f t="shared" si="3"/>
        <v>127.17</v>
      </c>
      <c r="N29" s="19"/>
      <c r="O29" s="20"/>
      <c r="P29" s="20"/>
      <c r="Q29" s="20"/>
      <c r="R29" s="20"/>
      <c r="S29" s="21"/>
      <c r="T29" s="297"/>
      <c r="U29" s="28"/>
    </row>
    <row r="30" spans="1:21" x14ac:dyDescent="0.25">
      <c r="A30" s="132" t="s">
        <v>24</v>
      </c>
      <c r="B30" s="252"/>
      <c r="C30" s="145"/>
      <c r="D30" s="222"/>
      <c r="E30" s="145"/>
      <c r="F30" s="145"/>
      <c r="G30" s="146"/>
      <c r="H30" s="250">
        <v>1</v>
      </c>
      <c r="I30" s="20">
        <v>890</v>
      </c>
      <c r="J30" s="20">
        <v>12</v>
      </c>
      <c r="K30" s="20">
        <f t="shared" si="7"/>
        <v>106.8</v>
      </c>
      <c r="L30" s="20">
        <f t="shared" si="6"/>
        <v>25.73</v>
      </c>
      <c r="M30" s="21">
        <f t="shared" si="3"/>
        <v>132.53</v>
      </c>
      <c r="N30" s="19"/>
      <c r="O30" s="20"/>
      <c r="P30" s="20"/>
      <c r="Q30" s="20"/>
      <c r="R30" s="20"/>
      <c r="S30" s="21"/>
      <c r="T30" s="297"/>
      <c r="U30" s="28"/>
    </row>
    <row r="31" spans="1:21" x14ac:dyDescent="0.25">
      <c r="A31" s="132" t="s">
        <v>24</v>
      </c>
      <c r="B31" s="252"/>
      <c r="C31" s="145"/>
      <c r="D31" s="222"/>
      <c r="E31" s="145"/>
      <c r="F31" s="145"/>
      <c r="G31" s="146"/>
      <c r="H31" s="250">
        <v>1</v>
      </c>
      <c r="I31" s="20">
        <v>890</v>
      </c>
      <c r="J31" s="20">
        <v>11</v>
      </c>
      <c r="K31" s="20">
        <f>ROUND(I31*0.11*H31,2)</f>
        <v>97.9</v>
      </c>
      <c r="L31" s="20">
        <f t="shared" si="6"/>
        <v>23.58</v>
      </c>
      <c r="M31" s="21">
        <f t="shared" si="3"/>
        <v>121.48</v>
      </c>
      <c r="N31" s="19"/>
      <c r="O31" s="20"/>
      <c r="P31" s="20"/>
      <c r="Q31" s="20"/>
      <c r="R31" s="20"/>
      <c r="S31" s="21"/>
      <c r="T31" s="297"/>
      <c r="U31" s="28"/>
    </row>
    <row r="32" spans="1:21" x14ac:dyDescent="0.25">
      <c r="A32" s="132" t="s">
        <v>24</v>
      </c>
      <c r="B32" s="252"/>
      <c r="C32" s="145"/>
      <c r="D32" s="222"/>
      <c r="E32" s="145"/>
      <c r="F32" s="145"/>
      <c r="G32" s="146"/>
      <c r="H32" s="250">
        <v>1</v>
      </c>
      <c r="I32" s="20">
        <v>854</v>
      </c>
      <c r="J32" s="20">
        <v>11</v>
      </c>
      <c r="K32" s="20">
        <f>ROUND(I32*0.11*H32,2)</f>
        <v>93.94</v>
      </c>
      <c r="L32" s="20">
        <f t="shared" si="6"/>
        <v>22.63</v>
      </c>
      <c r="M32" s="21">
        <f t="shared" si="3"/>
        <v>116.57</v>
      </c>
      <c r="N32" s="19"/>
      <c r="O32" s="20"/>
      <c r="P32" s="20"/>
      <c r="Q32" s="20"/>
      <c r="R32" s="20"/>
      <c r="S32" s="21"/>
      <c r="T32" s="297"/>
      <c r="U32" s="28"/>
    </row>
    <row r="33" spans="1:21" x14ac:dyDescent="0.25">
      <c r="A33" s="132" t="s">
        <v>24</v>
      </c>
      <c r="B33" s="252"/>
      <c r="C33" s="145"/>
      <c r="D33" s="222"/>
      <c r="E33" s="145"/>
      <c r="F33" s="145"/>
      <c r="G33" s="146"/>
      <c r="H33" s="250">
        <v>1</v>
      </c>
      <c r="I33" s="20">
        <v>854</v>
      </c>
      <c r="J33" s="20">
        <v>11</v>
      </c>
      <c r="K33" s="20">
        <f>ROUND(I33*0.11*H33,2)</f>
        <v>93.94</v>
      </c>
      <c r="L33" s="20">
        <f t="shared" si="6"/>
        <v>22.63</v>
      </c>
      <c r="M33" s="21">
        <f t="shared" si="3"/>
        <v>116.57</v>
      </c>
      <c r="N33" s="19"/>
      <c r="O33" s="20"/>
      <c r="P33" s="20"/>
      <c r="Q33" s="20"/>
      <c r="R33" s="20"/>
      <c r="S33" s="21"/>
      <c r="T33" s="297"/>
      <c r="U33" s="28"/>
    </row>
    <row r="34" spans="1:21" x14ac:dyDescent="0.25">
      <c r="A34" s="151" t="s">
        <v>239</v>
      </c>
      <c r="B34" s="252">
        <v>1</v>
      </c>
      <c r="C34" s="145">
        <v>1370</v>
      </c>
      <c r="D34" s="222">
        <v>25</v>
      </c>
      <c r="E34" s="145">
        <v>202.39</v>
      </c>
      <c r="F34" s="145">
        <v>48.76</v>
      </c>
      <c r="G34" s="146">
        <v>251.15</v>
      </c>
      <c r="H34" s="250">
        <v>1</v>
      </c>
      <c r="I34" s="20">
        <v>1370</v>
      </c>
      <c r="J34" s="20">
        <v>20</v>
      </c>
      <c r="K34" s="20">
        <f>ROUND(I34*0.2*H34,2)</f>
        <v>274</v>
      </c>
      <c r="L34" s="20">
        <f t="shared" si="6"/>
        <v>66.010000000000005</v>
      </c>
      <c r="M34" s="21">
        <f t="shared" si="3"/>
        <v>340.01</v>
      </c>
      <c r="N34" s="19"/>
      <c r="O34" s="20"/>
      <c r="P34" s="20"/>
      <c r="Q34" s="20"/>
      <c r="R34" s="20"/>
      <c r="S34" s="21"/>
      <c r="T34" s="297"/>
      <c r="U34" s="28"/>
    </row>
    <row r="35" spans="1:21" ht="17.25" thickBot="1" x14ac:dyDescent="0.3">
      <c r="A35" s="253" t="s">
        <v>240</v>
      </c>
      <c r="B35" s="254"/>
      <c r="C35" s="256"/>
      <c r="D35" s="255"/>
      <c r="E35" s="256"/>
      <c r="F35" s="256"/>
      <c r="G35" s="257"/>
      <c r="H35" s="258">
        <v>1</v>
      </c>
      <c r="I35" s="23">
        <v>902</v>
      </c>
      <c r="J35" s="23">
        <v>12</v>
      </c>
      <c r="K35" s="20">
        <f t="shared" si="7"/>
        <v>108.24</v>
      </c>
      <c r="L35" s="20">
        <f t="shared" si="6"/>
        <v>26.08</v>
      </c>
      <c r="M35" s="24">
        <f t="shared" si="3"/>
        <v>134.32</v>
      </c>
      <c r="N35" s="22"/>
      <c r="O35" s="23"/>
      <c r="P35" s="23"/>
      <c r="Q35" s="23"/>
      <c r="R35" s="23"/>
      <c r="S35" s="24"/>
      <c r="T35" s="297"/>
      <c r="U35" s="28"/>
    </row>
    <row r="36" spans="1:21" ht="57" customHeight="1" x14ac:dyDescent="0.25">
      <c r="A36" s="128" t="s">
        <v>13</v>
      </c>
      <c r="B36" s="216"/>
      <c r="C36" s="216"/>
      <c r="D36" s="216"/>
      <c r="E36" s="130"/>
      <c r="F36" s="130"/>
      <c r="G36" s="131"/>
      <c r="H36" s="249">
        <f>SUM(H37:H61)</f>
        <v>18.626582278481013</v>
      </c>
      <c r="I36" s="156"/>
      <c r="J36" s="156"/>
      <c r="K36" s="156">
        <f>SUM(K37:K61)</f>
        <v>1094.78</v>
      </c>
      <c r="L36" s="156">
        <f t="shared" ref="L36:M36" si="8">SUM(L37:L61)</f>
        <v>263.74000000000007</v>
      </c>
      <c r="M36" s="156">
        <f t="shared" si="8"/>
        <v>1358.5200000000002</v>
      </c>
      <c r="N36" s="155"/>
      <c r="O36" s="156"/>
      <c r="P36" s="156"/>
      <c r="Q36" s="156"/>
      <c r="R36" s="156"/>
      <c r="S36" s="240"/>
      <c r="T36" s="297"/>
      <c r="U36" s="28"/>
    </row>
    <row r="37" spans="1:21" x14ac:dyDescent="0.25">
      <c r="A37" s="132" t="s">
        <v>25</v>
      </c>
      <c r="B37" s="219"/>
      <c r="C37" s="20"/>
      <c r="D37" s="134"/>
      <c r="E37" s="20"/>
      <c r="F37" s="20"/>
      <c r="G37" s="21"/>
      <c r="H37" s="250">
        <v>1</v>
      </c>
      <c r="I37" s="20">
        <v>655</v>
      </c>
      <c r="J37" s="20">
        <v>10</v>
      </c>
      <c r="K37" s="20">
        <f>ROUND(I37*0.1*H37,2)</f>
        <v>65.5</v>
      </c>
      <c r="L37" s="20">
        <f>ROUND(K37*0.2409,2)</f>
        <v>15.78</v>
      </c>
      <c r="M37" s="21">
        <f>K37+L37</f>
        <v>81.28</v>
      </c>
      <c r="N37" s="19"/>
      <c r="O37" s="20"/>
      <c r="P37" s="20"/>
      <c r="Q37" s="20"/>
      <c r="R37" s="20"/>
      <c r="S37" s="21"/>
      <c r="T37" s="297"/>
      <c r="U37" s="28"/>
    </row>
    <row r="38" spans="1:21" x14ac:dyDescent="0.25">
      <c r="A38" s="132" t="s">
        <v>25</v>
      </c>
      <c r="B38" s="219"/>
      <c r="C38" s="20"/>
      <c r="D38" s="134"/>
      <c r="E38" s="20"/>
      <c r="F38" s="20"/>
      <c r="G38" s="21"/>
      <c r="H38" s="250">
        <v>1</v>
      </c>
      <c r="I38" s="20">
        <v>655</v>
      </c>
      <c r="J38" s="20">
        <v>10</v>
      </c>
      <c r="K38" s="20">
        <f t="shared" ref="K38:K61" si="9">ROUND(I38*0.1*H38,2)</f>
        <v>65.5</v>
      </c>
      <c r="L38" s="20">
        <f t="shared" ref="L38:L61" si="10">ROUND(K38*0.2409,2)</f>
        <v>15.78</v>
      </c>
      <c r="M38" s="21">
        <f t="shared" ref="M38:M61" si="11">K38+L38</f>
        <v>81.28</v>
      </c>
      <c r="N38" s="19"/>
      <c r="O38" s="20"/>
      <c r="P38" s="20"/>
      <c r="Q38" s="20"/>
      <c r="R38" s="20"/>
      <c r="S38" s="21"/>
      <c r="T38" s="297"/>
      <c r="U38" s="28"/>
    </row>
    <row r="39" spans="1:21" x14ac:dyDescent="0.25">
      <c r="A39" s="132" t="s">
        <v>25</v>
      </c>
      <c r="B39" s="219"/>
      <c r="C39" s="20"/>
      <c r="D39" s="134"/>
      <c r="E39" s="20"/>
      <c r="F39" s="20"/>
      <c r="G39" s="21"/>
      <c r="H39" s="250">
        <v>1</v>
      </c>
      <c r="I39" s="20">
        <v>655</v>
      </c>
      <c r="J39" s="20">
        <v>10</v>
      </c>
      <c r="K39" s="20">
        <f t="shared" si="9"/>
        <v>65.5</v>
      </c>
      <c r="L39" s="20">
        <f t="shared" si="10"/>
        <v>15.78</v>
      </c>
      <c r="M39" s="21">
        <f t="shared" si="11"/>
        <v>81.28</v>
      </c>
      <c r="N39" s="19"/>
      <c r="O39" s="20"/>
      <c r="P39" s="20"/>
      <c r="Q39" s="20"/>
      <c r="R39" s="20"/>
      <c r="S39" s="21"/>
      <c r="T39" s="297"/>
      <c r="U39" s="28"/>
    </row>
    <row r="40" spans="1:21" x14ac:dyDescent="0.25">
      <c r="A40" s="132" t="s">
        <v>25</v>
      </c>
      <c r="B40" s="219"/>
      <c r="C40" s="20"/>
      <c r="D40" s="134"/>
      <c r="E40" s="20"/>
      <c r="F40" s="20"/>
      <c r="G40" s="21"/>
      <c r="H40" s="250">
        <v>1</v>
      </c>
      <c r="I40" s="20">
        <v>655</v>
      </c>
      <c r="J40" s="20">
        <v>10</v>
      </c>
      <c r="K40" s="20">
        <f t="shared" si="9"/>
        <v>65.5</v>
      </c>
      <c r="L40" s="20">
        <f t="shared" si="10"/>
        <v>15.78</v>
      </c>
      <c r="M40" s="21">
        <f t="shared" si="11"/>
        <v>81.28</v>
      </c>
      <c r="N40" s="19"/>
      <c r="O40" s="20"/>
      <c r="P40" s="20"/>
      <c r="Q40" s="20"/>
      <c r="R40" s="20"/>
      <c r="S40" s="21"/>
      <c r="T40" s="297"/>
      <c r="U40" s="28"/>
    </row>
    <row r="41" spans="1:21" x14ac:dyDescent="0.25">
      <c r="A41" s="132" t="s">
        <v>25</v>
      </c>
      <c r="B41" s="219"/>
      <c r="C41" s="20"/>
      <c r="D41" s="134"/>
      <c r="E41" s="20"/>
      <c r="F41" s="20"/>
      <c r="G41" s="21"/>
      <c r="H41" s="250">
        <f>134/158</f>
        <v>0.84810126582278478</v>
      </c>
      <c r="I41" s="20">
        <v>655</v>
      </c>
      <c r="J41" s="20">
        <v>10</v>
      </c>
      <c r="K41" s="20">
        <f t="shared" si="9"/>
        <v>55.55</v>
      </c>
      <c r="L41" s="20">
        <f t="shared" si="10"/>
        <v>13.38</v>
      </c>
      <c r="M41" s="21">
        <f t="shared" si="11"/>
        <v>68.929999999999993</v>
      </c>
      <c r="N41" s="19"/>
      <c r="O41" s="20"/>
      <c r="P41" s="20"/>
      <c r="Q41" s="20"/>
      <c r="R41" s="20"/>
      <c r="S41" s="21"/>
      <c r="T41" s="297"/>
      <c r="U41" s="28"/>
    </row>
    <row r="42" spans="1:21" x14ac:dyDescent="0.25">
      <c r="A42" s="132" t="s">
        <v>25</v>
      </c>
      <c r="B42" s="259"/>
      <c r="C42" s="180"/>
      <c r="D42" s="260"/>
      <c r="E42" s="180"/>
      <c r="F42" s="180"/>
      <c r="G42" s="182"/>
      <c r="H42" s="250">
        <f>94/158</f>
        <v>0.59493670886075944</v>
      </c>
      <c r="I42" s="20">
        <v>655</v>
      </c>
      <c r="J42" s="20">
        <v>10</v>
      </c>
      <c r="K42" s="20">
        <f t="shared" si="9"/>
        <v>38.97</v>
      </c>
      <c r="L42" s="20">
        <f t="shared" si="10"/>
        <v>9.39</v>
      </c>
      <c r="M42" s="21">
        <f t="shared" si="11"/>
        <v>48.36</v>
      </c>
      <c r="N42" s="19"/>
      <c r="O42" s="20"/>
      <c r="P42" s="20"/>
      <c r="Q42" s="20"/>
      <c r="R42" s="20"/>
      <c r="S42" s="21"/>
      <c r="T42" s="297"/>
      <c r="U42" s="28"/>
    </row>
    <row r="43" spans="1:21" ht="17.25" thickBot="1" x14ac:dyDescent="0.3">
      <c r="A43" s="135" t="s">
        <v>19</v>
      </c>
      <c r="B43" s="259"/>
      <c r="C43" s="180"/>
      <c r="D43" s="260"/>
      <c r="E43" s="180"/>
      <c r="F43" s="180"/>
      <c r="G43" s="182"/>
      <c r="H43" s="250">
        <f>120/158</f>
        <v>0.759493670886076</v>
      </c>
      <c r="I43" s="20">
        <v>560</v>
      </c>
      <c r="J43" s="20">
        <v>10</v>
      </c>
      <c r="K43" s="20">
        <f t="shared" si="9"/>
        <v>42.53</v>
      </c>
      <c r="L43" s="20">
        <f t="shared" si="10"/>
        <v>10.25</v>
      </c>
      <c r="M43" s="21">
        <f t="shared" si="11"/>
        <v>52.78</v>
      </c>
      <c r="N43" s="19"/>
      <c r="O43" s="20"/>
      <c r="P43" s="20"/>
      <c r="Q43" s="20"/>
      <c r="R43" s="20"/>
      <c r="S43" s="21"/>
      <c r="T43" s="297"/>
      <c r="U43" s="28"/>
    </row>
    <row r="44" spans="1:21" ht="17.25" thickBot="1" x14ac:dyDescent="0.3">
      <c r="A44" s="135" t="s">
        <v>19</v>
      </c>
      <c r="B44" s="219"/>
      <c r="C44" s="20"/>
      <c r="D44" s="134"/>
      <c r="E44" s="20"/>
      <c r="F44" s="20"/>
      <c r="G44" s="20"/>
      <c r="H44" s="250">
        <f>60/158</f>
        <v>0.379746835443038</v>
      </c>
      <c r="I44" s="20">
        <v>560</v>
      </c>
      <c r="J44" s="20">
        <v>10</v>
      </c>
      <c r="K44" s="20">
        <f t="shared" si="9"/>
        <v>21.27</v>
      </c>
      <c r="L44" s="20">
        <f t="shared" si="10"/>
        <v>5.12</v>
      </c>
      <c r="M44" s="21">
        <f t="shared" si="11"/>
        <v>26.39</v>
      </c>
      <c r="N44" s="19"/>
      <c r="O44" s="20"/>
      <c r="P44" s="20"/>
      <c r="Q44" s="20"/>
      <c r="R44" s="20"/>
      <c r="S44" s="21"/>
      <c r="T44" s="297"/>
      <c r="U44" s="28"/>
    </row>
    <row r="45" spans="1:21" ht="17.25" thickBot="1" x14ac:dyDescent="0.3">
      <c r="A45" s="135" t="s">
        <v>19</v>
      </c>
      <c r="B45" s="219"/>
      <c r="C45" s="20"/>
      <c r="D45" s="134"/>
      <c r="E45" s="20"/>
      <c r="F45" s="20"/>
      <c r="G45" s="20"/>
      <c r="H45" s="250">
        <f>111/158</f>
        <v>0.70253164556962022</v>
      </c>
      <c r="I45" s="20">
        <v>560</v>
      </c>
      <c r="J45" s="20">
        <v>10</v>
      </c>
      <c r="K45" s="20">
        <f t="shared" si="9"/>
        <v>39.340000000000003</v>
      </c>
      <c r="L45" s="20">
        <f t="shared" si="10"/>
        <v>9.48</v>
      </c>
      <c r="M45" s="21">
        <f t="shared" si="11"/>
        <v>48.820000000000007</v>
      </c>
      <c r="N45" s="19"/>
      <c r="O45" s="20"/>
      <c r="P45" s="20"/>
      <c r="Q45" s="20"/>
      <c r="R45" s="20"/>
      <c r="S45" s="21"/>
      <c r="T45" s="297"/>
      <c r="U45" s="28"/>
    </row>
    <row r="46" spans="1:21" ht="17.25" thickBot="1" x14ac:dyDescent="0.3">
      <c r="A46" s="135" t="s">
        <v>19</v>
      </c>
      <c r="B46" s="219"/>
      <c r="C46" s="20"/>
      <c r="D46" s="134"/>
      <c r="E46" s="20"/>
      <c r="F46" s="20"/>
      <c r="G46" s="20"/>
      <c r="H46" s="250">
        <f>86/158</f>
        <v>0.54430379746835444</v>
      </c>
      <c r="I46" s="20">
        <v>560</v>
      </c>
      <c r="J46" s="20">
        <v>10</v>
      </c>
      <c r="K46" s="20">
        <f t="shared" si="9"/>
        <v>30.48</v>
      </c>
      <c r="L46" s="20">
        <f t="shared" si="10"/>
        <v>7.34</v>
      </c>
      <c r="M46" s="21">
        <f t="shared" si="11"/>
        <v>37.82</v>
      </c>
      <c r="N46" s="19"/>
      <c r="O46" s="20"/>
      <c r="P46" s="20"/>
      <c r="Q46" s="20"/>
      <c r="R46" s="20"/>
      <c r="S46" s="21"/>
      <c r="T46" s="297"/>
      <c r="U46" s="28"/>
    </row>
    <row r="47" spans="1:21" ht="17.25" thickBot="1" x14ac:dyDescent="0.3">
      <c r="A47" s="135" t="s">
        <v>19</v>
      </c>
      <c r="B47" s="219"/>
      <c r="C47" s="20"/>
      <c r="D47" s="134"/>
      <c r="E47" s="20"/>
      <c r="F47" s="20"/>
      <c r="G47" s="20"/>
      <c r="H47" s="250">
        <f>80/158</f>
        <v>0.50632911392405067</v>
      </c>
      <c r="I47" s="20">
        <v>560</v>
      </c>
      <c r="J47" s="20">
        <v>10</v>
      </c>
      <c r="K47" s="20">
        <f t="shared" si="9"/>
        <v>28.35</v>
      </c>
      <c r="L47" s="20">
        <f t="shared" si="10"/>
        <v>6.83</v>
      </c>
      <c r="M47" s="21">
        <f t="shared" si="11"/>
        <v>35.18</v>
      </c>
      <c r="N47" s="19"/>
      <c r="O47" s="20"/>
      <c r="P47" s="20"/>
      <c r="Q47" s="20"/>
      <c r="R47" s="20"/>
      <c r="S47" s="21"/>
      <c r="T47" s="297"/>
      <c r="U47" s="28"/>
    </row>
    <row r="48" spans="1:21" ht="17.25" thickBot="1" x14ac:dyDescent="0.3">
      <c r="A48" s="135" t="s">
        <v>19</v>
      </c>
      <c r="B48" s="219"/>
      <c r="C48" s="20"/>
      <c r="D48" s="134"/>
      <c r="E48" s="20"/>
      <c r="F48" s="20"/>
      <c r="G48" s="20"/>
      <c r="H48" s="250">
        <v>1</v>
      </c>
      <c r="I48" s="20">
        <v>560</v>
      </c>
      <c r="J48" s="20">
        <v>10</v>
      </c>
      <c r="K48" s="20">
        <f t="shared" si="9"/>
        <v>56</v>
      </c>
      <c r="L48" s="20">
        <f t="shared" si="10"/>
        <v>13.49</v>
      </c>
      <c r="M48" s="21">
        <f t="shared" si="11"/>
        <v>69.489999999999995</v>
      </c>
      <c r="N48" s="19"/>
      <c r="O48" s="20"/>
      <c r="P48" s="20"/>
      <c r="Q48" s="20"/>
      <c r="R48" s="20"/>
      <c r="S48" s="21"/>
      <c r="T48" s="297"/>
      <c r="U48" s="28"/>
    </row>
    <row r="49" spans="1:21" ht="17.25" thickBot="1" x14ac:dyDescent="0.3">
      <c r="A49" s="135" t="s">
        <v>19</v>
      </c>
      <c r="B49" s="219"/>
      <c r="C49" s="20"/>
      <c r="D49" s="134"/>
      <c r="E49" s="20"/>
      <c r="F49" s="20"/>
      <c r="G49" s="20"/>
      <c r="H49" s="250">
        <v>1</v>
      </c>
      <c r="I49" s="20">
        <v>560</v>
      </c>
      <c r="J49" s="20">
        <v>10</v>
      </c>
      <c r="K49" s="20">
        <f t="shared" si="9"/>
        <v>56</v>
      </c>
      <c r="L49" s="20">
        <f t="shared" si="10"/>
        <v>13.49</v>
      </c>
      <c r="M49" s="21">
        <f t="shared" si="11"/>
        <v>69.489999999999995</v>
      </c>
      <c r="N49" s="19"/>
      <c r="O49" s="20"/>
      <c r="P49" s="20"/>
      <c r="Q49" s="20"/>
      <c r="R49" s="20"/>
      <c r="S49" s="21"/>
      <c r="T49" s="297"/>
      <c r="U49" s="28"/>
    </row>
    <row r="50" spans="1:21" ht="17.25" thickBot="1" x14ac:dyDescent="0.3">
      <c r="A50" s="135" t="s">
        <v>19</v>
      </c>
      <c r="B50" s="219"/>
      <c r="C50" s="20"/>
      <c r="D50" s="134"/>
      <c r="E50" s="20"/>
      <c r="F50" s="20"/>
      <c r="G50" s="20"/>
      <c r="H50" s="250">
        <v>1</v>
      </c>
      <c r="I50" s="20">
        <v>560</v>
      </c>
      <c r="J50" s="20">
        <v>10</v>
      </c>
      <c r="K50" s="20">
        <f t="shared" si="9"/>
        <v>56</v>
      </c>
      <c r="L50" s="20">
        <f t="shared" si="10"/>
        <v>13.49</v>
      </c>
      <c r="M50" s="21">
        <f t="shared" si="11"/>
        <v>69.489999999999995</v>
      </c>
      <c r="N50" s="19"/>
      <c r="O50" s="20"/>
      <c r="P50" s="20"/>
      <c r="Q50" s="20"/>
      <c r="R50" s="20"/>
      <c r="S50" s="21"/>
      <c r="T50" s="297"/>
      <c r="U50" s="28"/>
    </row>
    <row r="51" spans="1:21" ht="17.25" thickBot="1" x14ac:dyDescent="0.3">
      <c r="A51" s="135" t="s">
        <v>19</v>
      </c>
      <c r="B51" s="219"/>
      <c r="C51" s="20"/>
      <c r="D51" s="134"/>
      <c r="E51" s="20"/>
      <c r="F51" s="20"/>
      <c r="G51" s="20"/>
      <c r="H51" s="250">
        <f>56/158</f>
        <v>0.35443037974683544</v>
      </c>
      <c r="I51" s="20">
        <v>560</v>
      </c>
      <c r="J51" s="20">
        <v>10</v>
      </c>
      <c r="K51" s="20">
        <f t="shared" si="9"/>
        <v>19.850000000000001</v>
      </c>
      <c r="L51" s="20">
        <f t="shared" si="10"/>
        <v>4.78</v>
      </c>
      <c r="M51" s="21">
        <f t="shared" si="11"/>
        <v>24.630000000000003</v>
      </c>
      <c r="N51" s="19"/>
      <c r="O51" s="20"/>
      <c r="P51" s="20"/>
      <c r="Q51" s="20"/>
      <c r="R51" s="20"/>
      <c r="S51" s="21"/>
      <c r="T51" s="297"/>
      <c r="U51" s="28"/>
    </row>
    <row r="52" spans="1:21" ht="17.25" thickBot="1" x14ac:dyDescent="0.3">
      <c r="A52" s="135" t="s">
        <v>19</v>
      </c>
      <c r="B52" s="219"/>
      <c r="C52" s="20"/>
      <c r="D52" s="134"/>
      <c r="E52" s="20"/>
      <c r="F52" s="20"/>
      <c r="G52" s="20"/>
      <c r="H52" s="250">
        <v>1</v>
      </c>
      <c r="I52" s="20">
        <v>560</v>
      </c>
      <c r="J52" s="20">
        <v>10</v>
      </c>
      <c r="K52" s="20">
        <f t="shared" si="9"/>
        <v>56</v>
      </c>
      <c r="L52" s="20">
        <f t="shared" si="10"/>
        <v>13.49</v>
      </c>
      <c r="M52" s="21">
        <f t="shared" si="11"/>
        <v>69.489999999999995</v>
      </c>
      <c r="N52" s="19"/>
      <c r="O52" s="20"/>
      <c r="P52" s="20"/>
      <c r="Q52" s="20"/>
      <c r="R52" s="20"/>
      <c r="S52" s="21"/>
      <c r="T52" s="297"/>
      <c r="U52" s="28"/>
    </row>
    <row r="53" spans="1:21" ht="17.25" thickBot="1" x14ac:dyDescent="0.3">
      <c r="A53" s="135" t="s">
        <v>19</v>
      </c>
      <c r="B53" s="219"/>
      <c r="C53" s="20"/>
      <c r="D53" s="134"/>
      <c r="E53" s="20"/>
      <c r="F53" s="20"/>
      <c r="G53" s="20"/>
      <c r="H53" s="250">
        <f>68/158</f>
        <v>0.43037974683544306</v>
      </c>
      <c r="I53" s="20">
        <v>560</v>
      </c>
      <c r="J53" s="20">
        <v>10</v>
      </c>
      <c r="K53" s="20">
        <f t="shared" si="9"/>
        <v>24.1</v>
      </c>
      <c r="L53" s="20">
        <f t="shared" si="10"/>
        <v>5.81</v>
      </c>
      <c r="M53" s="21">
        <f t="shared" si="11"/>
        <v>29.91</v>
      </c>
      <c r="N53" s="19"/>
      <c r="O53" s="20"/>
      <c r="P53" s="20"/>
      <c r="Q53" s="20"/>
      <c r="R53" s="20"/>
      <c r="S53" s="21"/>
      <c r="T53" s="297"/>
      <c r="U53" s="28"/>
    </row>
    <row r="54" spans="1:21" ht="17.25" thickBot="1" x14ac:dyDescent="0.3">
      <c r="A54" s="135" t="s">
        <v>19</v>
      </c>
      <c r="B54" s="219"/>
      <c r="C54" s="20"/>
      <c r="D54" s="134"/>
      <c r="E54" s="20"/>
      <c r="F54" s="20"/>
      <c r="G54" s="20"/>
      <c r="H54" s="250">
        <f>76/158</f>
        <v>0.48101265822784811</v>
      </c>
      <c r="I54" s="20">
        <v>560</v>
      </c>
      <c r="J54" s="20">
        <v>10</v>
      </c>
      <c r="K54" s="20">
        <f t="shared" si="9"/>
        <v>26.94</v>
      </c>
      <c r="L54" s="20">
        <f t="shared" si="10"/>
        <v>6.49</v>
      </c>
      <c r="M54" s="21">
        <f t="shared" si="11"/>
        <v>33.43</v>
      </c>
      <c r="N54" s="19"/>
      <c r="O54" s="20"/>
      <c r="P54" s="20"/>
      <c r="Q54" s="20"/>
      <c r="R54" s="20"/>
      <c r="S54" s="21"/>
      <c r="T54" s="297"/>
      <c r="U54" s="28"/>
    </row>
    <row r="55" spans="1:21" ht="17.25" thickBot="1" x14ac:dyDescent="0.3">
      <c r="A55" s="135" t="s">
        <v>19</v>
      </c>
      <c r="B55" s="219"/>
      <c r="C55" s="20"/>
      <c r="D55" s="134"/>
      <c r="E55" s="20"/>
      <c r="F55" s="20"/>
      <c r="G55" s="20"/>
      <c r="H55" s="250">
        <f>80/158</f>
        <v>0.50632911392405067</v>
      </c>
      <c r="I55" s="20">
        <v>560</v>
      </c>
      <c r="J55" s="20">
        <v>10</v>
      </c>
      <c r="K55" s="20">
        <f t="shared" si="9"/>
        <v>28.35</v>
      </c>
      <c r="L55" s="20">
        <f t="shared" si="10"/>
        <v>6.83</v>
      </c>
      <c r="M55" s="21">
        <f t="shared" si="11"/>
        <v>35.18</v>
      </c>
      <c r="N55" s="19"/>
      <c r="O55" s="20"/>
      <c r="P55" s="20"/>
      <c r="Q55" s="20"/>
      <c r="R55" s="20"/>
      <c r="S55" s="21"/>
      <c r="T55" s="297"/>
      <c r="U55" s="28"/>
    </row>
    <row r="56" spans="1:21" ht="17.25" thickBot="1" x14ac:dyDescent="0.3">
      <c r="A56" s="135" t="s">
        <v>19</v>
      </c>
      <c r="B56" s="219"/>
      <c r="C56" s="20"/>
      <c r="D56" s="134"/>
      <c r="E56" s="20"/>
      <c r="F56" s="20"/>
      <c r="G56" s="20"/>
      <c r="H56" s="250">
        <f>80/158</f>
        <v>0.50632911392405067</v>
      </c>
      <c r="I56" s="20">
        <v>560</v>
      </c>
      <c r="J56" s="20">
        <v>10</v>
      </c>
      <c r="K56" s="20">
        <f t="shared" si="9"/>
        <v>28.35</v>
      </c>
      <c r="L56" s="20">
        <f t="shared" si="10"/>
        <v>6.83</v>
      </c>
      <c r="M56" s="21">
        <f t="shared" si="11"/>
        <v>35.18</v>
      </c>
      <c r="N56" s="19"/>
      <c r="O56" s="20"/>
      <c r="P56" s="20"/>
      <c r="Q56" s="20"/>
      <c r="R56" s="20"/>
      <c r="S56" s="21"/>
      <c r="T56" s="297"/>
      <c r="U56" s="28"/>
    </row>
    <row r="57" spans="1:21" ht="17.25" thickBot="1" x14ac:dyDescent="0.3">
      <c r="A57" s="135" t="s">
        <v>19</v>
      </c>
      <c r="B57" s="219"/>
      <c r="C57" s="20"/>
      <c r="D57" s="134"/>
      <c r="E57" s="20"/>
      <c r="F57" s="20"/>
      <c r="G57" s="20"/>
      <c r="H57" s="250">
        <v>1</v>
      </c>
      <c r="I57" s="20">
        <v>560</v>
      </c>
      <c r="J57" s="20">
        <v>10</v>
      </c>
      <c r="K57" s="20">
        <f t="shared" si="9"/>
        <v>56</v>
      </c>
      <c r="L57" s="20">
        <f t="shared" si="10"/>
        <v>13.49</v>
      </c>
      <c r="M57" s="21">
        <f t="shared" si="11"/>
        <v>69.489999999999995</v>
      </c>
      <c r="N57" s="19"/>
      <c r="O57" s="20"/>
      <c r="P57" s="20"/>
      <c r="Q57" s="20"/>
      <c r="R57" s="20"/>
      <c r="S57" s="21"/>
      <c r="T57" s="297"/>
      <c r="U57" s="28"/>
    </row>
    <row r="58" spans="1:21" ht="17.25" thickBot="1" x14ac:dyDescent="0.3">
      <c r="A58" s="135" t="s">
        <v>19</v>
      </c>
      <c r="B58" s="219"/>
      <c r="C58" s="20"/>
      <c r="D58" s="134"/>
      <c r="E58" s="20"/>
      <c r="F58" s="20"/>
      <c r="G58" s="20"/>
      <c r="H58" s="250">
        <v>1</v>
      </c>
      <c r="I58" s="20">
        <v>560</v>
      </c>
      <c r="J58" s="20">
        <v>10</v>
      </c>
      <c r="K58" s="20">
        <f t="shared" si="9"/>
        <v>56</v>
      </c>
      <c r="L58" s="20">
        <f t="shared" si="10"/>
        <v>13.49</v>
      </c>
      <c r="M58" s="21">
        <f t="shared" si="11"/>
        <v>69.489999999999995</v>
      </c>
      <c r="N58" s="19"/>
      <c r="O58" s="20"/>
      <c r="P58" s="20"/>
      <c r="Q58" s="20"/>
      <c r="R58" s="20"/>
      <c r="S58" s="21"/>
      <c r="T58" s="297"/>
      <c r="U58" s="28"/>
    </row>
    <row r="59" spans="1:21" ht="17.25" thickBot="1" x14ac:dyDescent="0.3">
      <c r="A59" s="135" t="s">
        <v>19</v>
      </c>
      <c r="B59" s="219"/>
      <c r="C59" s="20"/>
      <c r="D59" s="134"/>
      <c r="E59" s="20"/>
      <c r="F59" s="20"/>
      <c r="G59" s="20"/>
      <c r="H59" s="250">
        <v>1</v>
      </c>
      <c r="I59" s="20">
        <v>560</v>
      </c>
      <c r="J59" s="20">
        <v>10</v>
      </c>
      <c r="K59" s="20">
        <f t="shared" si="9"/>
        <v>56</v>
      </c>
      <c r="L59" s="20">
        <f t="shared" si="10"/>
        <v>13.49</v>
      </c>
      <c r="M59" s="21">
        <f t="shared" si="11"/>
        <v>69.489999999999995</v>
      </c>
      <c r="N59" s="19"/>
      <c r="O59" s="20"/>
      <c r="P59" s="20"/>
      <c r="Q59" s="20"/>
      <c r="R59" s="20"/>
      <c r="S59" s="21"/>
      <c r="T59" s="297"/>
      <c r="U59" s="28"/>
    </row>
    <row r="60" spans="1:21" ht="17.25" thickBot="1" x14ac:dyDescent="0.3">
      <c r="A60" s="135" t="s">
        <v>19</v>
      </c>
      <c r="B60" s="219"/>
      <c r="C60" s="20"/>
      <c r="D60" s="134"/>
      <c r="E60" s="20"/>
      <c r="F60" s="20"/>
      <c r="G60" s="20"/>
      <c r="H60" s="250">
        <f>80/158</f>
        <v>0.50632911392405067</v>
      </c>
      <c r="I60" s="20">
        <v>560</v>
      </c>
      <c r="J60" s="20">
        <v>10</v>
      </c>
      <c r="K60" s="20">
        <f t="shared" si="9"/>
        <v>28.35</v>
      </c>
      <c r="L60" s="20">
        <f t="shared" si="10"/>
        <v>6.83</v>
      </c>
      <c r="M60" s="21">
        <f t="shared" si="11"/>
        <v>35.18</v>
      </c>
      <c r="N60" s="19"/>
      <c r="O60" s="20"/>
      <c r="P60" s="20"/>
      <c r="Q60" s="20"/>
      <c r="R60" s="20"/>
      <c r="S60" s="21"/>
      <c r="T60" s="297"/>
      <c r="U60" s="28"/>
    </row>
    <row r="61" spans="1:21" ht="17.25" thickBot="1" x14ac:dyDescent="0.3">
      <c r="A61" s="135" t="s">
        <v>19</v>
      </c>
      <c r="B61" s="231"/>
      <c r="C61" s="23"/>
      <c r="D61" s="154"/>
      <c r="E61" s="23"/>
      <c r="F61" s="23"/>
      <c r="G61" s="23"/>
      <c r="H61" s="258">
        <f>80/158</f>
        <v>0.50632911392405067</v>
      </c>
      <c r="I61" s="23">
        <v>560</v>
      </c>
      <c r="J61" s="23">
        <v>10</v>
      </c>
      <c r="K61" s="20">
        <f t="shared" si="9"/>
        <v>28.35</v>
      </c>
      <c r="L61" s="20">
        <f t="shared" si="10"/>
        <v>6.83</v>
      </c>
      <c r="M61" s="24">
        <f t="shared" si="11"/>
        <v>35.18</v>
      </c>
      <c r="N61" s="22"/>
      <c r="O61" s="23"/>
      <c r="P61" s="23"/>
      <c r="Q61" s="23"/>
      <c r="R61" s="23"/>
      <c r="S61" s="24"/>
      <c r="T61" s="297"/>
      <c r="U61" s="28"/>
    </row>
    <row r="62" spans="1:21" ht="36" customHeight="1" x14ac:dyDescent="0.25">
      <c r="A62" s="128" t="s">
        <v>11</v>
      </c>
      <c r="B62" s="239"/>
      <c r="C62" s="156"/>
      <c r="D62" s="156"/>
      <c r="E62" s="156"/>
      <c r="F62" s="156"/>
      <c r="G62" s="156"/>
      <c r="H62" s="249">
        <f>SUM(H63:H66)</f>
        <v>3.5949367088607596</v>
      </c>
      <c r="I62" s="156"/>
      <c r="J62" s="156"/>
      <c r="K62" s="156">
        <f>SUM(K63:K66)</f>
        <v>113.53999999999999</v>
      </c>
      <c r="L62" s="156">
        <f t="shared" ref="L62:M62" si="12">SUM(L63:L66)</f>
        <v>27.35</v>
      </c>
      <c r="M62" s="156">
        <f t="shared" si="12"/>
        <v>140.88999999999999</v>
      </c>
      <c r="N62" s="155"/>
      <c r="O62" s="156"/>
      <c r="P62" s="156"/>
      <c r="Q62" s="156"/>
      <c r="R62" s="156"/>
      <c r="S62" s="240"/>
      <c r="T62" s="297"/>
      <c r="U62" s="28"/>
    </row>
    <row r="63" spans="1:21" x14ac:dyDescent="0.25">
      <c r="A63" s="132" t="s">
        <v>241</v>
      </c>
      <c r="B63" s="233"/>
      <c r="C63" s="20"/>
      <c r="D63" s="20"/>
      <c r="E63" s="20"/>
      <c r="F63" s="20"/>
      <c r="G63" s="20"/>
      <c r="H63" s="250">
        <v>1</v>
      </c>
      <c r="I63" s="20">
        <v>510</v>
      </c>
      <c r="J63" s="20">
        <v>5</v>
      </c>
      <c r="K63" s="20">
        <f>ROUND(I63*0.05*H63,2)</f>
        <v>25.5</v>
      </c>
      <c r="L63" s="20">
        <f>ROUND(K63*0.2409,2)</f>
        <v>6.14</v>
      </c>
      <c r="M63" s="21">
        <f t="shared" ref="M63:M71" si="13">K63+L63</f>
        <v>31.64</v>
      </c>
      <c r="N63" s="19"/>
      <c r="O63" s="20"/>
      <c r="P63" s="20"/>
      <c r="Q63" s="20"/>
      <c r="R63" s="20"/>
      <c r="S63" s="21"/>
      <c r="T63" s="297"/>
      <c r="U63" s="28"/>
    </row>
    <row r="64" spans="1:21" x14ac:dyDescent="0.25">
      <c r="A64" s="132" t="s">
        <v>241</v>
      </c>
      <c r="B64" s="233"/>
      <c r="C64" s="20"/>
      <c r="D64" s="20"/>
      <c r="E64" s="20"/>
      <c r="F64" s="20"/>
      <c r="G64" s="20"/>
      <c r="H64" s="250">
        <f>118/158</f>
        <v>0.74683544303797467</v>
      </c>
      <c r="I64" s="20">
        <v>510</v>
      </c>
      <c r="J64" s="20">
        <v>5</v>
      </c>
      <c r="K64" s="20">
        <f t="shared" ref="K64:K66" si="14">ROUND(I64*0.05*H64,2)</f>
        <v>19.04</v>
      </c>
      <c r="L64" s="20">
        <f t="shared" ref="L64:L66" si="15">ROUND(K64*0.2409,2)</f>
        <v>4.59</v>
      </c>
      <c r="M64" s="21">
        <f t="shared" si="13"/>
        <v>23.63</v>
      </c>
      <c r="N64" s="19"/>
      <c r="O64" s="20"/>
      <c r="P64" s="20"/>
      <c r="Q64" s="20"/>
      <c r="R64" s="20"/>
      <c r="S64" s="21"/>
      <c r="T64" s="297"/>
      <c r="U64" s="28"/>
    </row>
    <row r="65" spans="1:21" x14ac:dyDescent="0.25">
      <c r="A65" s="261" t="s">
        <v>103</v>
      </c>
      <c r="B65" s="233"/>
      <c r="C65" s="20"/>
      <c r="D65" s="20"/>
      <c r="E65" s="20"/>
      <c r="F65" s="20"/>
      <c r="G65" s="20"/>
      <c r="H65" s="250">
        <f>134/158</f>
        <v>0.84810126582278478</v>
      </c>
      <c r="I65" s="20">
        <v>790</v>
      </c>
      <c r="J65" s="20">
        <v>5</v>
      </c>
      <c r="K65" s="20">
        <f t="shared" si="14"/>
        <v>33.5</v>
      </c>
      <c r="L65" s="20">
        <f t="shared" si="15"/>
        <v>8.07</v>
      </c>
      <c r="M65" s="21">
        <f t="shared" si="13"/>
        <v>41.57</v>
      </c>
      <c r="N65" s="19"/>
      <c r="O65" s="20"/>
      <c r="P65" s="20"/>
      <c r="Q65" s="20"/>
      <c r="R65" s="20"/>
      <c r="S65" s="21"/>
      <c r="T65" s="297"/>
      <c r="U65" s="28"/>
    </row>
    <row r="66" spans="1:21" ht="17.25" thickBot="1" x14ac:dyDescent="0.3">
      <c r="A66" s="253" t="s">
        <v>242</v>
      </c>
      <c r="B66" s="237"/>
      <c r="C66" s="23"/>
      <c r="D66" s="23"/>
      <c r="E66" s="23"/>
      <c r="F66" s="23"/>
      <c r="G66" s="23"/>
      <c r="H66" s="258">
        <v>1</v>
      </c>
      <c r="I66" s="23">
        <v>710</v>
      </c>
      <c r="J66" s="23">
        <v>5</v>
      </c>
      <c r="K66" s="20">
        <f t="shared" si="14"/>
        <v>35.5</v>
      </c>
      <c r="L66" s="20">
        <f t="shared" si="15"/>
        <v>8.5500000000000007</v>
      </c>
      <c r="M66" s="24">
        <f t="shared" si="13"/>
        <v>44.05</v>
      </c>
      <c r="N66" s="22"/>
      <c r="O66" s="23"/>
      <c r="P66" s="23"/>
      <c r="Q66" s="23"/>
      <c r="R66" s="23"/>
      <c r="S66" s="24"/>
      <c r="T66" s="297"/>
      <c r="U66" s="28"/>
    </row>
    <row r="67" spans="1:21" s="1" customFormat="1" ht="24" customHeight="1" thickBot="1" x14ac:dyDescent="0.3">
      <c r="A67" s="262" t="s">
        <v>85</v>
      </c>
      <c r="B67" s="263"/>
      <c r="C67" s="264"/>
      <c r="D67" s="264"/>
      <c r="E67" s="264"/>
      <c r="F67" s="264"/>
      <c r="G67" s="265"/>
      <c r="H67" s="266">
        <f>H68+H73+H81</f>
        <v>12.044303797468356</v>
      </c>
      <c r="I67" s="264"/>
      <c r="J67" s="264"/>
      <c r="K67" s="264">
        <f>K68+K73+K81</f>
        <v>2117.9899999999998</v>
      </c>
      <c r="L67" s="264">
        <f>K67*0.2409</f>
        <v>510.22379099999995</v>
      </c>
      <c r="M67" s="265">
        <f t="shared" si="13"/>
        <v>2628.2137909999997</v>
      </c>
      <c r="N67" s="267"/>
      <c r="O67" s="264"/>
      <c r="P67" s="264"/>
      <c r="Q67" s="264"/>
      <c r="R67" s="264"/>
      <c r="S67" s="265"/>
      <c r="T67" s="297"/>
      <c r="U67" s="28"/>
    </row>
    <row r="68" spans="1:21" ht="52.5" customHeight="1" x14ac:dyDescent="0.25">
      <c r="A68" s="128" t="s">
        <v>14</v>
      </c>
      <c r="B68" s="239"/>
      <c r="C68" s="156"/>
      <c r="D68" s="156"/>
      <c r="E68" s="157"/>
      <c r="F68" s="157"/>
      <c r="G68" s="158"/>
      <c r="H68" s="249">
        <f>SUM(H69:H71)</f>
        <v>2.7468354430379747</v>
      </c>
      <c r="I68" s="156"/>
      <c r="J68" s="156"/>
      <c r="K68" s="836">
        <f>SUM(K69:K72)</f>
        <v>1124.4000000000001</v>
      </c>
      <c r="L68" s="836">
        <f t="shared" ref="L68" si="16">SUM(L69:L72)</f>
        <v>270.87</v>
      </c>
      <c r="M68" s="836">
        <f>SUM(M69:M72)</f>
        <v>1395.27</v>
      </c>
      <c r="N68" s="155"/>
      <c r="O68" s="156"/>
      <c r="P68" s="156"/>
      <c r="Q68" s="156"/>
      <c r="R68" s="156"/>
      <c r="S68" s="240"/>
      <c r="T68" s="297"/>
      <c r="U68" s="28"/>
    </row>
    <row r="69" spans="1:21" ht="18.75" customHeight="1" x14ac:dyDescent="0.25">
      <c r="A69" s="220" t="s">
        <v>243</v>
      </c>
      <c r="B69" s="233"/>
      <c r="C69" s="20"/>
      <c r="D69" s="268"/>
      <c r="E69" s="20"/>
      <c r="F69" s="20"/>
      <c r="G69" s="20"/>
      <c r="H69" s="250">
        <v>1</v>
      </c>
      <c r="I69" s="20">
        <v>2050</v>
      </c>
      <c r="J69" s="20">
        <v>20</v>
      </c>
      <c r="K69" s="20">
        <f>ROUND(I69*0.2*H69,2)</f>
        <v>410</v>
      </c>
      <c r="L69" s="20">
        <f>ROUND(K69*0.2409,2)</f>
        <v>98.77</v>
      </c>
      <c r="M69" s="21">
        <f t="shared" si="13"/>
        <v>508.77</v>
      </c>
      <c r="N69" s="19"/>
      <c r="O69" s="20"/>
      <c r="P69" s="20"/>
      <c r="Q69" s="20"/>
      <c r="R69" s="20"/>
      <c r="S69" s="21"/>
      <c r="T69" s="297"/>
      <c r="U69" s="28"/>
    </row>
    <row r="70" spans="1:21" ht="18.75" customHeight="1" x14ac:dyDescent="0.25">
      <c r="A70" s="220" t="s">
        <v>244</v>
      </c>
      <c r="B70" s="233"/>
      <c r="C70" s="20"/>
      <c r="D70" s="268"/>
      <c r="E70" s="20"/>
      <c r="F70" s="20"/>
      <c r="G70" s="20"/>
      <c r="H70" s="250">
        <f>118/158</f>
        <v>0.74683544303797467</v>
      </c>
      <c r="I70" s="20">
        <v>2050</v>
      </c>
      <c r="J70" s="20">
        <v>10</v>
      </c>
      <c r="K70" s="20">
        <f>ROUND(I70*0.1*H70,2)</f>
        <v>153.1</v>
      </c>
      <c r="L70" s="20">
        <f t="shared" ref="L70:L72" si="17">ROUND(K70*0.2409,2)</f>
        <v>36.880000000000003</v>
      </c>
      <c r="M70" s="21">
        <f t="shared" si="13"/>
        <v>189.98</v>
      </c>
      <c r="N70" s="19"/>
      <c r="O70" s="20"/>
      <c r="P70" s="20"/>
      <c r="Q70" s="20"/>
      <c r="R70" s="20"/>
      <c r="S70" s="21"/>
      <c r="T70" s="297"/>
      <c r="U70" s="28"/>
    </row>
    <row r="71" spans="1:21" ht="18.75" customHeight="1" x14ac:dyDescent="0.25">
      <c r="A71" s="220" t="s">
        <v>95</v>
      </c>
      <c r="B71" s="233"/>
      <c r="C71" s="20"/>
      <c r="D71" s="268"/>
      <c r="E71" s="20"/>
      <c r="F71" s="20"/>
      <c r="G71" s="20"/>
      <c r="H71" s="250">
        <v>1</v>
      </c>
      <c r="I71" s="20">
        <v>1530</v>
      </c>
      <c r="J71" s="20">
        <v>1</v>
      </c>
      <c r="K71" s="20">
        <f>ROUND(I71*0.01*H71,2)</f>
        <v>15.3</v>
      </c>
      <c r="L71" s="20">
        <f t="shared" si="17"/>
        <v>3.69</v>
      </c>
      <c r="M71" s="837">
        <f t="shared" si="13"/>
        <v>18.990000000000002</v>
      </c>
      <c r="N71" s="19"/>
      <c r="O71" s="20"/>
      <c r="P71" s="20"/>
      <c r="Q71" s="20"/>
      <c r="R71" s="20"/>
      <c r="S71" s="21"/>
      <c r="T71" s="297"/>
      <c r="U71" s="28"/>
    </row>
    <row r="72" spans="1:21" ht="18.75" customHeight="1" x14ac:dyDescent="0.25">
      <c r="A72" s="220" t="s">
        <v>95</v>
      </c>
      <c r="B72" s="233"/>
      <c r="C72" s="20"/>
      <c r="D72" s="268"/>
      <c r="E72" s="20"/>
      <c r="F72" s="20"/>
      <c r="G72" s="20"/>
      <c r="H72" s="250">
        <v>1</v>
      </c>
      <c r="I72" s="20">
        <v>2730</v>
      </c>
      <c r="J72" s="20">
        <v>20</v>
      </c>
      <c r="K72" s="20">
        <f>ROUND(I72*0.2*H72,2)</f>
        <v>546</v>
      </c>
      <c r="L72" s="20">
        <f t="shared" si="17"/>
        <v>131.53</v>
      </c>
      <c r="M72" s="20">
        <f t="shared" ref="M72:M78" si="18">K72+L72</f>
        <v>677.53</v>
      </c>
      <c r="N72" s="19"/>
      <c r="O72" s="20"/>
      <c r="P72" s="20"/>
      <c r="Q72" s="20"/>
      <c r="R72" s="20"/>
      <c r="S72" s="21"/>
      <c r="T72" s="297"/>
      <c r="U72" s="28"/>
    </row>
    <row r="73" spans="1:21" ht="49.5" customHeight="1" x14ac:dyDescent="0.25">
      <c r="A73" s="220" t="s">
        <v>12</v>
      </c>
      <c r="B73" s="233"/>
      <c r="C73" s="20"/>
      <c r="D73" s="20"/>
      <c r="E73" s="30"/>
      <c r="F73" s="30"/>
      <c r="G73" s="30"/>
      <c r="H73" s="250">
        <f>SUM(H74:H78)</f>
        <v>4.5506329113924053</v>
      </c>
      <c r="I73" s="20"/>
      <c r="J73" s="20"/>
      <c r="K73" s="20">
        <f>SUM(K74:K78)</f>
        <v>441.53</v>
      </c>
      <c r="L73" s="20">
        <f t="shared" ref="L73:M73" si="19">SUM(L74:L78)</f>
        <v>106.37</v>
      </c>
      <c r="M73" s="20">
        <f t="shared" si="19"/>
        <v>547.9</v>
      </c>
      <c r="N73" s="19"/>
      <c r="O73" s="20"/>
      <c r="P73" s="20"/>
      <c r="Q73" s="20"/>
      <c r="R73" s="20"/>
      <c r="S73" s="21"/>
      <c r="T73" s="297"/>
      <c r="U73" s="28"/>
    </row>
    <row r="74" spans="1:21" x14ac:dyDescent="0.25">
      <c r="A74" s="220" t="s">
        <v>245</v>
      </c>
      <c r="B74" s="233"/>
      <c r="C74" s="20"/>
      <c r="D74" s="134"/>
      <c r="E74" s="20"/>
      <c r="F74" s="20"/>
      <c r="G74" s="20"/>
      <c r="H74" s="250">
        <v>1</v>
      </c>
      <c r="I74" s="20">
        <v>1640</v>
      </c>
      <c r="J74" s="20">
        <v>20</v>
      </c>
      <c r="K74" s="20">
        <f>ROUND(I74*0.2*H74,2)</f>
        <v>328</v>
      </c>
      <c r="L74" s="20">
        <f>ROUND(K74*0.2409,2)</f>
        <v>79.02</v>
      </c>
      <c r="M74" s="21">
        <f t="shared" si="18"/>
        <v>407.02</v>
      </c>
      <c r="N74" s="19"/>
      <c r="O74" s="20"/>
      <c r="P74" s="20"/>
      <c r="Q74" s="20"/>
      <c r="R74" s="20"/>
      <c r="S74" s="21"/>
      <c r="T74" s="297"/>
      <c r="U74" s="28"/>
    </row>
    <row r="75" spans="1:21" x14ac:dyDescent="0.25">
      <c r="A75" s="220" t="s">
        <v>246</v>
      </c>
      <c r="B75" s="233"/>
      <c r="C75" s="20"/>
      <c r="D75" s="134"/>
      <c r="E75" s="20"/>
      <c r="F75" s="20"/>
      <c r="G75" s="20"/>
      <c r="H75" s="250">
        <f>111/158</f>
        <v>0.70253164556962022</v>
      </c>
      <c r="I75" s="20">
        <v>902</v>
      </c>
      <c r="J75" s="20">
        <v>3</v>
      </c>
      <c r="K75" s="20">
        <f>ROUND(I75*0.03*H75,2)</f>
        <v>19.010000000000002</v>
      </c>
      <c r="L75" s="20">
        <f t="shared" ref="L75:L78" si="20">ROUND(K75*0.2409,2)</f>
        <v>4.58</v>
      </c>
      <c r="M75" s="21">
        <f t="shared" si="18"/>
        <v>23.590000000000003</v>
      </c>
      <c r="N75" s="19"/>
      <c r="O75" s="20"/>
      <c r="P75" s="20"/>
      <c r="Q75" s="20"/>
      <c r="R75" s="20"/>
      <c r="S75" s="21"/>
      <c r="T75" s="297"/>
      <c r="U75" s="28"/>
    </row>
    <row r="76" spans="1:21" x14ac:dyDescent="0.25">
      <c r="A76" s="220" t="s">
        <v>246</v>
      </c>
      <c r="B76" s="233"/>
      <c r="C76" s="20"/>
      <c r="D76" s="134"/>
      <c r="E76" s="20"/>
      <c r="F76" s="20"/>
      <c r="G76" s="20"/>
      <c r="H76" s="250">
        <v>1</v>
      </c>
      <c r="I76" s="20">
        <v>1270</v>
      </c>
      <c r="J76" s="20">
        <v>1</v>
      </c>
      <c r="K76" s="20">
        <f>ROUND(I76*0.01*H76,2)</f>
        <v>12.7</v>
      </c>
      <c r="L76" s="20">
        <f t="shared" si="20"/>
        <v>3.06</v>
      </c>
      <c r="M76" s="21">
        <f t="shared" si="18"/>
        <v>15.76</v>
      </c>
      <c r="N76" s="19"/>
      <c r="O76" s="20"/>
      <c r="P76" s="20"/>
      <c r="Q76" s="20"/>
      <c r="R76" s="20"/>
      <c r="S76" s="21"/>
      <c r="T76" s="297"/>
      <c r="U76" s="28"/>
    </row>
    <row r="77" spans="1:21" x14ac:dyDescent="0.25">
      <c r="A77" s="19" t="s">
        <v>247</v>
      </c>
      <c r="B77" s="233"/>
      <c r="C77" s="20"/>
      <c r="D77" s="134"/>
      <c r="E77" s="20"/>
      <c r="F77" s="20"/>
      <c r="G77" s="20"/>
      <c r="H77" s="250">
        <f>134/158</f>
        <v>0.84810126582278478</v>
      </c>
      <c r="I77" s="233">
        <v>1630</v>
      </c>
      <c r="J77" s="136">
        <v>5</v>
      </c>
      <c r="K77" s="20">
        <f>ROUND(I77*0.05*H77,2)</f>
        <v>69.12</v>
      </c>
      <c r="L77" s="20">
        <f t="shared" si="20"/>
        <v>16.649999999999999</v>
      </c>
      <c r="M77" s="20">
        <f t="shared" si="18"/>
        <v>85.77000000000001</v>
      </c>
      <c r="N77" s="19"/>
      <c r="O77" s="20"/>
      <c r="P77" s="20"/>
      <c r="Q77" s="20"/>
      <c r="R77" s="20"/>
      <c r="S77" s="21"/>
      <c r="T77" s="297"/>
      <c r="U77" s="28"/>
    </row>
    <row r="78" spans="1:21" ht="17.25" thickBot="1" x14ac:dyDescent="0.3">
      <c r="A78" s="269" t="s">
        <v>246</v>
      </c>
      <c r="B78" s="237"/>
      <c r="C78" s="23"/>
      <c r="D78" s="154"/>
      <c r="E78" s="23"/>
      <c r="F78" s="23"/>
      <c r="G78" s="23"/>
      <c r="H78" s="258">
        <v>1</v>
      </c>
      <c r="I78" s="23">
        <v>1270</v>
      </c>
      <c r="J78" s="23">
        <v>1</v>
      </c>
      <c r="K78" s="20">
        <f>ROUND(I78*0.01*H78,2)</f>
        <v>12.7</v>
      </c>
      <c r="L78" s="20">
        <f t="shared" si="20"/>
        <v>3.06</v>
      </c>
      <c r="M78" s="24">
        <f t="shared" si="18"/>
        <v>15.76</v>
      </c>
      <c r="N78" s="22"/>
      <c r="O78" s="23"/>
      <c r="P78" s="23"/>
      <c r="Q78" s="23"/>
      <c r="R78" s="23"/>
      <c r="S78" s="24"/>
      <c r="T78" s="297"/>
      <c r="U78" s="28"/>
    </row>
    <row r="79" spans="1:21" ht="64.5" customHeight="1" x14ac:dyDescent="0.25">
      <c r="A79" s="270" t="s">
        <v>13</v>
      </c>
      <c r="B79" s="239"/>
      <c r="C79" s="156"/>
      <c r="D79" s="156"/>
      <c r="E79" s="156"/>
      <c r="F79" s="156"/>
      <c r="G79" s="156"/>
      <c r="H79" s="271"/>
      <c r="I79" s="156"/>
      <c r="J79" s="156"/>
      <c r="K79" s="156"/>
      <c r="L79" s="156"/>
      <c r="M79" s="156"/>
      <c r="N79" s="239"/>
      <c r="O79" s="156"/>
      <c r="P79" s="156"/>
      <c r="Q79" s="156"/>
      <c r="R79" s="156"/>
      <c r="S79" s="240"/>
      <c r="T79" s="297"/>
      <c r="U79" s="28"/>
    </row>
    <row r="80" spans="1:21" x14ac:dyDescent="0.25">
      <c r="A80" s="220" t="s">
        <v>1</v>
      </c>
      <c r="B80" s="233"/>
      <c r="C80" s="20"/>
      <c r="D80" s="20"/>
      <c r="E80" s="20"/>
      <c r="F80" s="20"/>
      <c r="G80" s="20"/>
      <c r="H80" s="219"/>
      <c r="I80" s="20"/>
      <c r="J80" s="20"/>
      <c r="K80" s="20"/>
      <c r="L80" s="20"/>
      <c r="M80" s="20"/>
      <c r="N80" s="233"/>
      <c r="O80" s="20"/>
      <c r="P80" s="20"/>
      <c r="Q80" s="20"/>
      <c r="R80" s="20"/>
      <c r="S80" s="21"/>
      <c r="T80" s="297"/>
      <c r="U80" s="28"/>
    </row>
    <row r="81" spans="1:21" ht="37.5" customHeight="1" x14ac:dyDescent="0.25">
      <c r="A81" s="220" t="s">
        <v>11</v>
      </c>
      <c r="B81" s="233"/>
      <c r="C81" s="20"/>
      <c r="D81" s="20"/>
      <c r="E81" s="30"/>
      <c r="F81" s="30"/>
      <c r="G81" s="30"/>
      <c r="H81" s="219">
        <f>SUM(H82:H88)</f>
        <v>4.7468354430379751</v>
      </c>
      <c r="I81" s="20"/>
      <c r="J81" s="20"/>
      <c r="K81" s="20">
        <f>SUM(K82:K86)</f>
        <v>552.05999999999995</v>
      </c>
      <c r="L81" s="20">
        <f t="shared" ref="L81:M81" si="21">SUM(L82:L86)</f>
        <v>132.99</v>
      </c>
      <c r="M81" s="20">
        <f t="shared" si="21"/>
        <v>685.05000000000007</v>
      </c>
      <c r="N81" s="233"/>
      <c r="O81" s="20"/>
      <c r="P81" s="20"/>
      <c r="Q81" s="20"/>
      <c r="R81" s="20"/>
      <c r="S81" s="21"/>
      <c r="T81" s="297"/>
      <c r="U81" s="28"/>
    </row>
    <row r="82" spans="1:21" x14ac:dyDescent="0.25">
      <c r="A82" s="19" t="s">
        <v>248</v>
      </c>
      <c r="B82" s="219"/>
      <c r="C82" s="20"/>
      <c r="D82" s="134"/>
      <c r="E82" s="20"/>
      <c r="F82" s="20"/>
      <c r="G82" s="272"/>
      <c r="H82" s="219">
        <f>118/158</f>
        <v>0.74683544303797467</v>
      </c>
      <c r="I82" s="233">
        <v>1400</v>
      </c>
      <c r="J82" s="136">
        <v>10</v>
      </c>
      <c r="K82" s="136">
        <f>ROUND(I82*0.1*H82,2)</f>
        <v>104.56</v>
      </c>
      <c r="L82" s="20">
        <f>ROUND(K82*0.2409,2)</f>
        <v>25.19</v>
      </c>
      <c r="M82" s="20">
        <f>K82+L82</f>
        <v>129.75</v>
      </c>
      <c r="N82" s="233"/>
      <c r="O82" s="20"/>
      <c r="P82" s="20"/>
      <c r="Q82" s="20"/>
      <c r="R82" s="20"/>
      <c r="S82" s="21"/>
      <c r="T82" s="297"/>
      <c r="U82" s="28"/>
    </row>
    <row r="83" spans="1:21" x14ac:dyDescent="0.25">
      <c r="A83" s="220" t="s">
        <v>249</v>
      </c>
      <c r="B83" s="219"/>
      <c r="C83" s="20"/>
      <c r="D83" s="134"/>
      <c r="E83" s="20"/>
      <c r="F83" s="20"/>
      <c r="G83" s="20"/>
      <c r="H83" s="219">
        <v>1</v>
      </c>
      <c r="I83" s="20">
        <v>1550</v>
      </c>
      <c r="J83" s="20">
        <v>5</v>
      </c>
      <c r="K83" s="136">
        <f>ROUND(I83*0.05*H83,2)</f>
        <v>77.5</v>
      </c>
      <c r="L83" s="20">
        <f t="shared" ref="L83:L86" si="22">ROUND(K83*0.2409,2)</f>
        <v>18.670000000000002</v>
      </c>
      <c r="M83" s="838">
        <f>K83+L83</f>
        <v>96.17</v>
      </c>
      <c r="N83" s="233"/>
      <c r="O83" s="20"/>
      <c r="P83" s="20"/>
      <c r="Q83" s="20"/>
      <c r="R83" s="20"/>
      <c r="S83" s="21"/>
      <c r="T83" s="297"/>
      <c r="U83" s="28"/>
    </row>
    <row r="84" spans="1:21" x14ac:dyDescent="0.25">
      <c r="A84" s="220" t="s">
        <v>250</v>
      </c>
      <c r="B84" s="219"/>
      <c r="C84" s="20"/>
      <c r="D84" s="134"/>
      <c r="E84" s="20"/>
      <c r="F84" s="20"/>
      <c r="G84" s="20"/>
      <c r="H84" s="219">
        <v>1</v>
      </c>
      <c r="I84" s="20">
        <v>1825</v>
      </c>
      <c r="J84" s="20">
        <v>10</v>
      </c>
      <c r="K84" s="136">
        <f t="shared" ref="K84" si="23">ROUND(I84*0.1*H84,2)</f>
        <v>182.5</v>
      </c>
      <c r="L84" s="20">
        <f t="shared" si="22"/>
        <v>43.96</v>
      </c>
      <c r="M84" s="20">
        <f>K84+L84</f>
        <v>226.46</v>
      </c>
      <c r="N84" s="233"/>
      <c r="O84" s="20"/>
      <c r="P84" s="20"/>
      <c r="Q84" s="20"/>
      <c r="R84" s="20"/>
      <c r="S84" s="21"/>
      <c r="T84" s="297"/>
      <c r="U84" s="28"/>
    </row>
    <row r="85" spans="1:21" x14ac:dyDescent="0.25">
      <c r="A85" s="220" t="s">
        <v>251</v>
      </c>
      <c r="B85" s="219"/>
      <c r="C85" s="20"/>
      <c r="D85" s="134"/>
      <c r="E85" s="20"/>
      <c r="F85" s="20"/>
      <c r="G85" s="20"/>
      <c r="H85" s="219">
        <v>1</v>
      </c>
      <c r="I85" s="20">
        <v>1250</v>
      </c>
      <c r="J85" s="20">
        <v>5</v>
      </c>
      <c r="K85" s="136">
        <f>ROUND(I85*0.05*H85,2)</f>
        <v>62.5</v>
      </c>
      <c r="L85" s="20">
        <f t="shared" si="22"/>
        <v>15.06</v>
      </c>
      <c r="M85" s="20">
        <f>K85+L85</f>
        <v>77.56</v>
      </c>
      <c r="N85" s="233"/>
      <c r="O85" s="20"/>
      <c r="P85" s="20"/>
      <c r="Q85" s="20"/>
      <c r="R85" s="20"/>
      <c r="S85" s="21"/>
      <c r="T85" s="297"/>
      <c r="U85" s="28"/>
    </row>
    <row r="86" spans="1:21" x14ac:dyDescent="0.25">
      <c r="A86" s="19" t="s">
        <v>252</v>
      </c>
      <c r="B86" s="233"/>
      <c r="C86" s="233"/>
      <c r="D86" s="233"/>
      <c r="E86" s="233"/>
      <c r="F86" s="233"/>
      <c r="G86" s="233"/>
      <c r="H86" s="219">
        <v>1</v>
      </c>
      <c r="I86" s="233">
        <v>2500</v>
      </c>
      <c r="J86" s="136">
        <v>5</v>
      </c>
      <c r="K86" s="136">
        <f>ROUND(I86*0.05*H86,2)</f>
        <v>125</v>
      </c>
      <c r="L86" s="20">
        <f t="shared" si="22"/>
        <v>30.11</v>
      </c>
      <c r="M86" s="136">
        <f>K86+L86</f>
        <v>155.11000000000001</v>
      </c>
      <c r="N86" s="233"/>
      <c r="O86" s="233"/>
      <c r="P86" s="233"/>
      <c r="Q86" s="233"/>
      <c r="R86" s="233"/>
      <c r="S86" s="273"/>
      <c r="T86" s="297"/>
      <c r="U86" s="28"/>
    </row>
    <row r="87" spans="1:21" ht="17.25" thickBot="1" x14ac:dyDescent="0.3">
      <c r="A87" s="22"/>
      <c r="B87" s="237"/>
      <c r="C87" s="237"/>
      <c r="D87" s="237"/>
      <c r="E87" s="237"/>
      <c r="F87" s="237"/>
      <c r="G87" s="237"/>
      <c r="H87" s="231"/>
      <c r="I87" s="237"/>
      <c r="J87" s="142"/>
      <c r="K87" s="142"/>
      <c r="L87" s="23"/>
      <c r="M87" s="23"/>
      <c r="N87" s="237"/>
      <c r="O87" s="237"/>
      <c r="P87" s="237"/>
      <c r="Q87" s="237"/>
      <c r="R87" s="237"/>
      <c r="S87" s="274"/>
      <c r="T87" s="297"/>
      <c r="U87" s="28"/>
    </row>
    <row r="88" spans="1:21" x14ac:dyDescent="0.25">
      <c r="A88" s="275"/>
      <c r="B88" s="275"/>
      <c r="C88" s="275"/>
      <c r="D88" s="275"/>
      <c r="E88" s="275"/>
      <c r="F88" s="275"/>
      <c r="G88" s="275"/>
      <c r="H88" s="276"/>
      <c r="I88" s="275"/>
      <c r="J88" s="251"/>
      <c r="K88" s="251"/>
      <c r="L88" s="277"/>
      <c r="M88" s="277"/>
      <c r="N88" s="275"/>
      <c r="O88" s="275"/>
      <c r="P88" s="275"/>
      <c r="Q88" s="275"/>
      <c r="R88" s="275"/>
      <c r="S88" s="275"/>
    </row>
    <row r="89" spans="1:21" x14ac:dyDescent="0.25">
      <c r="A89" s="901"/>
      <c r="B89" s="901"/>
      <c r="C89" s="901"/>
      <c r="D89" s="901"/>
      <c r="E89" s="901"/>
      <c r="F89" s="901"/>
      <c r="G89" s="901"/>
      <c r="H89" s="901"/>
      <c r="I89" s="901"/>
      <c r="J89" s="901"/>
      <c r="K89" s="901"/>
      <c r="L89" s="901"/>
      <c r="M89" s="901"/>
      <c r="N89" s="901"/>
      <c r="O89" s="901"/>
      <c r="P89" s="901"/>
      <c r="Q89" s="901"/>
      <c r="R89" s="901"/>
    </row>
    <row r="90" spans="1:21" x14ac:dyDescent="0.25">
      <c r="S90" s="25"/>
      <c r="T90" s="25"/>
    </row>
    <row r="91" spans="1:21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3" spans="1:21" ht="18" customHeight="1" x14ac:dyDescent="0.25"/>
  </sheetData>
  <mergeCells count="6">
    <mergeCell ref="A89:R89"/>
    <mergeCell ref="A2:S2"/>
    <mergeCell ref="A7:A8"/>
    <mergeCell ref="B7:G7"/>
    <mergeCell ref="H7:M7"/>
    <mergeCell ref="N7:S7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U40"/>
  <sheetViews>
    <sheetView topLeftCell="D4" zoomScale="70" zoomScaleNormal="70" workbookViewId="0">
      <selection activeCell="F143" sqref="F143"/>
    </sheetView>
  </sheetViews>
  <sheetFormatPr defaultRowHeight="16.5" x14ac:dyDescent="0.25"/>
  <cols>
    <col min="1" max="1" width="46" style="2" customWidth="1"/>
    <col min="2" max="2" width="14" style="2" customWidth="1"/>
    <col min="3" max="3" width="16" style="2" customWidth="1"/>
    <col min="4" max="19" width="14" style="2" customWidth="1"/>
    <col min="20" max="20" width="17.5703125" style="2" customWidth="1"/>
    <col min="21" max="22" width="15.85546875" style="2" customWidth="1"/>
    <col min="23" max="16384" width="9.140625" style="2"/>
  </cols>
  <sheetData>
    <row r="2" spans="1:21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21" x14ac:dyDescent="0.25">
      <c r="A4" s="2" t="s">
        <v>253</v>
      </c>
    </row>
    <row r="5" spans="1:21" ht="17.25" thickBot="1" x14ac:dyDescent="0.3"/>
    <row r="6" spans="1:21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908" t="s">
        <v>4</v>
      </c>
      <c r="I6" s="909"/>
      <c r="J6" s="909"/>
      <c r="K6" s="909"/>
      <c r="L6" s="909"/>
      <c r="M6" s="910"/>
      <c r="N6" s="857" t="s">
        <v>5</v>
      </c>
      <c r="O6" s="858"/>
      <c r="P6" s="858"/>
      <c r="Q6" s="858"/>
      <c r="R6" s="858"/>
      <c r="S6" s="859"/>
    </row>
    <row r="7" spans="1:21" ht="104.25" customHeight="1" x14ac:dyDescent="0.25">
      <c r="A7" s="907"/>
      <c r="B7" s="3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21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21" s="1" customFormat="1" ht="26.25" customHeight="1" x14ac:dyDescent="0.25">
      <c r="A9" s="10" t="s">
        <v>0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>ROUND(H10+H23,2)</f>
        <v>2.4</v>
      </c>
      <c r="I9" s="12"/>
      <c r="J9" s="12"/>
      <c r="K9" s="12">
        <f>ROUND(K10+K23,2)</f>
        <v>566.4</v>
      </c>
      <c r="L9" s="12">
        <f>ROUND(L10+L23,2)</f>
        <v>136.44999999999999</v>
      </c>
      <c r="M9" s="12">
        <f>ROUND(M10+M23,2)</f>
        <v>702.85</v>
      </c>
      <c r="N9" s="11"/>
      <c r="O9" s="12"/>
      <c r="P9" s="12"/>
      <c r="Q9" s="12"/>
      <c r="R9" s="12"/>
      <c r="S9" s="13"/>
      <c r="T9" s="411"/>
    </row>
    <row r="10" spans="1:21" s="1" customFormat="1" ht="21.75" customHeight="1" x14ac:dyDescent="0.25">
      <c r="A10" s="14" t="s">
        <v>254</v>
      </c>
      <c r="B10" s="127"/>
      <c r="C10" s="127"/>
      <c r="D10" s="127"/>
      <c r="E10" s="127"/>
      <c r="F10" s="127"/>
      <c r="G10" s="127"/>
      <c r="H10" s="127">
        <f>ROUND(H11+H14+H20,2)</f>
        <v>1.6</v>
      </c>
      <c r="I10" s="127"/>
      <c r="J10" s="127"/>
      <c r="K10" s="127">
        <f>ROUND(K11+K14+K20,2)</f>
        <v>334.4</v>
      </c>
      <c r="L10" s="127">
        <f>ROUND(L11+L14+L20,2)</f>
        <v>80.56</v>
      </c>
      <c r="M10" s="127">
        <f>ROUND(M11+M14+M20,2)</f>
        <v>414.96</v>
      </c>
      <c r="N10" s="15"/>
      <c r="O10" s="16"/>
      <c r="P10" s="16"/>
      <c r="Q10" s="16"/>
      <c r="R10" s="16"/>
      <c r="S10" s="17"/>
    </row>
    <row r="11" spans="1:21" ht="37.5" customHeight="1" x14ac:dyDescent="0.25">
      <c r="A11" s="18" t="s">
        <v>14</v>
      </c>
      <c r="B11" s="19"/>
      <c r="C11" s="20"/>
      <c r="D11" s="20"/>
      <c r="E11" s="20"/>
      <c r="F11" s="20"/>
      <c r="G11" s="21"/>
      <c r="H11" s="19">
        <v>0</v>
      </c>
      <c r="I11" s="20"/>
      <c r="J11" s="20"/>
      <c r="K11" s="20"/>
      <c r="L11" s="20"/>
      <c r="M11" s="21"/>
      <c r="N11" s="19"/>
      <c r="O11" s="20"/>
      <c r="P11" s="20"/>
      <c r="Q11" s="20"/>
      <c r="R11" s="20"/>
      <c r="S11" s="21"/>
    </row>
    <row r="12" spans="1:21" ht="18.75" customHeight="1" x14ac:dyDescent="0.25">
      <c r="A12" s="18" t="s">
        <v>1</v>
      </c>
      <c r="B12" s="19"/>
      <c r="C12" s="20"/>
      <c r="D12" s="20"/>
      <c r="E12" s="20"/>
      <c r="F12" s="20"/>
      <c r="G12" s="21"/>
      <c r="H12" s="19"/>
      <c r="I12" s="20"/>
      <c r="J12" s="20"/>
      <c r="K12" s="20"/>
      <c r="L12" s="20"/>
      <c r="M12" s="21"/>
      <c r="N12" s="19"/>
      <c r="O12" s="20"/>
      <c r="P12" s="20"/>
      <c r="Q12" s="20"/>
      <c r="R12" s="20"/>
      <c r="S12" s="21"/>
    </row>
    <row r="13" spans="1:21" ht="19.5" customHeight="1" thickBot="1" x14ac:dyDescent="0.3">
      <c r="A13" s="18" t="s">
        <v>1</v>
      </c>
      <c r="B13" s="19"/>
      <c r="C13" s="20"/>
      <c r="D13" s="20"/>
      <c r="E13" s="20"/>
      <c r="F13" s="20"/>
      <c r="G13" s="21"/>
      <c r="H13" s="19"/>
      <c r="I13" s="20"/>
      <c r="J13" s="20"/>
      <c r="K13" s="20"/>
      <c r="L13" s="20"/>
      <c r="M13" s="21"/>
      <c r="N13" s="19"/>
      <c r="O13" s="20"/>
      <c r="P13" s="20"/>
      <c r="Q13" s="20"/>
      <c r="R13" s="20"/>
      <c r="S13" s="21"/>
    </row>
    <row r="14" spans="1:21" ht="49.5" customHeight="1" x14ac:dyDescent="0.25">
      <c r="A14" s="18" t="s">
        <v>12</v>
      </c>
      <c r="B14" s="216"/>
      <c r="C14" s="130"/>
      <c r="D14" s="130"/>
      <c r="E14" s="130"/>
      <c r="F14" s="130"/>
      <c r="G14" s="131"/>
      <c r="H14" s="216">
        <f>ROUND(SUM(H15:H17),2)</f>
        <v>1.6</v>
      </c>
      <c r="I14" s="130"/>
      <c r="J14" s="130"/>
      <c r="K14" s="130">
        <f>ROUND(SUM(K15:K16),2)</f>
        <v>334.4</v>
      </c>
      <c r="L14" s="130">
        <f>ROUND(SUM(L15:L16),2)</f>
        <v>80.56</v>
      </c>
      <c r="M14" s="131">
        <f>ROUND(SUM(M15:M16),2)</f>
        <v>414.96</v>
      </c>
      <c r="N14" s="19"/>
      <c r="O14" s="20"/>
      <c r="P14" s="20"/>
      <c r="Q14" s="20"/>
      <c r="R14" s="20"/>
      <c r="S14" s="21"/>
    </row>
    <row r="15" spans="1:21" x14ac:dyDescent="0.25">
      <c r="A15" s="278" t="s">
        <v>17</v>
      </c>
      <c r="B15" s="19"/>
      <c r="C15" s="20"/>
      <c r="D15" s="20"/>
      <c r="E15" s="20"/>
      <c r="F15" s="20"/>
      <c r="G15" s="21"/>
      <c r="H15" s="19">
        <v>0.8</v>
      </c>
      <c r="I15" s="20">
        <v>990</v>
      </c>
      <c r="J15" s="20">
        <v>20</v>
      </c>
      <c r="K15" s="20">
        <f>ROUND(H15*I15*0.2,2)</f>
        <v>158.4</v>
      </c>
      <c r="L15" s="20">
        <f>ROUND(K15*0.2409,2)</f>
        <v>38.159999999999997</v>
      </c>
      <c r="M15" s="21">
        <f>ROUND(K15+L15,2)</f>
        <v>196.56</v>
      </c>
      <c r="N15" s="19"/>
      <c r="O15" s="20"/>
      <c r="P15" s="20"/>
      <c r="Q15" s="20"/>
      <c r="R15" s="20"/>
      <c r="S15" s="21"/>
      <c r="U15" s="28"/>
    </row>
    <row r="16" spans="1:21" x14ac:dyDescent="0.25">
      <c r="A16" s="278" t="s">
        <v>16</v>
      </c>
      <c r="B16" s="279"/>
      <c r="C16" s="20"/>
      <c r="D16" s="20"/>
      <c r="E16" s="20"/>
      <c r="F16" s="20"/>
      <c r="G16" s="21"/>
      <c r="H16" s="19">
        <v>0.8</v>
      </c>
      <c r="I16" s="20">
        <v>1100</v>
      </c>
      <c r="J16" s="20">
        <v>20</v>
      </c>
      <c r="K16" s="20">
        <f>ROUND(H16*I16*0.2,2)</f>
        <v>176</v>
      </c>
      <c r="L16" s="20">
        <f>ROUND(K16*0.2409,2)</f>
        <v>42.4</v>
      </c>
      <c r="M16" s="21">
        <f>ROUND(K16+L16,2)</f>
        <v>218.4</v>
      </c>
      <c r="N16" s="19"/>
      <c r="O16" s="20"/>
      <c r="P16" s="20"/>
      <c r="Q16" s="20"/>
      <c r="R16" s="20"/>
      <c r="S16" s="21"/>
      <c r="U16" s="28"/>
    </row>
    <row r="17" spans="1:21" ht="57" customHeight="1" x14ac:dyDescent="0.25">
      <c r="A17" s="18" t="s">
        <v>255</v>
      </c>
      <c r="B17" s="19"/>
      <c r="C17" s="20"/>
      <c r="D17" s="20"/>
      <c r="E17" s="20"/>
      <c r="F17" s="20"/>
      <c r="G17" s="21"/>
      <c r="H17" s="19">
        <v>0</v>
      </c>
      <c r="I17" s="20"/>
      <c r="J17" s="20"/>
      <c r="K17" s="20"/>
      <c r="L17" s="20"/>
      <c r="M17" s="21"/>
      <c r="N17" s="19"/>
      <c r="O17" s="20"/>
      <c r="P17" s="20"/>
      <c r="Q17" s="20"/>
      <c r="R17" s="20"/>
      <c r="S17" s="21"/>
      <c r="U17" s="28"/>
    </row>
    <row r="18" spans="1:21" x14ac:dyDescent="0.25">
      <c r="A18" s="18" t="s">
        <v>1</v>
      </c>
      <c r="B18" s="19"/>
      <c r="C18" s="20"/>
      <c r="D18" s="20"/>
      <c r="E18" s="20"/>
      <c r="F18" s="20"/>
      <c r="G18" s="21"/>
      <c r="H18" s="19"/>
      <c r="I18" s="20"/>
      <c r="J18" s="20"/>
      <c r="K18" s="20"/>
      <c r="L18" s="20"/>
      <c r="M18" s="21"/>
      <c r="N18" s="19"/>
      <c r="O18" s="20"/>
      <c r="P18" s="20"/>
      <c r="Q18" s="20"/>
      <c r="R18" s="20"/>
      <c r="S18" s="21"/>
      <c r="U18" s="28"/>
    </row>
    <row r="19" spans="1:21" ht="17.25" thickBot="1" x14ac:dyDescent="0.3">
      <c r="A19" s="18" t="s">
        <v>1</v>
      </c>
      <c r="B19" s="19"/>
      <c r="C19" s="20"/>
      <c r="D19" s="20"/>
      <c r="E19" s="20"/>
      <c r="F19" s="20"/>
      <c r="G19" s="21"/>
      <c r="H19" s="19"/>
      <c r="I19" s="20"/>
      <c r="J19" s="20"/>
      <c r="K19" s="20"/>
      <c r="L19" s="20"/>
      <c r="M19" s="21"/>
      <c r="N19" s="19"/>
      <c r="O19" s="20"/>
      <c r="P19" s="20"/>
      <c r="Q19" s="20"/>
      <c r="R19" s="20"/>
      <c r="S19" s="21"/>
      <c r="U19" s="28"/>
    </row>
    <row r="20" spans="1:21" ht="36" customHeight="1" x14ac:dyDescent="0.25">
      <c r="A20" s="18" t="s">
        <v>11</v>
      </c>
      <c r="B20" s="19"/>
      <c r="C20" s="20"/>
      <c r="D20" s="20"/>
      <c r="E20" s="20"/>
      <c r="F20" s="20"/>
      <c r="G20" s="21"/>
      <c r="H20" s="216"/>
      <c r="I20" s="130"/>
      <c r="J20" s="130"/>
      <c r="K20" s="130"/>
      <c r="L20" s="130"/>
      <c r="M20" s="131"/>
      <c r="N20" s="19"/>
      <c r="O20" s="20"/>
      <c r="P20" s="20"/>
      <c r="Q20" s="20"/>
      <c r="R20" s="20"/>
      <c r="S20" s="21"/>
      <c r="U20" s="28"/>
    </row>
    <row r="21" spans="1:21" x14ac:dyDescent="0.25">
      <c r="A21" s="278"/>
      <c r="B21" s="19"/>
      <c r="C21" s="20"/>
      <c r="D21" s="20"/>
      <c r="E21" s="20"/>
      <c r="F21" s="20"/>
      <c r="G21" s="21"/>
      <c r="H21" s="279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1"/>
      <c r="U21" s="28"/>
    </row>
    <row r="22" spans="1:21" x14ac:dyDescent="0.25">
      <c r="A22" s="18" t="s">
        <v>1</v>
      </c>
      <c r="B22" s="19"/>
      <c r="C22" s="20"/>
      <c r="D22" s="20"/>
      <c r="E22" s="20"/>
      <c r="F22" s="20"/>
      <c r="G22" s="21"/>
      <c r="H22" s="19"/>
      <c r="I22" s="20"/>
      <c r="J22" s="20"/>
      <c r="K22" s="20"/>
      <c r="L22" s="20"/>
      <c r="M22" s="21"/>
      <c r="N22" s="19"/>
      <c r="O22" s="20"/>
      <c r="P22" s="20"/>
      <c r="Q22" s="20"/>
      <c r="R22" s="20"/>
      <c r="S22" s="21"/>
      <c r="U22" s="28"/>
    </row>
    <row r="23" spans="1:21" s="1" customFormat="1" ht="24" customHeight="1" x14ac:dyDescent="0.25">
      <c r="A23" s="14" t="s">
        <v>256</v>
      </c>
      <c r="B23" s="15"/>
      <c r="C23" s="16"/>
      <c r="D23" s="16"/>
      <c r="E23" s="16"/>
      <c r="F23" s="16"/>
      <c r="G23" s="17"/>
      <c r="H23" s="127">
        <f>ROUND(H24+H27+H33,2)</f>
        <v>0.8</v>
      </c>
      <c r="I23" s="127"/>
      <c r="J23" s="127"/>
      <c r="K23" s="127">
        <f>ROUND(K24+K27+K33,2)</f>
        <v>232</v>
      </c>
      <c r="L23" s="127">
        <f>ROUND(L24+L27+L33,2)</f>
        <v>55.89</v>
      </c>
      <c r="M23" s="127">
        <f>ROUND(M24+M27+M33,2)</f>
        <v>287.89</v>
      </c>
      <c r="N23" s="15"/>
      <c r="O23" s="16"/>
      <c r="P23" s="16"/>
      <c r="Q23" s="16"/>
      <c r="R23" s="16"/>
      <c r="S23" s="17"/>
      <c r="T23" s="2"/>
      <c r="U23" s="28"/>
    </row>
    <row r="24" spans="1:21" ht="37.5" customHeight="1" x14ac:dyDescent="0.25">
      <c r="A24" s="18" t="s">
        <v>14</v>
      </c>
      <c r="B24" s="19"/>
      <c r="C24" s="20"/>
      <c r="D24" s="20"/>
      <c r="E24" s="20"/>
      <c r="F24" s="20"/>
      <c r="G24" s="21"/>
      <c r="H24" s="19"/>
      <c r="I24" s="20"/>
      <c r="J24" s="20"/>
      <c r="K24" s="20"/>
      <c r="L24" s="20"/>
      <c r="M24" s="21"/>
      <c r="N24" s="19"/>
      <c r="O24" s="20"/>
      <c r="P24" s="20"/>
      <c r="Q24" s="20"/>
      <c r="R24" s="20"/>
      <c r="S24" s="21"/>
      <c r="U24" s="28"/>
    </row>
    <row r="25" spans="1:21" ht="18.75" customHeight="1" x14ac:dyDescent="0.25">
      <c r="A25" s="18" t="s">
        <v>1</v>
      </c>
      <c r="B25" s="19"/>
      <c r="C25" s="20"/>
      <c r="D25" s="20"/>
      <c r="E25" s="20"/>
      <c r="F25" s="20"/>
      <c r="G25" s="21"/>
      <c r="H25" s="19"/>
      <c r="I25" s="20"/>
      <c r="J25" s="20"/>
      <c r="K25" s="20"/>
      <c r="L25" s="20"/>
      <c r="M25" s="21"/>
      <c r="N25" s="19"/>
      <c r="O25" s="20"/>
      <c r="P25" s="20"/>
      <c r="Q25" s="20"/>
      <c r="R25" s="20"/>
      <c r="S25" s="21"/>
      <c r="U25" s="28"/>
    </row>
    <row r="26" spans="1:21" ht="19.5" customHeight="1" x14ac:dyDescent="0.25">
      <c r="A26" s="18" t="s">
        <v>1</v>
      </c>
      <c r="B26" s="19"/>
      <c r="C26" s="20"/>
      <c r="D26" s="20"/>
      <c r="E26" s="20"/>
      <c r="F26" s="20"/>
      <c r="G26" s="21"/>
      <c r="H26" s="19"/>
      <c r="I26" s="20"/>
      <c r="J26" s="20"/>
      <c r="K26" s="20"/>
      <c r="L26" s="20"/>
      <c r="M26" s="21"/>
      <c r="N26" s="19"/>
      <c r="O26" s="20"/>
      <c r="P26" s="20"/>
      <c r="Q26" s="20"/>
      <c r="R26" s="20"/>
      <c r="S26" s="21"/>
      <c r="U26" s="28"/>
    </row>
    <row r="27" spans="1:21" ht="49.5" customHeight="1" x14ac:dyDescent="0.25">
      <c r="A27" s="18" t="s">
        <v>12</v>
      </c>
      <c r="B27" s="19"/>
      <c r="C27" s="20"/>
      <c r="D27" s="20"/>
      <c r="E27" s="20"/>
      <c r="F27" s="20"/>
      <c r="G27" s="21"/>
      <c r="H27" s="19"/>
      <c r="I27" s="20"/>
      <c r="J27" s="20"/>
      <c r="K27" s="20"/>
      <c r="L27" s="20"/>
      <c r="M27" s="21"/>
      <c r="N27" s="19"/>
      <c r="O27" s="20"/>
      <c r="P27" s="20"/>
      <c r="Q27" s="20"/>
      <c r="R27" s="20"/>
      <c r="S27" s="21"/>
      <c r="U27" s="28"/>
    </row>
    <row r="28" spans="1:21" x14ac:dyDescent="0.25">
      <c r="A28" s="18" t="s">
        <v>1</v>
      </c>
      <c r="B28" s="19"/>
      <c r="C28" s="20"/>
      <c r="D28" s="20"/>
      <c r="E28" s="20"/>
      <c r="F28" s="20"/>
      <c r="G28" s="21"/>
      <c r="H28" s="19"/>
      <c r="I28" s="20"/>
      <c r="J28" s="20"/>
      <c r="K28" s="20"/>
      <c r="L28" s="20"/>
      <c r="M28" s="21"/>
      <c r="N28" s="19"/>
      <c r="O28" s="20"/>
      <c r="P28" s="20"/>
      <c r="Q28" s="20"/>
      <c r="R28" s="20"/>
      <c r="S28" s="21"/>
      <c r="U28" s="28"/>
    </row>
    <row r="29" spans="1:21" x14ac:dyDescent="0.25">
      <c r="A29" s="18" t="s">
        <v>1</v>
      </c>
      <c r="B29" s="19"/>
      <c r="C29" s="20"/>
      <c r="D29" s="20"/>
      <c r="E29" s="20"/>
      <c r="F29" s="20"/>
      <c r="G29" s="21"/>
      <c r="H29" s="19"/>
      <c r="I29" s="20"/>
      <c r="J29" s="20"/>
      <c r="K29" s="20"/>
      <c r="L29" s="20"/>
      <c r="M29" s="21"/>
      <c r="N29" s="19"/>
      <c r="O29" s="20"/>
      <c r="P29" s="20"/>
      <c r="Q29" s="20"/>
      <c r="R29" s="20"/>
      <c r="S29" s="21"/>
      <c r="U29" s="28"/>
    </row>
    <row r="30" spans="1:21" ht="64.5" customHeight="1" x14ac:dyDescent="0.25">
      <c r="A30" s="18" t="s">
        <v>13</v>
      </c>
      <c r="B30" s="19"/>
      <c r="C30" s="20"/>
      <c r="D30" s="20"/>
      <c r="E30" s="20"/>
      <c r="F30" s="20"/>
      <c r="G30" s="21"/>
      <c r="H30" s="19"/>
      <c r="I30" s="20"/>
      <c r="J30" s="20"/>
      <c r="K30" s="20"/>
      <c r="L30" s="20"/>
      <c r="M30" s="21"/>
      <c r="N30" s="19"/>
      <c r="O30" s="20"/>
      <c r="P30" s="20"/>
      <c r="Q30" s="20"/>
      <c r="R30" s="20"/>
      <c r="S30" s="21"/>
      <c r="U30" s="28"/>
    </row>
    <row r="31" spans="1:21" x14ac:dyDescent="0.25">
      <c r="A31" s="18" t="s">
        <v>1</v>
      </c>
      <c r="B31" s="19"/>
      <c r="C31" s="20"/>
      <c r="D31" s="20"/>
      <c r="E31" s="20"/>
      <c r="F31" s="20"/>
      <c r="G31" s="21"/>
      <c r="H31" s="19"/>
      <c r="I31" s="20"/>
      <c r="J31" s="20"/>
      <c r="K31" s="20"/>
      <c r="L31" s="20"/>
      <c r="M31" s="21"/>
      <c r="N31" s="19"/>
      <c r="O31" s="20"/>
      <c r="P31" s="20"/>
      <c r="Q31" s="20"/>
      <c r="R31" s="20"/>
      <c r="S31" s="21"/>
      <c r="U31" s="28"/>
    </row>
    <row r="32" spans="1:21" ht="17.25" thickBot="1" x14ac:dyDescent="0.3">
      <c r="A32" s="18" t="s">
        <v>1</v>
      </c>
      <c r="B32" s="19"/>
      <c r="C32" s="20"/>
      <c r="D32" s="20"/>
      <c r="E32" s="20"/>
      <c r="F32" s="20"/>
      <c r="G32" s="21"/>
      <c r="H32" s="19"/>
      <c r="I32" s="20"/>
      <c r="J32" s="20"/>
      <c r="K32" s="20"/>
      <c r="L32" s="20"/>
      <c r="M32" s="21"/>
      <c r="N32" s="19"/>
      <c r="O32" s="20"/>
      <c r="P32" s="20"/>
      <c r="Q32" s="20"/>
      <c r="R32" s="20"/>
      <c r="S32" s="21"/>
      <c r="U32" s="28"/>
    </row>
    <row r="33" spans="1:21" ht="37.5" customHeight="1" x14ac:dyDescent="0.25">
      <c r="A33" s="18" t="s">
        <v>11</v>
      </c>
      <c r="B33" s="19"/>
      <c r="C33" s="20"/>
      <c r="D33" s="20"/>
      <c r="E33" s="20"/>
      <c r="F33" s="20"/>
      <c r="G33" s="21"/>
      <c r="H33" s="216">
        <f>ROUND(SUM(H34:H35),2)</f>
        <v>0.8</v>
      </c>
      <c r="I33" s="130"/>
      <c r="J33" s="130"/>
      <c r="K33" s="130">
        <f>ROUND(SUM(K34:K41),2)</f>
        <v>232</v>
      </c>
      <c r="L33" s="130">
        <f>ROUND(SUM(L34:L41),2)</f>
        <v>55.89</v>
      </c>
      <c r="M33" s="131">
        <f>ROUND(SUM(M34:M35),2)</f>
        <v>287.89</v>
      </c>
      <c r="N33" s="19"/>
      <c r="O33" s="20"/>
      <c r="P33" s="20"/>
      <c r="Q33" s="20"/>
      <c r="R33" s="20"/>
      <c r="S33" s="21"/>
      <c r="U33" s="28"/>
    </row>
    <row r="34" spans="1:21" x14ac:dyDescent="0.25">
      <c r="A34" s="278" t="s">
        <v>257</v>
      </c>
      <c r="B34" s="19"/>
      <c r="C34" s="20"/>
      <c r="D34" s="20"/>
      <c r="E34" s="20"/>
      <c r="F34" s="20"/>
      <c r="G34" s="21"/>
      <c r="H34" s="19">
        <v>0.8</v>
      </c>
      <c r="I34" s="20">
        <v>1450</v>
      </c>
      <c r="J34" s="20">
        <v>20</v>
      </c>
      <c r="K34" s="20">
        <f>ROUND(H34*I34*0.2,2)</f>
        <v>232</v>
      </c>
      <c r="L34" s="20">
        <f>ROUND(K34*0.2409,2)</f>
        <v>55.89</v>
      </c>
      <c r="M34" s="21">
        <f>ROUND(K34+L34,2)</f>
        <v>287.89</v>
      </c>
      <c r="N34" s="19"/>
      <c r="O34" s="20"/>
      <c r="P34" s="20"/>
      <c r="Q34" s="20"/>
      <c r="R34" s="20"/>
      <c r="S34" s="21"/>
      <c r="U34" s="28"/>
    </row>
    <row r="35" spans="1:21" ht="17.25" thickBot="1" x14ac:dyDescent="0.3">
      <c r="A35" s="18" t="s">
        <v>1</v>
      </c>
      <c r="B35" s="22"/>
      <c r="C35" s="23"/>
      <c r="D35" s="23"/>
      <c r="E35" s="23"/>
      <c r="F35" s="23"/>
      <c r="G35" s="24"/>
      <c r="H35" s="22"/>
      <c r="I35" s="23"/>
      <c r="J35" s="23"/>
      <c r="K35" s="23"/>
      <c r="L35" s="23"/>
      <c r="M35" s="24"/>
      <c r="N35" s="22"/>
      <c r="O35" s="23"/>
      <c r="P35" s="23"/>
      <c r="Q35" s="23"/>
      <c r="R35" s="23"/>
      <c r="S35" s="24"/>
    </row>
    <row r="37" spans="1:21" ht="21" customHeight="1" x14ac:dyDescent="0.25">
      <c r="A37" s="901" t="s">
        <v>33</v>
      </c>
      <c r="B37" s="901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25"/>
      <c r="T37" s="25"/>
    </row>
    <row r="40" spans="1:21" ht="18" customHeight="1" x14ac:dyDescent="0.25"/>
  </sheetData>
  <mergeCells count="6">
    <mergeCell ref="A37:R37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U40"/>
  <sheetViews>
    <sheetView zoomScale="70" zoomScaleNormal="70" zoomScaleSheetLayoutView="80" workbookViewId="0">
      <selection activeCell="L12" sqref="L12"/>
    </sheetView>
  </sheetViews>
  <sheetFormatPr defaultRowHeight="16.5" x14ac:dyDescent="0.25"/>
  <cols>
    <col min="1" max="1" width="42.7109375" style="2" customWidth="1"/>
    <col min="2" max="2" width="14" style="2" customWidth="1"/>
    <col min="3" max="3" width="16" style="2" customWidth="1"/>
    <col min="4" max="19" width="14" style="2" customWidth="1"/>
    <col min="20" max="20" width="17.5703125" style="2" customWidth="1"/>
    <col min="21" max="22" width="15.85546875" style="2" customWidth="1"/>
    <col min="23" max="16384" width="9.140625" style="2"/>
  </cols>
  <sheetData>
    <row r="2" spans="1:21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21" x14ac:dyDescent="0.25">
      <c r="A4" s="2" t="s">
        <v>34</v>
      </c>
    </row>
    <row r="5" spans="1:21" ht="17.25" thickBot="1" x14ac:dyDescent="0.3"/>
    <row r="6" spans="1:21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863" t="s">
        <v>4</v>
      </c>
      <c r="I6" s="864"/>
      <c r="J6" s="864"/>
      <c r="K6" s="864"/>
      <c r="L6" s="864"/>
      <c r="M6" s="865"/>
      <c r="N6" s="857" t="s">
        <v>5</v>
      </c>
      <c r="O6" s="858"/>
      <c r="P6" s="858"/>
      <c r="Q6" s="858"/>
      <c r="R6" s="858"/>
      <c r="S6" s="859"/>
    </row>
    <row r="7" spans="1:21" ht="104.25" customHeight="1" x14ac:dyDescent="0.25">
      <c r="A7" s="907"/>
      <c r="B7" s="3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21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21" s="1" customFormat="1" ht="26.25" customHeight="1" x14ac:dyDescent="0.25">
      <c r="A9" s="10" t="s">
        <v>0</v>
      </c>
      <c r="B9" s="11"/>
      <c r="C9" s="12"/>
      <c r="D9" s="12"/>
      <c r="E9" s="12"/>
      <c r="F9" s="12"/>
      <c r="G9" s="13"/>
      <c r="H9" s="12">
        <f t="shared" ref="H9" si="0">H10+H23</f>
        <v>7</v>
      </c>
      <c r="I9" s="12"/>
      <c r="J9" s="12"/>
      <c r="K9" s="12">
        <f>K10+K23</f>
        <v>1898</v>
      </c>
      <c r="L9" s="12">
        <f t="shared" ref="L9:M9" si="1">L10+L23</f>
        <v>450.55619999999999</v>
      </c>
      <c r="M9" s="12">
        <f t="shared" si="1"/>
        <v>2348.5562</v>
      </c>
      <c r="N9" s="11"/>
      <c r="O9" s="12"/>
      <c r="P9" s="12"/>
      <c r="Q9" s="12"/>
      <c r="R9" s="12"/>
      <c r="S9" s="13"/>
    </row>
    <row r="10" spans="1:21" s="1" customFormat="1" ht="21.75" customHeight="1" x14ac:dyDescent="0.25">
      <c r="A10" s="37" t="s">
        <v>35</v>
      </c>
      <c r="B10" s="15"/>
      <c r="C10" s="16"/>
      <c r="D10" s="16"/>
      <c r="E10" s="16"/>
      <c r="F10" s="16"/>
      <c r="G10" s="17"/>
      <c r="H10" s="16">
        <f t="shared" ref="H10" si="2">H12+H13+H15+H16</f>
        <v>4</v>
      </c>
      <c r="I10" s="16"/>
      <c r="J10" s="16"/>
      <c r="K10" s="16">
        <f>K12+K13+K15+K16</f>
        <v>938</v>
      </c>
      <c r="L10" s="16">
        <f t="shared" ref="L10:M10" si="3">L12+L13+L15+L16</f>
        <v>219.29220000000001</v>
      </c>
      <c r="M10" s="16">
        <f t="shared" si="3"/>
        <v>1157.2921999999999</v>
      </c>
      <c r="N10" s="15"/>
      <c r="O10" s="16"/>
      <c r="P10" s="16"/>
      <c r="Q10" s="16"/>
      <c r="R10" s="16"/>
      <c r="S10" s="17"/>
    </row>
    <row r="11" spans="1:21" ht="47.25" customHeight="1" x14ac:dyDescent="0.25">
      <c r="A11" s="18" t="s">
        <v>14</v>
      </c>
      <c r="B11" s="19"/>
      <c r="C11" s="20"/>
      <c r="D11" s="20"/>
      <c r="E11" s="20"/>
      <c r="F11" s="20"/>
      <c r="G11" s="21"/>
      <c r="H11" s="19"/>
      <c r="I11" s="20"/>
      <c r="J11" s="20"/>
      <c r="K11" s="20"/>
      <c r="L11" s="20"/>
      <c r="M11" s="21"/>
      <c r="N11" s="19"/>
      <c r="O11" s="20"/>
      <c r="P11" s="20"/>
      <c r="Q11" s="20"/>
      <c r="R11" s="20"/>
      <c r="S11" s="21"/>
    </row>
    <row r="12" spans="1:21" ht="18.75" customHeight="1" x14ac:dyDescent="0.25">
      <c r="A12" s="38" t="s">
        <v>36</v>
      </c>
      <c r="B12" s="19"/>
      <c r="C12" s="20"/>
      <c r="D12" s="20"/>
      <c r="E12" s="20"/>
      <c r="F12" s="20"/>
      <c r="G12" s="21"/>
      <c r="H12" s="19">
        <v>1</v>
      </c>
      <c r="I12" s="20">
        <v>2400</v>
      </c>
      <c r="J12" s="20">
        <v>10</v>
      </c>
      <c r="K12" s="20">
        <f>I12*J12/100</f>
        <v>240</v>
      </c>
      <c r="L12" s="20">
        <f>K12*0.2131</f>
        <v>51.144000000000005</v>
      </c>
      <c r="M12" s="21">
        <f>K12+L12</f>
        <v>291.14400000000001</v>
      </c>
      <c r="N12" s="19"/>
      <c r="O12" s="20"/>
      <c r="P12" s="20"/>
      <c r="Q12" s="20"/>
      <c r="R12" s="20"/>
      <c r="S12" s="21"/>
      <c r="U12" s="28"/>
    </row>
    <row r="13" spans="1:21" ht="19.5" customHeight="1" x14ac:dyDescent="0.25">
      <c r="A13" s="38" t="s">
        <v>37</v>
      </c>
      <c r="B13" s="19"/>
      <c r="C13" s="20"/>
      <c r="D13" s="20"/>
      <c r="E13" s="20"/>
      <c r="F13" s="20"/>
      <c r="G13" s="21"/>
      <c r="H13" s="19">
        <v>1</v>
      </c>
      <c r="I13" s="20">
        <v>2200</v>
      </c>
      <c r="J13" s="20">
        <v>10</v>
      </c>
      <c r="K13" s="20">
        <f>I13*J13/100</f>
        <v>220</v>
      </c>
      <c r="L13" s="20">
        <f>K13*0.2409</f>
        <v>52.997999999999998</v>
      </c>
      <c r="M13" s="21">
        <f>K13+L13</f>
        <v>272.99799999999999</v>
      </c>
      <c r="N13" s="19"/>
      <c r="O13" s="20"/>
      <c r="P13" s="20"/>
      <c r="Q13" s="20"/>
      <c r="R13" s="20"/>
      <c r="S13" s="21"/>
      <c r="U13" s="28"/>
    </row>
    <row r="14" spans="1:21" ht="49.5" customHeight="1" x14ac:dyDescent="0.25">
      <c r="A14" s="18" t="s">
        <v>12</v>
      </c>
      <c r="B14" s="19"/>
      <c r="C14" s="20"/>
      <c r="D14" s="20"/>
      <c r="E14" s="20"/>
      <c r="F14" s="20"/>
      <c r="G14" s="21"/>
      <c r="H14" s="19"/>
      <c r="I14" s="20"/>
      <c r="J14" s="20"/>
      <c r="K14" s="20"/>
      <c r="L14" s="20"/>
      <c r="M14" s="21"/>
      <c r="N14" s="19"/>
      <c r="O14" s="20"/>
      <c r="P14" s="20"/>
      <c r="Q14" s="20"/>
      <c r="R14" s="20"/>
      <c r="S14" s="21"/>
      <c r="U14" s="28"/>
    </row>
    <row r="15" spans="1:21" x14ac:dyDescent="0.25">
      <c r="A15" s="38" t="s">
        <v>38</v>
      </c>
      <c r="B15" s="19"/>
      <c r="C15" s="20"/>
      <c r="D15" s="20"/>
      <c r="E15" s="20"/>
      <c r="F15" s="20"/>
      <c r="G15" s="21"/>
      <c r="H15" s="19">
        <v>1</v>
      </c>
      <c r="I15" s="20">
        <v>1270</v>
      </c>
      <c r="J15" s="20">
        <v>20</v>
      </c>
      <c r="K15" s="20">
        <f>I15*J15/100</f>
        <v>254</v>
      </c>
      <c r="L15" s="20">
        <f>K15*0.2409</f>
        <v>61.188600000000001</v>
      </c>
      <c r="M15" s="21">
        <f t="shared" ref="M15:M16" si="4">K15+L15</f>
        <v>315.18860000000001</v>
      </c>
      <c r="N15" s="19"/>
      <c r="O15" s="20"/>
      <c r="P15" s="20"/>
      <c r="Q15" s="20"/>
      <c r="R15" s="20"/>
      <c r="S15" s="21"/>
      <c r="U15" s="28"/>
    </row>
    <row r="16" spans="1:21" x14ac:dyDescent="0.25">
      <c r="A16" s="38" t="s">
        <v>39</v>
      </c>
      <c r="B16" s="19"/>
      <c r="C16" s="20"/>
      <c r="D16" s="20"/>
      <c r="E16" s="20"/>
      <c r="F16" s="20"/>
      <c r="G16" s="21"/>
      <c r="H16" s="19">
        <v>1</v>
      </c>
      <c r="I16" s="20">
        <v>1120</v>
      </c>
      <c r="J16" s="20">
        <v>20</v>
      </c>
      <c r="K16" s="20">
        <f>I16*J16/100</f>
        <v>224</v>
      </c>
      <c r="L16" s="20">
        <f>K16*0.2409</f>
        <v>53.961600000000004</v>
      </c>
      <c r="M16" s="21">
        <f t="shared" si="4"/>
        <v>277.96159999999998</v>
      </c>
      <c r="N16" s="19"/>
      <c r="O16" s="20"/>
      <c r="P16" s="20"/>
      <c r="Q16" s="20"/>
      <c r="R16" s="20"/>
      <c r="S16" s="21"/>
      <c r="U16" s="28"/>
    </row>
    <row r="17" spans="1:21" ht="57" customHeight="1" x14ac:dyDescent="0.25">
      <c r="A17" s="18" t="s">
        <v>13</v>
      </c>
      <c r="B17" s="19"/>
      <c r="C17" s="20"/>
      <c r="D17" s="20"/>
      <c r="E17" s="20"/>
      <c r="F17" s="20"/>
      <c r="G17" s="21"/>
      <c r="H17" s="19"/>
      <c r="I17" s="20"/>
      <c r="J17" s="20"/>
      <c r="K17" s="20"/>
      <c r="L17" s="20"/>
      <c r="M17" s="21"/>
      <c r="N17" s="19"/>
      <c r="O17" s="20"/>
      <c r="P17" s="20"/>
      <c r="Q17" s="20"/>
      <c r="R17" s="20"/>
      <c r="S17" s="21"/>
      <c r="U17" s="28"/>
    </row>
    <row r="18" spans="1:21" x14ac:dyDescent="0.25">
      <c r="A18" s="18" t="s">
        <v>1</v>
      </c>
      <c r="B18" s="19"/>
      <c r="C18" s="20"/>
      <c r="D18" s="20"/>
      <c r="E18" s="20"/>
      <c r="F18" s="20"/>
      <c r="G18" s="21"/>
      <c r="H18" s="19"/>
      <c r="I18" s="20"/>
      <c r="J18" s="20"/>
      <c r="K18" s="20"/>
      <c r="L18" s="20"/>
      <c r="M18" s="21"/>
      <c r="N18" s="19"/>
      <c r="O18" s="20"/>
      <c r="P18" s="20"/>
      <c r="Q18" s="20"/>
      <c r="R18" s="20"/>
      <c r="S18" s="21"/>
      <c r="U18" s="28"/>
    </row>
    <row r="19" spans="1:21" x14ac:dyDescent="0.25">
      <c r="A19" s="18" t="s">
        <v>1</v>
      </c>
      <c r="B19" s="19"/>
      <c r="C19" s="20"/>
      <c r="D19" s="20"/>
      <c r="E19" s="20"/>
      <c r="F19" s="20"/>
      <c r="G19" s="21"/>
      <c r="H19" s="19"/>
      <c r="I19" s="20"/>
      <c r="J19" s="20"/>
      <c r="K19" s="20"/>
      <c r="L19" s="20"/>
      <c r="M19" s="21"/>
      <c r="N19" s="19"/>
      <c r="O19" s="20"/>
      <c r="P19" s="20"/>
      <c r="Q19" s="20"/>
      <c r="R19" s="20"/>
      <c r="S19" s="21"/>
      <c r="U19" s="28"/>
    </row>
    <row r="20" spans="1:21" ht="36" customHeight="1" x14ac:dyDescent="0.25">
      <c r="A20" s="18" t="s">
        <v>11</v>
      </c>
      <c r="B20" s="19"/>
      <c r="C20" s="20"/>
      <c r="D20" s="20"/>
      <c r="E20" s="20"/>
      <c r="F20" s="20"/>
      <c r="G20" s="21"/>
      <c r="H20" s="19"/>
      <c r="I20" s="20"/>
      <c r="J20" s="20"/>
      <c r="K20" s="20"/>
      <c r="L20" s="20"/>
      <c r="M20" s="21"/>
      <c r="N20" s="19"/>
      <c r="O20" s="20"/>
      <c r="P20" s="20"/>
      <c r="Q20" s="20"/>
      <c r="R20" s="20"/>
      <c r="S20" s="21"/>
      <c r="U20" s="28"/>
    </row>
    <row r="21" spans="1:21" x14ac:dyDescent="0.25">
      <c r="A21" s="18" t="s">
        <v>1</v>
      </c>
      <c r="B21" s="19"/>
      <c r="C21" s="20"/>
      <c r="D21" s="20"/>
      <c r="E21" s="20"/>
      <c r="F21" s="20"/>
      <c r="G21" s="21"/>
      <c r="H21" s="19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1"/>
      <c r="U21" s="28"/>
    </row>
    <row r="22" spans="1:21" x14ac:dyDescent="0.25">
      <c r="A22" s="18" t="s">
        <v>1</v>
      </c>
      <c r="B22" s="19"/>
      <c r="C22" s="20"/>
      <c r="D22" s="20"/>
      <c r="E22" s="20"/>
      <c r="F22" s="20"/>
      <c r="G22" s="21"/>
      <c r="H22" s="19"/>
      <c r="I22" s="20"/>
      <c r="J22" s="20"/>
      <c r="K22" s="20"/>
      <c r="L22" s="20"/>
      <c r="M22" s="21"/>
      <c r="N22" s="19"/>
      <c r="O22" s="20"/>
      <c r="P22" s="20"/>
      <c r="Q22" s="20"/>
      <c r="R22" s="20"/>
      <c r="S22" s="21"/>
      <c r="U22" s="28"/>
    </row>
    <row r="23" spans="1:21" s="1" customFormat="1" ht="24" customHeight="1" x14ac:dyDescent="0.25">
      <c r="A23" s="37" t="s">
        <v>40</v>
      </c>
      <c r="B23" s="15"/>
      <c r="C23" s="16"/>
      <c r="D23" s="16"/>
      <c r="E23" s="16"/>
      <c r="F23" s="16"/>
      <c r="G23" s="17"/>
      <c r="H23" s="16">
        <f t="shared" ref="H23" si="5">H25+H28+H34</f>
        <v>3</v>
      </c>
      <c r="I23" s="16"/>
      <c r="J23" s="16"/>
      <c r="K23" s="16">
        <f>K25+K28+K34</f>
        <v>960</v>
      </c>
      <c r="L23" s="16">
        <f t="shared" ref="L23:M23" si="6">L25+L28+L34</f>
        <v>231.26400000000001</v>
      </c>
      <c r="M23" s="16">
        <f t="shared" si="6"/>
        <v>1191.2640000000001</v>
      </c>
      <c r="N23" s="15"/>
      <c r="O23" s="125"/>
      <c r="P23" s="16"/>
      <c r="Q23" s="16"/>
      <c r="R23" s="16"/>
      <c r="S23" s="17"/>
      <c r="T23" s="2"/>
      <c r="U23" s="28"/>
    </row>
    <row r="24" spans="1:21" ht="51" customHeight="1" x14ac:dyDescent="0.25">
      <c r="A24" s="18" t="s">
        <v>14</v>
      </c>
      <c r="B24" s="19"/>
      <c r="C24" s="20"/>
      <c r="D24" s="20"/>
      <c r="E24" s="20"/>
      <c r="F24" s="20"/>
      <c r="G24" s="21"/>
      <c r="H24" s="19"/>
      <c r="I24" s="20"/>
      <c r="J24" s="20"/>
      <c r="K24" s="20"/>
      <c r="L24" s="20"/>
      <c r="M24" s="21"/>
      <c r="N24" s="19"/>
      <c r="O24" s="20"/>
      <c r="P24" s="20"/>
      <c r="Q24" s="20"/>
      <c r="R24" s="20"/>
      <c r="S24" s="21"/>
      <c r="U24" s="28"/>
    </row>
    <row r="25" spans="1:21" ht="18.75" customHeight="1" x14ac:dyDescent="0.25">
      <c r="A25" s="38" t="s">
        <v>41</v>
      </c>
      <c r="B25" s="19"/>
      <c r="C25" s="20"/>
      <c r="D25" s="20"/>
      <c r="E25" s="20"/>
      <c r="F25" s="20"/>
      <c r="G25" s="21"/>
      <c r="H25" s="19">
        <v>1</v>
      </c>
      <c r="I25" s="20">
        <v>4500</v>
      </c>
      <c r="J25" s="20">
        <v>10</v>
      </c>
      <c r="K25" s="20">
        <f>I25*J25/100</f>
        <v>450</v>
      </c>
      <c r="L25" s="20">
        <f>K25*0.2409</f>
        <v>108.405</v>
      </c>
      <c r="M25" s="21">
        <f>K25+L25</f>
        <v>558.40499999999997</v>
      </c>
      <c r="N25" s="19"/>
      <c r="O25" s="20"/>
      <c r="P25" s="20"/>
      <c r="Q25" s="20"/>
      <c r="R25" s="20"/>
      <c r="S25" s="21"/>
      <c r="U25" s="28"/>
    </row>
    <row r="26" spans="1:21" ht="19.5" customHeight="1" x14ac:dyDescent="0.25">
      <c r="A26" s="18" t="s">
        <v>1</v>
      </c>
      <c r="B26" s="19"/>
      <c r="C26" s="20"/>
      <c r="D26" s="20"/>
      <c r="E26" s="20"/>
      <c r="F26" s="20"/>
      <c r="G26" s="21"/>
      <c r="H26" s="19"/>
      <c r="I26" s="20"/>
      <c r="J26" s="20"/>
      <c r="K26" s="20"/>
      <c r="L26" s="20"/>
      <c r="M26" s="21"/>
      <c r="N26" s="19"/>
      <c r="O26" s="20"/>
      <c r="P26" s="20"/>
      <c r="Q26" s="20"/>
      <c r="R26" s="20"/>
      <c r="S26" s="21"/>
      <c r="U26" s="28"/>
    </row>
    <row r="27" spans="1:21" ht="49.5" customHeight="1" x14ac:dyDescent="0.25">
      <c r="A27" s="18" t="s">
        <v>12</v>
      </c>
      <c r="B27" s="19"/>
      <c r="C27" s="20"/>
      <c r="D27" s="20"/>
      <c r="E27" s="20"/>
      <c r="F27" s="20"/>
      <c r="G27" s="21"/>
      <c r="H27" s="19"/>
      <c r="I27" s="20"/>
      <c r="J27" s="20"/>
      <c r="K27" s="20"/>
      <c r="L27" s="20"/>
      <c r="M27" s="21"/>
      <c r="N27" s="19"/>
      <c r="O27" s="20"/>
      <c r="P27" s="20"/>
      <c r="Q27" s="20"/>
      <c r="R27" s="20"/>
      <c r="S27" s="21"/>
      <c r="U27" s="28"/>
    </row>
    <row r="28" spans="1:21" x14ac:dyDescent="0.25">
      <c r="A28" s="38" t="s">
        <v>23</v>
      </c>
      <c r="B28" s="19"/>
      <c r="C28" s="20"/>
      <c r="D28" s="20"/>
      <c r="E28" s="20"/>
      <c r="F28" s="20"/>
      <c r="G28" s="21"/>
      <c r="H28" s="19">
        <v>1</v>
      </c>
      <c r="I28" s="20">
        <v>1800</v>
      </c>
      <c r="J28" s="20">
        <v>15</v>
      </c>
      <c r="K28" s="20">
        <f>I28*J28/100</f>
        <v>270</v>
      </c>
      <c r="L28" s="20">
        <f>K28*0.2409</f>
        <v>65.043000000000006</v>
      </c>
      <c r="M28" s="21">
        <f t="shared" ref="M28:M34" si="7">K28+L28</f>
        <v>335.04300000000001</v>
      </c>
      <c r="N28" s="19"/>
      <c r="O28" s="20"/>
      <c r="P28" s="20"/>
      <c r="Q28" s="20"/>
      <c r="R28" s="20"/>
      <c r="S28" s="21"/>
      <c r="U28" s="28"/>
    </row>
    <row r="29" spans="1:21" x14ac:dyDescent="0.25">
      <c r="A29" s="18" t="s">
        <v>1</v>
      </c>
      <c r="B29" s="19"/>
      <c r="C29" s="20"/>
      <c r="D29" s="20"/>
      <c r="E29" s="20"/>
      <c r="F29" s="20"/>
      <c r="G29" s="21"/>
      <c r="H29" s="19"/>
      <c r="I29" s="20"/>
      <c r="J29" s="20"/>
      <c r="K29" s="20"/>
      <c r="L29" s="20"/>
      <c r="M29" s="21"/>
      <c r="N29" s="19"/>
      <c r="O29" s="20"/>
      <c r="P29" s="20"/>
      <c r="Q29" s="20"/>
      <c r="R29" s="20"/>
      <c r="S29" s="21"/>
      <c r="U29" s="28"/>
    </row>
    <row r="30" spans="1:21" ht="64.5" customHeight="1" x14ac:dyDescent="0.25">
      <c r="A30" s="18" t="s">
        <v>13</v>
      </c>
      <c r="B30" s="19"/>
      <c r="C30" s="20"/>
      <c r="D30" s="20"/>
      <c r="E30" s="20"/>
      <c r="F30" s="20"/>
      <c r="G30" s="21"/>
      <c r="H30" s="19"/>
      <c r="I30" s="20"/>
      <c r="J30" s="20"/>
      <c r="K30" s="20"/>
      <c r="L30" s="20"/>
      <c r="M30" s="21"/>
      <c r="N30" s="19"/>
      <c r="O30" s="20"/>
      <c r="P30" s="20"/>
      <c r="Q30" s="20"/>
      <c r="R30" s="20"/>
      <c r="S30" s="21"/>
      <c r="U30" s="28"/>
    </row>
    <row r="31" spans="1:21" x14ac:dyDescent="0.25">
      <c r="A31" s="18" t="s">
        <v>1</v>
      </c>
      <c r="B31" s="19"/>
      <c r="C31" s="20"/>
      <c r="D31" s="20"/>
      <c r="E31" s="20"/>
      <c r="F31" s="20"/>
      <c r="G31" s="21"/>
      <c r="H31" s="19"/>
      <c r="I31" s="20"/>
      <c r="J31" s="20"/>
      <c r="K31" s="20"/>
      <c r="L31" s="20"/>
      <c r="M31" s="21"/>
      <c r="N31" s="19"/>
      <c r="O31" s="20"/>
      <c r="P31" s="20"/>
      <c r="Q31" s="20"/>
      <c r="R31" s="20"/>
      <c r="S31" s="21"/>
      <c r="U31" s="28"/>
    </row>
    <row r="32" spans="1:21" x14ac:dyDescent="0.25">
      <c r="A32" s="18" t="s">
        <v>1</v>
      </c>
      <c r="B32" s="19"/>
      <c r="C32" s="20"/>
      <c r="D32" s="20"/>
      <c r="E32" s="20"/>
      <c r="F32" s="20"/>
      <c r="G32" s="21"/>
      <c r="H32" s="19"/>
      <c r="I32" s="20"/>
      <c r="J32" s="20"/>
      <c r="K32" s="20"/>
      <c r="L32" s="20"/>
      <c r="M32" s="21"/>
      <c r="N32" s="19"/>
      <c r="O32" s="20"/>
      <c r="P32" s="20"/>
      <c r="Q32" s="20"/>
      <c r="R32" s="20"/>
      <c r="S32" s="21"/>
      <c r="U32" s="28"/>
    </row>
    <row r="33" spans="1:21" ht="37.5" customHeight="1" x14ac:dyDescent="0.25">
      <c r="A33" s="18" t="s">
        <v>11</v>
      </c>
      <c r="B33" s="19"/>
      <c r="C33" s="20"/>
      <c r="D33" s="20"/>
      <c r="E33" s="20"/>
      <c r="F33" s="20"/>
      <c r="G33" s="21"/>
      <c r="H33" s="19"/>
      <c r="I33" s="20"/>
      <c r="J33" s="20"/>
      <c r="K33" s="20"/>
      <c r="L33" s="20"/>
      <c r="M33" s="21"/>
      <c r="N33" s="19"/>
      <c r="O33" s="20"/>
      <c r="P33" s="20"/>
      <c r="Q33" s="20"/>
      <c r="R33" s="20"/>
      <c r="S33" s="21"/>
      <c r="U33" s="28"/>
    </row>
    <row r="34" spans="1:21" x14ac:dyDescent="0.25">
      <c r="A34" s="38" t="s">
        <v>42</v>
      </c>
      <c r="B34" s="19"/>
      <c r="C34" s="20"/>
      <c r="D34" s="20"/>
      <c r="E34" s="20"/>
      <c r="F34" s="20"/>
      <c r="G34" s="21"/>
      <c r="H34" s="19">
        <v>1</v>
      </c>
      <c r="I34" s="20">
        <v>1600</v>
      </c>
      <c r="J34" s="20">
        <v>15</v>
      </c>
      <c r="K34" s="20">
        <f>I34*J34/100</f>
        <v>240</v>
      </c>
      <c r="L34" s="20">
        <f t="shared" ref="L34" si="8">K34*0.2409</f>
        <v>57.816000000000003</v>
      </c>
      <c r="M34" s="21">
        <f t="shared" si="7"/>
        <v>297.81600000000003</v>
      </c>
      <c r="N34" s="19"/>
      <c r="O34" s="20"/>
      <c r="P34" s="20"/>
      <c r="Q34" s="20"/>
      <c r="R34" s="20"/>
      <c r="S34" s="21"/>
      <c r="U34" s="28"/>
    </row>
    <row r="35" spans="1:21" ht="17.25" thickBot="1" x14ac:dyDescent="0.3">
      <c r="A35" s="18" t="s">
        <v>1</v>
      </c>
      <c r="B35" s="22"/>
      <c r="C35" s="23"/>
      <c r="D35" s="23"/>
      <c r="E35" s="23"/>
      <c r="F35" s="23"/>
      <c r="G35" s="24"/>
      <c r="H35" s="22"/>
      <c r="I35" s="23"/>
      <c r="J35" s="23"/>
      <c r="K35" s="23"/>
      <c r="L35" s="23"/>
      <c r="M35" s="24"/>
      <c r="N35" s="22"/>
      <c r="O35" s="23"/>
      <c r="P35" s="23"/>
      <c r="Q35" s="23"/>
      <c r="R35" s="23"/>
      <c r="S35" s="24"/>
    </row>
    <row r="37" spans="1:21" ht="21" customHeight="1" x14ac:dyDescent="0.25">
      <c r="A37" s="901" t="s">
        <v>33</v>
      </c>
      <c r="B37" s="901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25"/>
      <c r="T37" s="25"/>
    </row>
    <row r="39" spans="1:21" x14ac:dyDescent="0.25">
      <c r="A39" s="1"/>
      <c r="B39" s="1"/>
    </row>
    <row r="40" spans="1:21" ht="18" customHeight="1" x14ac:dyDescent="0.25"/>
  </sheetData>
  <mergeCells count="6">
    <mergeCell ref="A37:R37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2:U73"/>
  <sheetViews>
    <sheetView zoomScale="53" zoomScaleNormal="53" zoomScaleSheetLayoutView="80" workbookViewId="0">
      <selection activeCell="P68" sqref="P68"/>
    </sheetView>
  </sheetViews>
  <sheetFormatPr defaultColWidth="9.140625" defaultRowHeight="16.5" x14ac:dyDescent="0.25"/>
  <cols>
    <col min="1" max="1" width="39.42578125" style="2" customWidth="1"/>
    <col min="2" max="3" width="9.28515625" style="39" customWidth="1"/>
    <col min="4" max="4" width="8.140625" style="39" customWidth="1"/>
    <col min="5" max="5" width="7.7109375" style="39" customWidth="1"/>
    <col min="6" max="7" width="9.28515625" style="39" customWidth="1"/>
    <col min="8" max="8" width="10.28515625" style="26" customWidth="1"/>
    <col min="9" max="9" width="16.85546875" style="26" customWidth="1"/>
    <col min="10" max="10" width="12.42578125" style="26" customWidth="1"/>
    <col min="11" max="11" width="13" style="26" customWidth="1"/>
    <col min="12" max="12" width="12.42578125" style="26" customWidth="1"/>
    <col min="13" max="13" width="12.7109375" style="26" customWidth="1"/>
    <col min="14" max="14" width="14" style="26" customWidth="1"/>
    <col min="15" max="15" width="14" style="2" customWidth="1"/>
    <col min="16" max="16" width="12.42578125" style="2" customWidth="1"/>
    <col min="17" max="19" width="14" style="2" customWidth="1"/>
    <col min="20" max="20" width="17.5703125" style="2" customWidth="1"/>
    <col min="21" max="22" width="15.85546875" style="2" customWidth="1"/>
    <col min="23" max="23" width="11.7109375" style="2" customWidth="1"/>
    <col min="24" max="16384" width="9.140625" style="2"/>
  </cols>
  <sheetData>
    <row r="2" spans="1:21" s="1" customFormat="1" ht="53.4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27"/>
      <c r="R2" s="27"/>
      <c r="S2" s="27"/>
    </row>
    <row r="4" spans="1:21" x14ac:dyDescent="0.25">
      <c r="A4" s="2" t="s">
        <v>43</v>
      </c>
    </row>
    <row r="5" spans="1:21" ht="19.5" thickBot="1" x14ac:dyDescent="0.35">
      <c r="K5" s="40"/>
    </row>
    <row r="6" spans="1:21" ht="24" customHeight="1" x14ac:dyDescent="0.25">
      <c r="A6" s="906"/>
      <c r="B6" s="915" t="s">
        <v>2</v>
      </c>
      <c r="C6" s="916"/>
      <c r="D6" s="916"/>
      <c r="E6" s="916"/>
      <c r="F6" s="916"/>
      <c r="G6" s="917"/>
      <c r="H6" s="918" t="s">
        <v>4</v>
      </c>
      <c r="I6" s="919"/>
      <c r="J6" s="919"/>
      <c r="K6" s="919"/>
      <c r="L6" s="919"/>
      <c r="M6" s="920"/>
      <c r="N6" s="857" t="s">
        <v>5</v>
      </c>
      <c r="O6" s="858"/>
      <c r="P6" s="858"/>
      <c r="Q6" s="858"/>
      <c r="R6" s="858"/>
      <c r="S6" s="859"/>
    </row>
    <row r="7" spans="1:21" ht="94.9" customHeight="1" x14ac:dyDescent="0.25">
      <c r="A7" s="907"/>
      <c r="B7" s="41" t="s">
        <v>28</v>
      </c>
      <c r="C7" s="42" t="s">
        <v>10</v>
      </c>
      <c r="D7" s="42" t="s">
        <v>6</v>
      </c>
      <c r="E7" s="42" t="s">
        <v>7</v>
      </c>
      <c r="F7" s="42" t="s">
        <v>8</v>
      </c>
      <c r="G7" s="43" t="s">
        <v>9</v>
      </c>
      <c r="H7" s="44" t="s">
        <v>28</v>
      </c>
      <c r="I7" s="45" t="s">
        <v>10</v>
      </c>
      <c r="J7" s="45" t="s">
        <v>6</v>
      </c>
      <c r="K7" s="45" t="s">
        <v>7</v>
      </c>
      <c r="L7" s="45" t="s">
        <v>8</v>
      </c>
      <c r="M7" s="46" t="s">
        <v>9</v>
      </c>
      <c r="N7" s="44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21" ht="13.5" customHeight="1" x14ac:dyDescent="0.25">
      <c r="A8" s="6"/>
      <c r="B8" s="41"/>
      <c r="C8" s="47"/>
      <c r="D8" s="47"/>
      <c r="E8" s="47"/>
      <c r="F8" s="47"/>
      <c r="G8" s="48"/>
      <c r="H8" s="49"/>
      <c r="I8" s="50"/>
      <c r="J8" s="50"/>
      <c r="K8" s="50"/>
      <c r="L8" s="50"/>
      <c r="M8" s="51"/>
      <c r="N8" s="49"/>
      <c r="O8" s="8"/>
      <c r="P8" s="8"/>
      <c r="Q8" s="8"/>
      <c r="R8" s="8"/>
      <c r="S8" s="9"/>
    </row>
    <row r="9" spans="1:21" s="1" customFormat="1" ht="21.75" customHeight="1" thickBot="1" x14ac:dyDescent="0.3">
      <c r="A9" s="52" t="s">
        <v>0</v>
      </c>
      <c r="B9" s="53"/>
      <c r="C9" s="54"/>
      <c r="D9" s="54"/>
      <c r="E9" s="54"/>
      <c r="F9" s="54"/>
      <c r="G9" s="54"/>
      <c r="H9" s="55">
        <f t="shared" ref="H9" si="0">H10+H22+H40+H63</f>
        <v>42.096014492753618</v>
      </c>
      <c r="I9" s="55"/>
      <c r="J9" s="55"/>
      <c r="K9" s="55">
        <f>K10+K22+K40+K63</f>
        <v>7458.2594202898554</v>
      </c>
      <c r="L9" s="55">
        <f t="shared" ref="L9:M9" si="1">L10+L22+L40+L63</f>
        <v>1783.3259160869568</v>
      </c>
      <c r="M9" s="55">
        <f t="shared" si="1"/>
        <v>9241.5853363768128</v>
      </c>
      <c r="N9" s="56"/>
      <c r="O9" s="12"/>
      <c r="P9" s="12"/>
      <c r="Q9" s="12"/>
      <c r="R9" s="12"/>
      <c r="S9" s="13"/>
    </row>
    <row r="10" spans="1:21" ht="50.45" customHeight="1" x14ac:dyDescent="0.25">
      <c r="A10" s="57" t="s">
        <v>14</v>
      </c>
      <c r="B10" s="58"/>
      <c r="C10" s="58"/>
      <c r="D10" s="58"/>
      <c r="E10" s="58"/>
      <c r="F10" s="58"/>
      <c r="G10" s="59"/>
      <c r="H10" s="60">
        <f>SUM(H11:H21)</f>
        <v>5.820652173913043</v>
      </c>
      <c r="I10" s="61"/>
      <c r="J10" s="61"/>
      <c r="K10" s="62">
        <f>SUM(K11:K21)</f>
        <v>1891.3130434782611</v>
      </c>
      <c r="L10" s="63">
        <f t="shared" ref="L10:M10" si="2">SUM(L11:L21)</f>
        <v>455.61731217391304</v>
      </c>
      <c r="M10" s="64">
        <f t="shared" si="2"/>
        <v>2346.9303556521745</v>
      </c>
      <c r="N10" s="65"/>
      <c r="O10" s="20"/>
      <c r="P10" s="20"/>
      <c r="Q10" s="20"/>
      <c r="R10" s="20"/>
      <c r="S10" s="21"/>
    </row>
    <row r="11" spans="1:21" ht="21.6" customHeight="1" x14ac:dyDescent="0.25">
      <c r="A11" s="66" t="s">
        <v>44</v>
      </c>
      <c r="B11" s="67"/>
      <c r="C11" s="67"/>
      <c r="D11" s="67"/>
      <c r="E11" s="67"/>
      <c r="F11" s="67"/>
      <c r="G11" s="68"/>
      <c r="H11" s="65">
        <f>12/138</f>
        <v>8.6956521739130432E-2</v>
      </c>
      <c r="I11" s="69">
        <v>1739</v>
      </c>
      <c r="J11" s="70">
        <v>5</v>
      </c>
      <c r="K11" s="71">
        <f>I11*0.05*H11</f>
        <v>7.5608695652173914</v>
      </c>
      <c r="L11" s="72">
        <f>K11*0.2409</f>
        <v>1.8214134782608695</v>
      </c>
      <c r="M11" s="73">
        <f>K11+L11</f>
        <v>9.3822830434782603</v>
      </c>
      <c r="N11" s="74"/>
      <c r="O11" s="20"/>
      <c r="P11" s="20"/>
      <c r="Q11" s="20"/>
      <c r="R11" s="20"/>
      <c r="S11" s="21"/>
      <c r="T11" s="28"/>
      <c r="U11" s="28"/>
    </row>
    <row r="12" spans="1:21" ht="21.6" customHeight="1" x14ac:dyDescent="0.25">
      <c r="A12" s="66" t="s">
        <v>45</v>
      </c>
      <c r="B12" s="67"/>
      <c r="C12" s="67"/>
      <c r="D12" s="67"/>
      <c r="E12" s="67"/>
      <c r="F12" s="67"/>
      <c r="G12" s="68"/>
      <c r="H12" s="65">
        <v>1</v>
      </c>
      <c r="I12" s="75">
        <v>1910</v>
      </c>
      <c r="J12" s="76">
        <v>20</v>
      </c>
      <c r="K12" s="71">
        <f>I12*0.2*H12</f>
        <v>382</v>
      </c>
      <c r="L12" s="72">
        <f t="shared" ref="L12:L21" si="3">K12*0.2409</f>
        <v>92.023799999999994</v>
      </c>
      <c r="M12" s="73">
        <f t="shared" ref="M12:M21" si="4">K12+L12</f>
        <v>474.02379999999999</v>
      </c>
      <c r="N12" s="74"/>
      <c r="O12" s="20"/>
      <c r="P12" s="20"/>
      <c r="Q12" s="20"/>
      <c r="R12" s="20"/>
      <c r="S12" s="21"/>
      <c r="T12" s="28"/>
      <c r="U12" s="28"/>
    </row>
    <row r="13" spans="1:21" ht="21.6" customHeight="1" x14ac:dyDescent="0.25">
      <c r="A13" s="66" t="s">
        <v>46</v>
      </c>
      <c r="B13" s="67"/>
      <c r="C13" s="67"/>
      <c r="D13" s="67"/>
      <c r="E13" s="67"/>
      <c r="F13" s="67"/>
      <c r="G13" s="68"/>
      <c r="H13" s="65">
        <f>98.25/138</f>
        <v>0.71195652173913049</v>
      </c>
      <c r="I13" s="75">
        <v>1910</v>
      </c>
      <c r="J13" s="76">
        <v>20</v>
      </c>
      <c r="K13" s="71">
        <f>I13*0.2*H13</f>
        <v>271.96739130434787</v>
      </c>
      <c r="L13" s="72">
        <f t="shared" si="3"/>
        <v>65.516944565217401</v>
      </c>
      <c r="M13" s="73">
        <f t="shared" si="4"/>
        <v>337.48433586956526</v>
      </c>
      <c r="N13" s="74"/>
      <c r="O13" s="20"/>
      <c r="P13" s="20"/>
      <c r="Q13" s="20"/>
      <c r="R13" s="20"/>
      <c r="S13" s="21"/>
      <c r="T13" s="28"/>
      <c r="U13" s="28"/>
    </row>
    <row r="14" spans="1:21" ht="21.6" customHeight="1" x14ac:dyDescent="0.25">
      <c r="A14" s="66" t="s">
        <v>46</v>
      </c>
      <c r="B14" s="67"/>
      <c r="C14" s="67"/>
      <c r="D14" s="67"/>
      <c r="E14" s="67"/>
      <c r="F14" s="67"/>
      <c r="G14" s="68"/>
      <c r="H14" s="65">
        <f>(34.5+18.5)/138</f>
        <v>0.38405797101449274</v>
      </c>
      <c r="I14" s="75">
        <v>1739</v>
      </c>
      <c r="J14" s="76">
        <v>20</v>
      </c>
      <c r="K14" s="71">
        <f>I14*0.2*H14</f>
        <v>133.57536231884058</v>
      </c>
      <c r="L14" s="72">
        <f t="shared" si="3"/>
        <v>32.178304782608699</v>
      </c>
      <c r="M14" s="73">
        <f t="shared" si="4"/>
        <v>165.75366710144928</v>
      </c>
      <c r="N14" s="74"/>
      <c r="O14" s="20"/>
      <c r="P14" s="20"/>
      <c r="Q14" s="20"/>
      <c r="R14" s="20"/>
      <c r="S14" s="21"/>
      <c r="T14" s="28"/>
      <c r="U14" s="28"/>
    </row>
    <row r="15" spans="1:21" ht="19.899999999999999" customHeight="1" x14ac:dyDescent="0.25">
      <c r="A15" s="66" t="s">
        <v>47</v>
      </c>
      <c r="B15" s="67"/>
      <c r="C15" s="67"/>
      <c r="D15" s="67"/>
      <c r="E15" s="67"/>
      <c r="F15" s="67"/>
      <c r="G15" s="68"/>
      <c r="H15" s="65">
        <f>14/138</f>
        <v>0.10144927536231885</v>
      </c>
      <c r="I15" s="75">
        <v>1739</v>
      </c>
      <c r="J15" s="76">
        <v>5</v>
      </c>
      <c r="K15" s="71">
        <f>I15*0.05*H15</f>
        <v>8.8210144927536245</v>
      </c>
      <c r="L15" s="72">
        <f t="shared" si="3"/>
        <v>2.1249823913043482</v>
      </c>
      <c r="M15" s="73">
        <f t="shared" si="4"/>
        <v>10.945996884057973</v>
      </c>
      <c r="N15" s="74"/>
      <c r="O15" s="20"/>
      <c r="P15" s="20"/>
      <c r="Q15" s="20"/>
      <c r="R15" s="20"/>
      <c r="S15" s="21"/>
      <c r="T15" s="28"/>
      <c r="U15" s="28"/>
    </row>
    <row r="16" spans="1:21" ht="19.899999999999999" customHeight="1" x14ac:dyDescent="0.25">
      <c r="A16" s="66" t="s">
        <v>48</v>
      </c>
      <c r="B16" s="77"/>
      <c r="C16" s="77"/>
      <c r="D16" s="77"/>
      <c r="E16" s="77"/>
      <c r="F16" s="77"/>
      <c r="G16" s="78"/>
      <c r="H16" s="65">
        <f>48/138</f>
        <v>0.34782608695652173</v>
      </c>
      <c r="I16" s="75">
        <v>1739</v>
      </c>
      <c r="J16" s="76">
        <v>10</v>
      </c>
      <c r="K16" s="71">
        <f>I16*0.1*H16</f>
        <v>60.486956521739131</v>
      </c>
      <c r="L16" s="72">
        <f t="shared" si="3"/>
        <v>14.571307826086956</v>
      </c>
      <c r="M16" s="73">
        <f t="shared" si="4"/>
        <v>75.058264347826082</v>
      </c>
      <c r="N16" s="74"/>
      <c r="O16" s="20"/>
      <c r="P16" s="20"/>
      <c r="Q16" s="20"/>
      <c r="R16" s="20"/>
      <c r="S16" s="21"/>
      <c r="T16" s="28"/>
      <c r="U16" s="28"/>
    </row>
    <row r="17" spans="1:21" ht="19.899999999999999" customHeight="1" x14ac:dyDescent="0.25">
      <c r="A17" s="66" t="s">
        <v>49</v>
      </c>
      <c r="B17" s="77"/>
      <c r="C17" s="77"/>
      <c r="D17" s="77"/>
      <c r="E17" s="77"/>
      <c r="F17" s="77"/>
      <c r="G17" s="78"/>
      <c r="H17" s="65">
        <v>1</v>
      </c>
      <c r="I17" s="75">
        <v>1739</v>
      </c>
      <c r="J17" s="76">
        <v>20</v>
      </c>
      <c r="K17" s="71">
        <f>I17*0.2*H17</f>
        <v>347.8</v>
      </c>
      <c r="L17" s="72">
        <f t="shared" si="3"/>
        <v>83.785020000000003</v>
      </c>
      <c r="M17" s="73">
        <f t="shared" si="4"/>
        <v>431.58501999999999</v>
      </c>
      <c r="N17" s="74"/>
      <c r="O17" s="20"/>
      <c r="P17" s="20"/>
      <c r="Q17" s="20"/>
      <c r="R17" s="20"/>
      <c r="S17" s="21"/>
      <c r="T17" s="28"/>
      <c r="U17" s="28"/>
    </row>
    <row r="18" spans="1:21" ht="19.899999999999999" customHeight="1" x14ac:dyDescent="0.25">
      <c r="A18" s="66" t="s">
        <v>50</v>
      </c>
      <c r="B18" s="77"/>
      <c r="C18" s="77"/>
      <c r="D18" s="77"/>
      <c r="E18" s="77"/>
      <c r="F18" s="77"/>
      <c r="G18" s="78"/>
      <c r="H18" s="65">
        <v>1</v>
      </c>
      <c r="I18" s="75">
        <v>1739</v>
      </c>
      <c r="J18" s="76">
        <v>20</v>
      </c>
      <c r="K18" s="72">
        <f t="shared" ref="K18:K19" si="5">I18*0.2*H18</f>
        <v>347.8</v>
      </c>
      <c r="L18" s="72">
        <f t="shared" si="3"/>
        <v>83.785020000000003</v>
      </c>
      <c r="M18" s="73">
        <f t="shared" si="4"/>
        <v>431.58501999999999</v>
      </c>
      <c r="N18" s="74"/>
      <c r="O18" s="20"/>
      <c r="P18" s="20"/>
      <c r="Q18" s="20"/>
      <c r="R18" s="20"/>
      <c r="S18" s="21"/>
      <c r="T18" s="28"/>
      <c r="U18" s="28"/>
    </row>
    <row r="19" spans="1:21" ht="19.899999999999999" customHeight="1" x14ac:dyDescent="0.25">
      <c r="A19" s="66" t="s">
        <v>51</v>
      </c>
      <c r="B19" s="77"/>
      <c r="C19" s="77"/>
      <c r="D19" s="77"/>
      <c r="E19" s="77"/>
      <c r="F19" s="77"/>
      <c r="G19" s="78"/>
      <c r="H19" s="65">
        <f>104/138</f>
        <v>0.75362318840579712</v>
      </c>
      <c r="I19" s="75">
        <v>1739</v>
      </c>
      <c r="J19" s="76">
        <v>20</v>
      </c>
      <c r="K19" s="72">
        <f t="shared" si="5"/>
        <v>262.11014492753623</v>
      </c>
      <c r="L19" s="72">
        <f t="shared" si="3"/>
        <v>63.14233391304348</v>
      </c>
      <c r="M19" s="73">
        <f t="shared" si="4"/>
        <v>325.25247884057973</v>
      </c>
      <c r="N19" s="74"/>
      <c r="O19" s="20"/>
      <c r="P19" s="20"/>
      <c r="Q19" s="20"/>
      <c r="R19" s="20"/>
      <c r="S19" s="21"/>
      <c r="T19" s="28"/>
      <c r="U19" s="28"/>
    </row>
    <row r="20" spans="1:21" ht="19.899999999999999" customHeight="1" x14ac:dyDescent="0.25">
      <c r="A20" s="66" t="s">
        <v>52</v>
      </c>
      <c r="B20" s="77"/>
      <c r="C20" s="77"/>
      <c r="D20" s="77"/>
      <c r="E20" s="77"/>
      <c r="F20" s="77"/>
      <c r="G20" s="78"/>
      <c r="H20" s="65">
        <f>24/138</f>
        <v>0.17391304347826086</v>
      </c>
      <c r="I20" s="75">
        <v>1739</v>
      </c>
      <c r="J20" s="76">
        <v>10</v>
      </c>
      <c r="K20" s="71">
        <f>I20*0.1*H20</f>
        <v>30.243478260869566</v>
      </c>
      <c r="L20" s="72">
        <f t="shared" si="3"/>
        <v>7.2856539130434781</v>
      </c>
      <c r="M20" s="73">
        <f t="shared" si="4"/>
        <v>37.529132173913041</v>
      </c>
      <c r="N20" s="74"/>
      <c r="O20" s="20"/>
      <c r="P20" s="20"/>
      <c r="Q20" s="20"/>
      <c r="R20" s="20"/>
      <c r="S20" s="21"/>
      <c r="T20" s="28"/>
      <c r="U20" s="28"/>
    </row>
    <row r="21" spans="1:21" ht="19.899999999999999" customHeight="1" thickBot="1" x14ac:dyDescent="0.3">
      <c r="A21" s="79" t="s">
        <v>22</v>
      </c>
      <c r="B21" s="80"/>
      <c r="C21" s="80"/>
      <c r="D21" s="80"/>
      <c r="E21" s="80"/>
      <c r="F21" s="80"/>
      <c r="G21" s="81"/>
      <c r="H21" s="82">
        <f>36/138</f>
        <v>0.2608695652173913</v>
      </c>
      <c r="I21" s="83">
        <v>1493</v>
      </c>
      <c r="J21" s="84">
        <v>10</v>
      </c>
      <c r="K21" s="85">
        <f>I21*0.1*H21</f>
        <v>38.947826086956525</v>
      </c>
      <c r="L21" s="85">
        <f t="shared" si="3"/>
        <v>9.3825313043478271</v>
      </c>
      <c r="M21" s="86">
        <f t="shared" si="4"/>
        <v>48.330357391304354</v>
      </c>
      <c r="N21" s="74"/>
      <c r="O21" s="20"/>
      <c r="P21" s="20"/>
      <c r="Q21" s="20"/>
      <c r="R21" s="20"/>
      <c r="S21" s="21"/>
      <c r="T21" s="28"/>
      <c r="U21" s="28"/>
    </row>
    <row r="22" spans="1:21" ht="48.6" customHeight="1" x14ac:dyDescent="0.25">
      <c r="A22" s="57" t="s">
        <v>12</v>
      </c>
      <c r="B22" s="87"/>
      <c r="C22" s="58"/>
      <c r="D22" s="58"/>
      <c r="E22" s="58"/>
      <c r="F22" s="58"/>
      <c r="G22" s="59"/>
      <c r="H22" s="60">
        <f>SUM(H23:H39)</f>
        <v>15.32608695652174</v>
      </c>
      <c r="I22" s="88"/>
      <c r="J22" s="88"/>
      <c r="K22" s="88">
        <f>SUM(K23:K39)</f>
        <v>3223.304347826087</v>
      </c>
      <c r="L22" s="88">
        <f t="shared" ref="L22:M22" si="6">SUM(L23:L39)</f>
        <v>771.06745739130463</v>
      </c>
      <c r="M22" s="89">
        <f t="shared" si="6"/>
        <v>3994.3718052173922</v>
      </c>
      <c r="N22" s="74"/>
      <c r="O22" s="20"/>
      <c r="P22" s="20"/>
      <c r="Q22" s="20"/>
      <c r="R22" s="20"/>
      <c r="S22" s="21"/>
      <c r="T22" s="28"/>
      <c r="U22" s="28"/>
    </row>
    <row r="23" spans="1:21" ht="18.600000000000001" customHeight="1" x14ac:dyDescent="0.25">
      <c r="A23" s="66" t="s">
        <v>21</v>
      </c>
      <c r="B23" s="90"/>
      <c r="C23" s="91"/>
      <c r="D23" s="91"/>
      <c r="E23" s="91"/>
      <c r="F23" s="91"/>
      <c r="G23" s="92"/>
      <c r="H23" s="93">
        <v>1</v>
      </c>
      <c r="I23" s="72">
        <v>1230</v>
      </c>
      <c r="J23" s="94">
        <v>20</v>
      </c>
      <c r="K23" s="72">
        <f>I23*0.2*H23</f>
        <v>246</v>
      </c>
      <c r="L23" s="72">
        <f>K23*0.2409</f>
        <v>59.261400000000002</v>
      </c>
      <c r="M23" s="73">
        <f>K23+L23</f>
        <v>305.26139999999998</v>
      </c>
      <c r="N23" s="74"/>
      <c r="O23" s="20"/>
      <c r="P23" s="20"/>
      <c r="Q23" s="20"/>
      <c r="R23" s="20"/>
      <c r="S23" s="21"/>
      <c r="T23" s="28"/>
      <c r="U23" s="28"/>
    </row>
    <row r="24" spans="1:21" ht="18.600000000000001" customHeight="1" x14ac:dyDescent="0.25">
      <c r="A24" s="66" t="s">
        <v>39</v>
      </c>
      <c r="B24" s="90"/>
      <c r="C24" s="91"/>
      <c r="D24" s="91"/>
      <c r="E24" s="91"/>
      <c r="F24" s="91"/>
      <c r="G24" s="92"/>
      <c r="H24" s="93">
        <v>1</v>
      </c>
      <c r="I24" s="72">
        <v>1021</v>
      </c>
      <c r="J24" s="94">
        <v>20</v>
      </c>
      <c r="K24" s="72">
        <f>I24*0.2*H24</f>
        <v>204.20000000000002</v>
      </c>
      <c r="L24" s="72">
        <f t="shared" ref="L24:L39" si="7">K24*0.2409</f>
        <v>49.191780000000001</v>
      </c>
      <c r="M24" s="73">
        <f t="shared" ref="M24:M39" si="8">K24+L24</f>
        <v>253.39178000000001</v>
      </c>
      <c r="N24" s="74"/>
      <c r="O24" s="20"/>
      <c r="P24" s="20"/>
      <c r="Q24" s="20"/>
      <c r="R24" s="20"/>
      <c r="S24" s="21"/>
      <c r="T24" s="28"/>
      <c r="U24" s="28"/>
    </row>
    <row r="25" spans="1:21" ht="18.600000000000001" customHeight="1" x14ac:dyDescent="0.25">
      <c r="A25" s="66" t="s">
        <v>39</v>
      </c>
      <c r="B25" s="90"/>
      <c r="C25" s="91"/>
      <c r="D25" s="91"/>
      <c r="E25" s="91"/>
      <c r="F25" s="91"/>
      <c r="G25" s="92"/>
      <c r="H25" s="93">
        <v>1</v>
      </c>
      <c r="I25" s="72">
        <v>976</v>
      </c>
      <c r="J25" s="94">
        <v>20</v>
      </c>
      <c r="K25" s="72">
        <f t="shared" ref="K25:K39" si="9">I25*0.2*H25</f>
        <v>195.20000000000002</v>
      </c>
      <c r="L25" s="72">
        <f t="shared" si="7"/>
        <v>47.023680000000006</v>
      </c>
      <c r="M25" s="73">
        <f t="shared" si="8"/>
        <v>242.22368000000003</v>
      </c>
      <c r="N25" s="74"/>
      <c r="O25" s="20"/>
      <c r="P25" s="20"/>
      <c r="Q25" s="20"/>
      <c r="R25" s="20"/>
      <c r="S25" s="21"/>
      <c r="T25" s="28"/>
      <c r="U25" s="28"/>
    </row>
    <row r="26" spans="1:21" ht="18.600000000000001" customHeight="1" x14ac:dyDescent="0.25">
      <c r="A26" s="66" t="s">
        <v>39</v>
      </c>
      <c r="B26" s="90"/>
      <c r="C26" s="91"/>
      <c r="D26" s="91"/>
      <c r="E26" s="91"/>
      <c r="F26" s="91"/>
      <c r="G26" s="92"/>
      <c r="H26" s="93">
        <v>1</v>
      </c>
      <c r="I26" s="72">
        <v>951</v>
      </c>
      <c r="J26" s="94">
        <v>20</v>
      </c>
      <c r="K26" s="72">
        <f t="shared" si="9"/>
        <v>190.20000000000002</v>
      </c>
      <c r="L26" s="72">
        <f t="shared" si="7"/>
        <v>45.819180000000003</v>
      </c>
      <c r="M26" s="73">
        <f t="shared" si="8"/>
        <v>236.01918000000001</v>
      </c>
      <c r="N26" s="74"/>
      <c r="O26" s="20"/>
      <c r="P26" s="20"/>
      <c r="Q26" s="20"/>
      <c r="R26" s="20"/>
      <c r="S26" s="21"/>
      <c r="T26" s="28"/>
      <c r="U26" s="28"/>
    </row>
    <row r="27" spans="1:21" ht="18.600000000000001" customHeight="1" x14ac:dyDescent="0.25">
      <c r="A27" s="66" t="s">
        <v>39</v>
      </c>
      <c r="B27" s="90"/>
      <c r="C27" s="91"/>
      <c r="D27" s="91"/>
      <c r="E27" s="91"/>
      <c r="F27" s="91"/>
      <c r="G27" s="92"/>
      <c r="H27" s="93">
        <v>1</v>
      </c>
      <c r="I27" s="72">
        <v>1167</v>
      </c>
      <c r="J27" s="94">
        <v>20</v>
      </c>
      <c r="K27" s="72">
        <f t="shared" si="9"/>
        <v>233.4</v>
      </c>
      <c r="L27" s="72">
        <f t="shared" si="7"/>
        <v>56.226060000000004</v>
      </c>
      <c r="M27" s="73">
        <f t="shared" si="8"/>
        <v>289.62606</v>
      </c>
      <c r="N27" s="74"/>
      <c r="O27" s="20"/>
      <c r="P27" s="20"/>
      <c r="Q27" s="20"/>
      <c r="R27" s="20"/>
      <c r="S27" s="21"/>
      <c r="T27" s="28"/>
      <c r="U27" s="28"/>
    </row>
    <row r="28" spans="1:21" ht="18.600000000000001" customHeight="1" x14ac:dyDescent="0.25">
      <c r="A28" s="66" t="s">
        <v>39</v>
      </c>
      <c r="B28" s="90"/>
      <c r="C28" s="91"/>
      <c r="D28" s="91"/>
      <c r="E28" s="91"/>
      <c r="F28" s="91"/>
      <c r="G28" s="92"/>
      <c r="H28" s="95">
        <f>48/138</f>
        <v>0.34782608695652173</v>
      </c>
      <c r="I28" s="72">
        <v>976</v>
      </c>
      <c r="J28" s="94">
        <v>20</v>
      </c>
      <c r="K28" s="72">
        <f t="shared" si="9"/>
        <v>67.895652173913049</v>
      </c>
      <c r="L28" s="72">
        <f t="shared" si="7"/>
        <v>16.356062608695655</v>
      </c>
      <c r="M28" s="73">
        <f t="shared" si="8"/>
        <v>84.251714782608701</v>
      </c>
      <c r="N28" s="74"/>
      <c r="O28" s="20"/>
      <c r="P28" s="20"/>
      <c r="Q28" s="20"/>
      <c r="R28" s="20"/>
      <c r="S28" s="21"/>
      <c r="T28" s="28"/>
      <c r="U28" s="28"/>
    </row>
    <row r="29" spans="1:21" ht="18.600000000000001" customHeight="1" x14ac:dyDescent="0.25">
      <c r="A29" s="66" t="s">
        <v>39</v>
      </c>
      <c r="B29" s="90"/>
      <c r="C29" s="91"/>
      <c r="D29" s="91"/>
      <c r="E29" s="91"/>
      <c r="F29" s="91"/>
      <c r="G29" s="92"/>
      <c r="H29" s="93">
        <v>1</v>
      </c>
      <c r="I29" s="72">
        <v>976</v>
      </c>
      <c r="J29" s="94">
        <v>20</v>
      </c>
      <c r="K29" s="72">
        <f t="shared" si="9"/>
        <v>195.20000000000002</v>
      </c>
      <c r="L29" s="72">
        <f t="shared" si="7"/>
        <v>47.023680000000006</v>
      </c>
      <c r="M29" s="73">
        <f t="shared" si="8"/>
        <v>242.22368000000003</v>
      </c>
      <c r="N29" s="74"/>
      <c r="O29" s="20"/>
      <c r="P29" s="20"/>
      <c r="Q29" s="20"/>
      <c r="R29" s="20"/>
      <c r="S29" s="21"/>
      <c r="T29" s="28"/>
      <c r="U29" s="28"/>
    </row>
    <row r="30" spans="1:21" ht="18.600000000000001" customHeight="1" x14ac:dyDescent="0.25">
      <c r="A30" s="66" t="s">
        <v>39</v>
      </c>
      <c r="B30" s="90"/>
      <c r="C30" s="91"/>
      <c r="D30" s="91"/>
      <c r="E30" s="91"/>
      <c r="F30" s="91"/>
      <c r="G30" s="92"/>
      <c r="H30" s="95">
        <f>27/138</f>
        <v>0.19565217391304349</v>
      </c>
      <c r="I30" s="72">
        <v>976</v>
      </c>
      <c r="J30" s="94">
        <v>20</v>
      </c>
      <c r="K30" s="72">
        <f t="shared" si="9"/>
        <v>38.19130434782609</v>
      </c>
      <c r="L30" s="72">
        <f t="shared" si="7"/>
        <v>9.2002852173913059</v>
      </c>
      <c r="M30" s="73">
        <f t="shared" si="8"/>
        <v>47.391589565217394</v>
      </c>
      <c r="N30" s="74"/>
      <c r="O30" s="20"/>
      <c r="P30" s="20"/>
      <c r="Q30" s="20"/>
      <c r="R30" s="20"/>
      <c r="S30" s="21"/>
      <c r="T30" s="28"/>
      <c r="U30" s="28"/>
    </row>
    <row r="31" spans="1:21" ht="18.600000000000001" customHeight="1" x14ac:dyDescent="0.25">
      <c r="A31" s="66" t="s">
        <v>39</v>
      </c>
      <c r="B31" s="90"/>
      <c r="C31" s="91"/>
      <c r="D31" s="91"/>
      <c r="E31" s="91"/>
      <c r="F31" s="91"/>
      <c r="G31" s="92"/>
      <c r="H31" s="93">
        <v>1</v>
      </c>
      <c r="I31" s="72">
        <v>976</v>
      </c>
      <c r="J31" s="94">
        <v>20</v>
      </c>
      <c r="K31" s="72">
        <f t="shared" si="9"/>
        <v>195.20000000000002</v>
      </c>
      <c r="L31" s="72">
        <f t="shared" si="7"/>
        <v>47.023680000000006</v>
      </c>
      <c r="M31" s="73">
        <f t="shared" si="8"/>
        <v>242.22368000000003</v>
      </c>
      <c r="N31" s="74"/>
      <c r="O31" s="20"/>
      <c r="P31" s="20"/>
      <c r="Q31" s="20"/>
      <c r="R31" s="20"/>
      <c r="S31" s="21"/>
      <c r="T31" s="28"/>
      <c r="U31" s="28"/>
    </row>
    <row r="32" spans="1:21" ht="18.600000000000001" customHeight="1" x14ac:dyDescent="0.25">
      <c r="A32" s="66" t="s">
        <v>39</v>
      </c>
      <c r="B32" s="90"/>
      <c r="C32" s="91"/>
      <c r="D32" s="91"/>
      <c r="E32" s="91"/>
      <c r="F32" s="91"/>
      <c r="G32" s="92"/>
      <c r="H32" s="93">
        <v>1</v>
      </c>
      <c r="I32" s="72">
        <v>951</v>
      </c>
      <c r="J32" s="94">
        <v>20</v>
      </c>
      <c r="K32" s="72">
        <f t="shared" si="9"/>
        <v>190.20000000000002</v>
      </c>
      <c r="L32" s="72">
        <f t="shared" si="7"/>
        <v>45.819180000000003</v>
      </c>
      <c r="M32" s="73">
        <f t="shared" si="8"/>
        <v>236.01918000000001</v>
      </c>
      <c r="N32" s="74"/>
      <c r="O32" s="20"/>
      <c r="P32" s="20"/>
      <c r="Q32" s="20"/>
      <c r="R32" s="20"/>
      <c r="S32" s="21"/>
      <c r="T32" s="28"/>
      <c r="U32" s="28"/>
    </row>
    <row r="33" spans="1:21" ht="18.600000000000001" customHeight="1" x14ac:dyDescent="0.25">
      <c r="A33" s="66" t="s">
        <v>39</v>
      </c>
      <c r="B33" s="90"/>
      <c r="C33" s="91"/>
      <c r="D33" s="91"/>
      <c r="E33" s="91"/>
      <c r="F33" s="91"/>
      <c r="G33" s="92"/>
      <c r="H33" s="93">
        <v>1</v>
      </c>
      <c r="I33" s="72">
        <v>976</v>
      </c>
      <c r="J33" s="94">
        <v>20</v>
      </c>
      <c r="K33" s="72">
        <f t="shared" si="9"/>
        <v>195.20000000000002</v>
      </c>
      <c r="L33" s="72">
        <f t="shared" si="7"/>
        <v>47.023680000000006</v>
      </c>
      <c r="M33" s="73">
        <f t="shared" si="8"/>
        <v>242.22368000000003</v>
      </c>
      <c r="N33" s="74"/>
      <c r="O33" s="20"/>
      <c r="P33" s="20"/>
      <c r="Q33" s="20"/>
      <c r="R33" s="20"/>
      <c r="S33" s="21"/>
      <c r="T33" s="28"/>
      <c r="U33" s="28"/>
    </row>
    <row r="34" spans="1:21" ht="18.600000000000001" customHeight="1" x14ac:dyDescent="0.25">
      <c r="A34" s="66" t="s">
        <v>39</v>
      </c>
      <c r="B34" s="90"/>
      <c r="C34" s="91"/>
      <c r="D34" s="91"/>
      <c r="E34" s="91"/>
      <c r="F34" s="91"/>
      <c r="G34" s="92"/>
      <c r="H34" s="95">
        <f>120/138</f>
        <v>0.86956521739130432</v>
      </c>
      <c r="I34" s="72">
        <v>951</v>
      </c>
      <c r="J34" s="94">
        <v>20</v>
      </c>
      <c r="K34" s="72">
        <f t="shared" si="9"/>
        <v>165.39130434782609</v>
      </c>
      <c r="L34" s="72">
        <f t="shared" si="7"/>
        <v>39.842765217391303</v>
      </c>
      <c r="M34" s="73">
        <f t="shared" si="8"/>
        <v>205.2340695652174</v>
      </c>
      <c r="N34" s="74"/>
      <c r="O34" s="20"/>
      <c r="P34" s="20"/>
      <c r="Q34" s="20"/>
      <c r="R34" s="20"/>
      <c r="S34" s="21"/>
      <c r="T34" s="28"/>
      <c r="U34" s="28"/>
    </row>
    <row r="35" spans="1:21" ht="18.600000000000001" customHeight="1" x14ac:dyDescent="0.25">
      <c r="A35" s="66" t="s">
        <v>39</v>
      </c>
      <c r="B35" s="90"/>
      <c r="C35" s="91"/>
      <c r="D35" s="91"/>
      <c r="E35" s="91"/>
      <c r="F35" s="91"/>
      <c r="G35" s="92"/>
      <c r="H35" s="93">
        <v>1</v>
      </c>
      <c r="I35" s="72">
        <v>976</v>
      </c>
      <c r="J35" s="94">
        <v>20</v>
      </c>
      <c r="K35" s="72">
        <f t="shared" si="9"/>
        <v>195.20000000000002</v>
      </c>
      <c r="L35" s="72">
        <f>K35*0.2131</f>
        <v>41.597120000000004</v>
      </c>
      <c r="M35" s="73">
        <f t="shared" si="8"/>
        <v>236.79712000000001</v>
      </c>
      <c r="N35" s="74"/>
      <c r="O35" s="20"/>
      <c r="P35" s="20"/>
      <c r="Q35" s="20"/>
      <c r="R35" s="20"/>
      <c r="S35" s="21"/>
      <c r="T35" s="28"/>
      <c r="U35" s="28"/>
    </row>
    <row r="36" spans="1:21" ht="18.600000000000001" customHeight="1" x14ac:dyDescent="0.25">
      <c r="A36" s="66" t="s">
        <v>39</v>
      </c>
      <c r="B36" s="90"/>
      <c r="C36" s="91"/>
      <c r="D36" s="91"/>
      <c r="E36" s="91"/>
      <c r="F36" s="91"/>
      <c r="G36" s="92"/>
      <c r="H36" s="95">
        <f>126/138</f>
        <v>0.91304347826086951</v>
      </c>
      <c r="I36" s="72">
        <v>976</v>
      </c>
      <c r="J36" s="94">
        <v>20</v>
      </c>
      <c r="K36" s="72">
        <f t="shared" si="9"/>
        <v>178.22608695652175</v>
      </c>
      <c r="L36" s="72">
        <f t="shared" si="7"/>
        <v>42.934664347826093</v>
      </c>
      <c r="M36" s="73">
        <f t="shared" si="8"/>
        <v>221.16075130434785</v>
      </c>
      <c r="N36" s="74"/>
      <c r="O36" s="20"/>
      <c r="P36" s="20"/>
      <c r="Q36" s="20"/>
      <c r="R36" s="20"/>
      <c r="S36" s="21"/>
      <c r="T36" s="28"/>
      <c r="U36" s="28"/>
    </row>
    <row r="37" spans="1:21" ht="18.600000000000001" customHeight="1" x14ac:dyDescent="0.25">
      <c r="A37" s="66" t="s">
        <v>24</v>
      </c>
      <c r="B37" s="90"/>
      <c r="C37" s="91"/>
      <c r="D37" s="91"/>
      <c r="E37" s="91"/>
      <c r="F37" s="91"/>
      <c r="G37" s="92"/>
      <c r="H37" s="95">
        <v>1</v>
      </c>
      <c r="I37" s="72">
        <v>890</v>
      </c>
      <c r="J37" s="94">
        <v>20</v>
      </c>
      <c r="K37" s="72">
        <f t="shared" si="9"/>
        <v>178</v>
      </c>
      <c r="L37" s="72">
        <f t="shared" si="7"/>
        <v>42.880200000000002</v>
      </c>
      <c r="M37" s="73">
        <f t="shared" si="8"/>
        <v>220.8802</v>
      </c>
      <c r="N37" s="74"/>
      <c r="O37" s="20"/>
      <c r="P37" s="20"/>
      <c r="Q37" s="20"/>
      <c r="R37" s="20"/>
      <c r="S37" s="21"/>
      <c r="T37" s="28"/>
      <c r="U37" s="28"/>
    </row>
    <row r="38" spans="1:21" ht="18.600000000000001" customHeight="1" x14ac:dyDescent="0.25">
      <c r="A38" s="66" t="s">
        <v>53</v>
      </c>
      <c r="B38" s="90"/>
      <c r="C38" s="91"/>
      <c r="D38" s="91"/>
      <c r="E38" s="91"/>
      <c r="F38" s="91"/>
      <c r="G38" s="92"/>
      <c r="H38" s="95">
        <v>1</v>
      </c>
      <c r="I38" s="72">
        <v>1360</v>
      </c>
      <c r="J38" s="94">
        <v>20</v>
      </c>
      <c r="K38" s="72">
        <f t="shared" si="9"/>
        <v>272</v>
      </c>
      <c r="L38" s="72">
        <f t="shared" si="7"/>
        <v>65.524799999999999</v>
      </c>
      <c r="M38" s="73">
        <f t="shared" si="8"/>
        <v>337.52480000000003</v>
      </c>
      <c r="N38" s="74"/>
      <c r="O38" s="20"/>
      <c r="P38" s="20"/>
      <c r="Q38" s="20"/>
      <c r="R38" s="20"/>
      <c r="S38" s="21"/>
      <c r="T38" s="28"/>
      <c r="U38" s="28"/>
    </row>
    <row r="39" spans="1:21" ht="18.600000000000001" customHeight="1" thickBot="1" x14ac:dyDescent="0.3">
      <c r="A39" s="96" t="s">
        <v>54</v>
      </c>
      <c r="B39" s="97"/>
      <c r="C39" s="98"/>
      <c r="D39" s="98"/>
      <c r="E39" s="98"/>
      <c r="F39" s="98"/>
      <c r="G39" s="99"/>
      <c r="H39" s="100">
        <v>1</v>
      </c>
      <c r="I39" s="85">
        <v>1418</v>
      </c>
      <c r="J39" s="101">
        <v>20</v>
      </c>
      <c r="K39" s="85">
        <f t="shared" si="9"/>
        <v>283.60000000000002</v>
      </c>
      <c r="L39" s="85">
        <f t="shared" si="7"/>
        <v>68.319240000000008</v>
      </c>
      <c r="M39" s="86">
        <f t="shared" si="8"/>
        <v>351.91924000000006</v>
      </c>
      <c r="N39" s="74"/>
      <c r="O39" s="20"/>
      <c r="P39" s="20"/>
      <c r="Q39" s="20"/>
      <c r="R39" s="20"/>
      <c r="S39" s="21"/>
      <c r="T39" s="28"/>
      <c r="U39" s="28"/>
    </row>
    <row r="40" spans="1:21" ht="63.6" customHeight="1" x14ac:dyDescent="0.25">
      <c r="A40" s="57" t="s">
        <v>13</v>
      </c>
      <c r="B40" s="87"/>
      <c r="C40" s="87"/>
      <c r="D40" s="87"/>
      <c r="E40" s="58"/>
      <c r="F40" s="58"/>
      <c r="G40" s="102"/>
      <c r="H40" s="103">
        <f>SUM(H41:H62)</f>
        <v>20.123188405797098</v>
      </c>
      <c r="I40" s="104"/>
      <c r="J40" s="104"/>
      <c r="K40" s="104">
        <f>SUM(K41:K62)</f>
        <v>2255.2507246376817</v>
      </c>
      <c r="L40" s="104">
        <f t="shared" ref="L40:M40" si="10">SUM(L41:L62)</f>
        <v>537.80495956521747</v>
      </c>
      <c r="M40" s="105">
        <f t="shared" si="10"/>
        <v>2793.0556842028982</v>
      </c>
      <c r="N40" s="74"/>
      <c r="O40" s="20"/>
      <c r="P40" s="20"/>
      <c r="Q40" s="20"/>
      <c r="R40" s="20"/>
      <c r="S40" s="21"/>
      <c r="T40" s="28"/>
      <c r="U40" s="28"/>
    </row>
    <row r="41" spans="1:21" ht="18" customHeight="1" x14ac:dyDescent="0.25">
      <c r="A41" s="66" t="s">
        <v>55</v>
      </c>
      <c r="B41" s="90"/>
      <c r="C41" s="90"/>
      <c r="D41" s="90"/>
      <c r="E41" s="91"/>
      <c r="F41" s="91"/>
      <c r="G41" s="106"/>
      <c r="H41" s="107">
        <v>1</v>
      </c>
      <c r="I41" s="72">
        <v>619</v>
      </c>
      <c r="J41" s="94">
        <v>20</v>
      </c>
      <c r="K41" s="72">
        <f t="shared" ref="K41:K61" si="11">I41*0.2*H41</f>
        <v>123.80000000000001</v>
      </c>
      <c r="L41" s="72">
        <f t="shared" ref="L41:L61" si="12">K41*0.2409</f>
        <v>29.823420000000002</v>
      </c>
      <c r="M41" s="73">
        <f t="shared" ref="M41:M62" si="13">K41+L41</f>
        <v>153.62342000000001</v>
      </c>
      <c r="N41" s="74"/>
      <c r="O41" s="20"/>
      <c r="P41" s="20"/>
      <c r="Q41" s="20"/>
      <c r="R41" s="20"/>
      <c r="S41" s="21"/>
      <c r="T41" s="28"/>
      <c r="U41" s="28"/>
    </row>
    <row r="42" spans="1:21" ht="18" customHeight="1" x14ac:dyDescent="0.25">
      <c r="A42" s="66" t="s">
        <v>56</v>
      </c>
      <c r="B42" s="90"/>
      <c r="C42" s="90"/>
      <c r="D42" s="90"/>
      <c r="E42" s="91"/>
      <c r="F42" s="91"/>
      <c r="G42" s="106"/>
      <c r="H42" s="108">
        <f>97/138</f>
        <v>0.70289855072463769</v>
      </c>
      <c r="I42" s="72">
        <v>619</v>
      </c>
      <c r="J42" s="94">
        <v>20</v>
      </c>
      <c r="K42" s="72">
        <f t="shared" si="11"/>
        <v>87.018840579710158</v>
      </c>
      <c r="L42" s="72">
        <f t="shared" si="12"/>
        <v>20.962838695652177</v>
      </c>
      <c r="M42" s="73">
        <f t="shared" si="13"/>
        <v>107.98167927536234</v>
      </c>
      <c r="N42" s="74"/>
      <c r="O42" s="20"/>
      <c r="P42" s="20"/>
      <c r="Q42" s="20"/>
      <c r="R42" s="20"/>
      <c r="S42" s="21"/>
      <c r="T42" s="28"/>
      <c r="U42" s="28"/>
    </row>
    <row r="43" spans="1:21" ht="18" customHeight="1" x14ac:dyDescent="0.25">
      <c r="A43" s="66" t="s">
        <v>57</v>
      </c>
      <c r="B43" s="90"/>
      <c r="C43" s="90"/>
      <c r="D43" s="90"/>
      <c r="E43" s="91"/>
      <c r="F43" s="91"/>
      <c r="G43" s="106"/>
      <c r="H43" s="107">
        <v>1</v>
      </c>
      <c r="I43" s="72">
        <v>619</v>
      </c>
      <c r="J43" s="94">
        <v>20</v>
      </c>
      <c r="K43" s="72">
        <f t="shared" si="11"/>
        <v>123.80000000000001</v>
      </c>
      <c r="L43" s="72">
        <f t="shared" si="12"/>
        <v>29.823420000000002</v>
      </c>
      <c r="M43" s="73">
        <f t="shared" si="13"/>
        <v>153.62342000000001</v>
      </c>
      <c r="N43" s="74"/>
      <c r="O43" s="20"/>
      <c r="P43" s="20"/>
      <c r="Q43" s="20"/>
      <c r="R43" s="20"/>
      <c r="S43" s="21"/>
      <c r="T43" s="28"/>
      <c r="U43" s="28"/>
    </row>
    <row r="44" spans="1:21" ht="18" customHeight="1" x14ac:dyDescent="0.25">
      <c r="A44" s="66" t="s">
        <v>58</v>
      </c>
      <c r="B44" s="90"/>
      <c r="C44" s="90"/>
      <c r="D44" s="90"/>
      <c r="E44" s="91"/>
      <c r="F44" s="91"/>
      <c r="G44" s="106"/>
      <c r="H44" s="107">
        <v>1</v>
      </c>
      <c r="I44" s="72">
        <v>619</v>
      </c>
      <c r="J44" s="94">
        <v>20</v>
      </c>
      <c r="K44" s="72">
        <f t="shared" si="11"/>
        <v>123.80000000000001</v>
      </c>
      <c r="L44" s="72">
        <f t="shared" si="12"/>
        <v>29.823420000000002</v>
      </c>
      <c r="M44" s="73">
        <f t="shared" si="13"/>
        <v>153.62342000000001</v>
      </c>
      <c r="N44" s="74"/>
      <c r="O44" s="20"/>
      <c r="P44" s="20"/>
      <c r="Q44" s="20"/>
      <c r="R44" s="20"/>
      <c r="S44" s="21"/>
      <c r="T44" s="28"/>
      <c r="U44" s="28"/>
    </row>
    <row r="45" spans="1:21" ht="18" customHeight="1" x14ac:dyDescent="0.25">
      <c r="A45" s="66" t="s">
        <v>59</v>
      </c>
      <c r="B45" s="90"/>
      <c r="C45" s="90"/>
      <c r="D45" s="90"/>
      <c r="E45" s="91"/>
      <c r="F45" s="91"/>
      <c r="G45" s="106"/>
      <c r="H45" s="107">
        <v>1</v>
      </c>
      <c r="I45" s="72">
        <v>619</v>
      </c>
      <c r="J45" s="94">
        <v>20</v>
      </c>
      <c r="K45" s="72">
        <f t="shared" si="11"/>
        <v>123.80000000000001</v>
      </c>
      <c r="L45" s="72">
        <f t="shared" si="12"/>
        <v>29.823420000000002</v>
      </c>
      <c r="M45" s="73">
        <f t="shared" si="13"/>
        <v>153.62342000000001</v>
      </c>
      <c r="N45" s="74"/>
      <c r="O45" s="20"/>
      <c r="P45" s="20"/>
      <c r="Q45" s="20"/>
      <c r="R45" s="20"/>
      <c r="S45" s="21"/>
      <c r="T45" s="28"/>
      <c r="U45" s="28"/>
    </row>
    <row r="46" spans="1:21" ht="18" customHeight="1" x14ac:dyDescent="0.25">
      <c r="A46" s="66" t="s">
        <v>60</v>
      </c>
      <c r="B46" s="90"/>
      <c r="C46" s="90"/>
      <c r="D46" s="90"/>
      <c r="E46" s="91"/>
      <c r="F46" s="91"/>
      <c r="G46" s="106"/>
      <c r="H46" s="107">
        <v>1</v>
      </c>
      <c r="I46" s="72">
        <v>619</v>
      </c>
      <c r="J46" s="94">
        <v>20</v>
      </c>
      <c r="K46" s="72">
        <f t="shared" si="11"/>
        <v>123.80000000000001</v>
      </c>
      <c r="L46" s="72">
        <f t="shared" si="12"/>
        <v>29.823420000000002</v>
      </c>
      <c r="M46" s="73">
        <f t="shared" si="13"/>
        <v>153.62342000000001</v>
      </c>
      <c r="N46" s="74"/>
      <c r="O46" s="20"/>
      <c r="P46" s="20"/>
      <c r="Q46" s="20"/>
      <c r="R46" s="20"/>
      <c r="S46" s="21"/>
      <c r="T46" s="28"/>
      <c r="U46" s="28"/>
    </row>
    <row r="47" spans="1:21" ht="18" customHeight="1" x14ac:dyDescent="0.25">
      <c r="A47" s="66" t="s">
        <v>61</v>
      </c>
      <c r="B47" s="90"/>
      <c r="C47" s="90"/>
      <c r="D47" s="90"/>
      <c r="E47" s="91"/>
      <c r="F47" s="91"/>
      <c r="G47" s="106"/>
      <c r="H47" s="107">
        <v>1</v>
      </c>
      <c r="I47" s="72">
        <v>619</v>
      </c>
      <c r="J47" s="94">
        <v>20</v>
      </c>
      <c r="K47" s="72">
        <f t="shared" si="11"/>
        <v>123.80000000000001</v>
      </c>
      <c r="L47" s="72">
        <f t="shared" si="12"/>
        <v>29.823420000000002</v>
      </c>
      <c r="M47" s="73">
        <f t="shared" si="13"/>
        <v>153.62342000000001</v>
      </c>
      <c r="N47" s="74"/>
      <c r="O47" s="20"/>
      <c r="P47" s="20"/>
      <c r="Q47" s="20"/>
      <c r="R47" s="20"/>
      <c r="S47" s="21"/>
      <c r="T47" s="28"/>
      <c r="U47" s="28"/>
    </row>
    <row r="48" spans="1:21" ht="18" customHeight="1" x14ac:dyDescent="0.25">
      <c r="A48" s="66" t="s">
        <v>62</v>
      </c>
      <c r="B48" s="90"/>
      <c r="C48" s="90"/>
      <c r="D48" s="90"/>
      <c r="E48" s="91"/>
      <c r="F48" s="91"/>
      <c r="G48" s="106"/>
      <c r="H48" s="107">
        <v>1</v>
      </c>
      <c r="I48" s="72">
        <v>619</v>
      </c>
      <c r="J48" s="94">
        <v>20</v>
      </c>
      <c r="K48" s="71">
        <f t="shared" si="11"/>
        <v>123.80000000000001</v>
      </c>
      <c r="L48" s="72">
        <f t="shared" si="12"/>
        <v>29.823420000000002</v>
      </c>
      <c r="M48" s="73">
        <f t="shared" si="13"/>
        <v>153.62342000000001</v>
      </c>
      <c r="N48" s="74"/>
      <c r="O48" s="20"/>
      <c r="P48" s="20"/>
      <c r="Q48" s="20"/>
      <c r="R48" s="20"/>
      <c r="S48" s="21"/>
      <c r="T48" s="28"/>
      <c r="U48" s="28"/>
    </row>
    <row r="49" spans="1:21" ht="18" customHeight="1" x14ac:dyDescent="0.25">
      <c r="A49" s="66" t="s">
        <v>63</v>
      </c>
      <c r="B49" s="90"/>
      <c r="C49" s="90"/>
      <c r="D49" s="90"/>
      <c r="E49" s="91"/>
      <c r="F49" s="91"/>
      <c r="G49" s="106"/>
      <c r="H49" s="107">
        <v>1</v>
      </c>
      <c r="I49" s="72">
        <v>619</v>
      </c>
      <c r="J49" s="94">
        <v>20</v>
      </c>
      <c r="K49" s="71">
        <f t="shared" si="11"/>
        <v>123.80000000000001</v>
      </c>
      <c r="L49" s="72">
        <f t="shared" si="12"/>
        <v>29.823420000000002</v>
      </c>
      <c r="M49" s="73">
        <f t="shared" si="13"/>
        <v>153.62342000000001</v>
      </c>
      <c r="N49" s="74"/>
      <c r="O49" s="20"/>
      <c r="P49" s="20"/>
      <c r="Q49" s="20"/>
      <c r="R49" s="20"/>
      <c r="S49" s="21"/>
      <c r="T49" s="28"/>
      <c r="U49" s="28"/>
    </row>
    <row r="50" spans="1:21" ht="18" customHeight="1" x14ac:dyDescent="0.25">
      <c r="A50" s="66" t="s">
        <v>64</v>
      </c>
      <c r="B50" s="90"/>
      <c r="C50" s="90"/>
      <c r="D50" s="90"/>
      <c r="E50" s="91"/>
      <c r="F50" s="91"/>
      <c r="G50" s="106"/>
      <c r="H50" s="108">
        <f>140/138</f>
        <v>1.0144927536231885</v>
      </c>
      <c r="I50" s="72">
        <v>619</v>
      </c>
      <c r="J50" s="94">
        <v>20</v>
      </c>
      <c r="K50" s="71">
        <f t="shared" si="11"/>
        <v>125.59420289855075</v>
      </c>
      <c r="L50" s="72">
        <f t="shared" si="12"/>
        <v>30.255643478260875</v>
      </c>
      <c r="M50" s="73">
        <f t="shared" si="13"/>
        <v>155.84984637681163</v>
      </c>
      <c r="N50" s="74"/>
      <c r="O50" s="20"/>
      <c r="P50" s="20"/>
      <c r="Q50" s="20"/>
      <c r="R50" s="20"/>
      <c r="S50" s="21"/>
      <c r="T50" s="28"/>
      <c r="U50" s="28"/>
    </row>
    <row r="51" spans="1:21" ht="18" customHeight="1" x14ac:dyDescent="0.25">
      <c r="A51" s="66" t="s">
        <v>65</v>
      </c>
      <c r="B51" s="90"/>
      <c r="C51" s="90"/>
      <c r="D51" s="90"/>
      <c r="E51" s="91"/>
      <c r="F51" s="91"/>
      <c r="G51" s="106"/>
      <c r="H51" s="107">
        <v>1</v>
      </c>
      <c r="I51" s="72">
        <v>619</v>
      </c>
      <c r="J51" s="94">
        <v>10</v>
      </c>
      <c r="K51" s="71">
        <f>I51*0.1*H51</f>
        <v>61.900000000000006</v>
      </c>
      <c r="L51" s="72">
        <f t="shared" si="12"/>
        <v>14.911710000000001</v>
      </c>
      <c r="M51" s="73">
        <f t="shared" si="13"/>
        <v>76.811710000000005</v>
      </c>
      <c r="N51" s="74"/>
      <c r="O51" s="20"/>
      <c r="P51" s="20"/>
      <c r="Q51" s="20"/>
      <c r="R51" s="20"/>
      <c r="S51" s="21"/>
      <c r="T51" s="28"/>
      <c r="U51" s="28"/>
    </row>
    <row r="52" spans="1:21" ht="18" customHeight="1" x14ac:dyDescent="0.25">
      <c r="A52" s="66" t="s">
        <v>66</v>
      </c>
      <c r="B52" s="90"/>
      <c r="C52" s="90"/>
      <c r="D52" s="90"/>
      <c r="E52" s="91"/>
      <c r="F52" s="91"/>
      <c r="G52" s="106"/>
      <c r="H52" s="108">
        <f>147/138</f>
        <v>1.0652173913043479</v>
      </c>
      <c r="I52" s="72">
        <v>619</v>
      </c>
      <c r="J52" s="94">
        <v>20</v>
      </c>
      <c r="K52" s="71">
        <f t="shared" si="11"/>
        <v>131.87391304347827</v>
      </c>
      <c r="L52" s="72">
        <f t="shared" si="12"/>
        <v>31.768425652173914</v>
      </c>
      <c r="M52" s="73">
        <f t="shared" si="13"/>
        <v>163.64233869565217</v>
      </c>
      <c r="N52" s="74"/>
      <c r="O52" s="20"/>
      <c r="P52" s="20"/>
      <c r="Q52" s="20"/>
      <c r="R52" s="20"/>
      <c r="S52" s="21"/>
      <c r="T52" s="28"/>
      <c r="U52" s="28"/>
    </row>
    <row r="53" spans="1:21" ht="18" customHeight="1" x14ac:dyDescent="0.25">
      <c r="A53" s="66" t="s">
        <v>67</v>
      </c>
      <c r="B53" s="90"/>
      <c r="C53" s="90"/>
      <c r="D53" s="90"/>
      <c r="E53" s="91"/>
      <c r="F53" s="91"/>
      <c r="G53" s="106"/>
      <c r="H53" s="108">
        <f>62/138</f>
        <v>0.44927536231884058</v>
      </c>
      <c r="I53" s="72">
        <v>619</v>
      </c>
      <c r="J53" s="94">
        <v>20</v>
      </c>
      <c r="K53" s="71">
        <f t="shared" si="11"/>
        <v>55.620289855072471</v>
      </c>
      <c r="L53" s="72">
        <f t="shared" si="12"/>
        <v>13.398927826086959</v>
      </c>
      <c r="M53" s="73">
        <f t="shared" si="13"/>
        <v>69.019217681159432</v>
      </c>
      <c r="N53" s="74"/>
      <c r="O53" s="20"/>
      <c r="P53" s="20"/>
      <c r="Q53" s="20"/>
      <c r="R53" s="20"/>
      <c r="S53" s="21"/>
      <c r="T53" s="28"/>
      <c r="U53" s="28"/>
    </row>
    <row r="54" spans="1:21" ht="18" customHeight="1" x14ac:dyDescent="0.25">
      <c r="A54" s="66" t="s">
        <v>68</v>
      </c>
      <c r="B54" s="90"/>
      <c r="C54" s="90"/>
      <c r="D54" s="90"/>
      <c r="E54" s="91"/>
      <c r="F54" s="91"/>
      <c r="G54" s="106"/>
      <c r="H54" s="107">
        <v>1</v>
      </c>
      <c r="I54" s="72">
        <v>619</v>
      </c>
      <c r="J54" s="94">
        <v>20</v>
      </c>
      <c r="K54" s="72">
        <f t="shared" si="11"/>
        <v>123.80000000000001</v>
      </c>
      <c r="L54" s="72">
        <f t="shared" si="12"/>
        <v>29.823420000000002</v>
      </c>
      <c r="M54" s="73">
        <f t="shared" si="13"/>
        <v>153.62342000000001</v>
      </c>
      <c r="N54" s="74"/>
      <c r="O54" s="20"/>
      <c r="P54" s="20"/>
      <c r="Q54" s="20"/>
      <c r="R54" s="20"/>
      <c r="S54" s="21"/>
      <c r="T54" s="28"/>
      <c r="U54" s="28"/>
    </row>
    <row r="55" spans="1:21" ht="18" customHeight="1" x14ac:dyDescent="0.25">
      <c r="A55" s="66" t="s">
        <v>69</v>
      </c>
      <c r="B55" s="90"/>
      <c r="C55" s="90"/>
      <c r="D55" s="90"/>
      <c r="E55" s="91"/>
      <c r="F55" s="91"/>
      <c r="G55" s="106"/>
      <c r="H55" s="107">
        <v>1</v>
      </c>
      <c r="I55" s="72">
        <v>619</v>
      </c>
      <c r="J55" s="94">
        <v>20</v>
      </c>
      <c r="K55" s="72">
        <f t="shared" si="11"/>
        <v>123.80000000000001</v>
      </c>
      <c r="L55" s="72">
        <f t="shared" si="12"/>
        <v>29.823420000000002</v>
      </c>
      <c r="M55" s="73">
        <f t="shared" si="13"/>
        <v>153.62342000000001</v>
      </c>
      <c r="N55" s="74"/>
      <c r="O55" s="20"/>
      <c r="P55" s="20"/>
      <c r="Q55" s="20"/>
      <c r="R55" s="20"/>
      <c r="S55" s="21"/>
      <c r="T55" s="28"/>
      <c r="U55" s="28"/>
    </row>
    <row r="56" spans="1:21" ht="18" customHeight="1" x14ac:dyDescent="0.25">
      <c r="A56" s="66" t="s">
        <v>70</v>
      </c>
      <c r="B56" s="90"/>
      <c r="C56" s="90"/>
      <c r="D56" s="90"/>
      <c r="E56" s="91"/>
      <c r="F56" s="91"/>
      <c r="G56" s="106"/>
      <c r="H56" s="107">
        <v>1</v>
      </c>
      <c r="I56" s="109">
        <v>619</v>
      </c>
      <c r="J56" s="94">
        <v>20</v>
      </c>
      <c r="K56" s="109">
        <f t="shared" si="11"/>
        <v>123.80000000000001</v>
      </c>
      <c r="L56" s="109">
        <f>K56*0.2131</f>
        <v>26.381780000000003</v>
      </c>
      <c r="M56" s="73">
        <f t="shared" si="13"/>
        <v>150.18178</v>
      </c>
      <c r="N56" s="74"/>
      <c r="O56" s="20"/>
      <c r="P56" s="20"/>
      <c r="Q56" s="20"/>
      <c r="R56" s="20"/>
      <c r="S56" s="21"/>
      <c r="T56" s="28"/>
      <c r="U56" s="28"/>
    </row>
    <row r="57" spans="1:21" ht="18" customHeight="1" x14ac:dyDescent="0.25">
      <c r="A57" s="66" t="s">
        <v>71</v>
      </c>
      <c r="B57" s="90"/>
      <c r="C57" s="90"/>
      <c r="D57" s="90"/>
      <c r="E57" s="91"/>
      <c r="F57" s="91"/>
      <c r="G57" s="106"/>
      <c r="H57" s="107">
        <v>1</v>
      </c>
      <c r="I57" s="72">
        <v>619</v>
      </c>
      <c r="J57" s="94">
        <v>10</v>
      </c>
      <c r="K57" s="72">
        <f>I57*0.1*H57</f>
        <v>61.900000000000006</v>
      </c>
      <c r="L57" s="72">
        <f t="shared" si="12"/>
        <v>14.911710000000001</v>
      </c>
      <c r="M57" s="73">
        <f t="shared" si="13"/>
        <v>76.811710000000005</v>
      </c>
      <c r="N57" s="74"/>
      <c r="O57" s="20"/>
      <c r="P57" s="20"/>
      <c r="Q57" s="20"/>
      <c r="R57" s="20"/>
      <c r="S57" s="21"/>
      <c r="T57" s="28"/>
      <c r="U57" s="28"/>
    </row>
    <row r="58" spans="1:21" ht="18" customHeight="1" x14ac:dyDescent="0.25">
      <c r="A58" s="66" t="s">
        <v>72</v>
      </c>
      <c r="B58" s="90"/>
      <c r="C58" s="90"/>
      <c r="D58" s="90"/>
      <c r="E58" s="91"/>
      <c r="F58" s="91"/>
      <c r="G58" s="106"/>
      <c r="H58" s="108">
        <f>54/138</f>
        <v>0.39130434782608697</v>
      </c>
      <c r="I58" s="72">
        <v>619</v>
      </c>
      <c r="J58" s="94">
        <v>20</v>
      </c>
      <c r="K58" s="72">
        <f t="shared" si="11"/>
        <v>48.443478260869568</v>
      </c>
      <c r="L58" s="72">
        <f t="shared" si="12"/>
        <v>11.670033913043479</v>
      </c>
      <c r="M58" s="73">
        <f t="shared" si="13"/>
        <v>60.113512173913051</v>
      </c>
      <c r="N58" s="74"/>
      <c r="O58" s="20"/>
      <c r="P58" s="20"/>
      <c r="Q58" s="20"/>
      <c r="R58" s="20"/>
      <c r="S58" s="21"/>
      <c r="T58" s="28"/>
      <c r="U58" s="28"/>
    </row>
    <row r="59" spans="1:21" ht="18" customHeight="1" x14ac:dyDescent="0.25">
      <c r="A59" s="66" t="s">
        <v>73</v>
      </c>
      <c r="B59" s="90"/>
      <c r="C59" s="90"/>
      <c r="D59" s="90"/>
      <c r="E59" s="91"/>
      <c r="F59" s="91"/>
      <c r="G59" s="106"/>
      <c r="H59" s="107">
        <v>1</v>
      </c>
      <c r="I59" s="72">
        <v>619</v>
      </c>
      <c r="J59" s="94">
        <v>20</v>
      </c>
      <c r="K59" s="72">
        <f t="shared" si="11"/>
        <v>123.80000000000001</v>
      </c>
      <c r="L59" s="72">
        <f t="shared" si="12"/>
        <v>29.823420000000002</v>
      </c>
      <c r="M59" s="73">
        <f t="shared" si="13"/>
        <v>153.62342000000001</v>
      </c>
      <c r="N59" s="74"/>
      <c r="O59" s="20"/>
      <c r="P59" s="20"/>
      <c r="Q59" s="20"/>
      <c r="R59" s="20"/>
      <c r="S59" s="21"/>
      <c r="T59" s="28"/>
      <c r="U59" s="28"/>
    </row>
    <row r="60" spans="1:21" ht="18" customHeight="1" x14ac:dyDescent="0.25">
      <c r="A60" s="66" t="s">
        <v>74</v>
      </c>
      <c r="B60" s="90"/>
      <c r="C60" s="90"/>
      <c r="D60" s="90"/>
      <c r="E60" s="91"/>
      <c r="F60" s="91"/>
      <c r="G60" s="106"/>
      <c r="H60" s="107">
        <v>1</v>
      </c>
      <c r="I60" s="72">
        <v>619</v>
      </c>
      <c r="J60" s="94">
        <v>10</v>
      </c>
      <c r="K60" s="72">
        <f>I60*0.1*H60</f>
        <v>61.900000000000006</v>
      </c>
      <c r="L60" s="72">
        <f t="shared" si="12"/>
        <v>14.911710000000001</v>
      </c>
      <c r="M60" s="73">
        <f t="shared" si="13"/>
        <v>76.811710000000005</v>
      </c>
      <c r="N60" s="74"/>
      <c r="O60" s="20"/>
      <c r="P60" s="20"/>
      <c r="Q60" s="20"/>
      <c r="R60" s="20"/>
      <c r="S60" s="21"/>
      <c r="T60" s="28"/>
      <c r="U60" s="28"/>
    </row>
    <row r="61" spans="1:21" ht="18" customHeight="1" x14ac:dyDescent="0.25">
      <c r="A61" s="66" t="s">
        <v>75</v>
      </c>
      <c r="B61" s="90"/>
      <c r="C61" s="90"/>
      <c r="D61" s="90"/>
      <c r="E61" s="91"/>
      <c r="F61" s="91"/>
      <c r="G61" s="106"/>
      <c r="H61" s="107">
        <f>69/138</f>
        <v>0.5</v>
      </c>
      <c r="I61" s="72">
        <v>619</v>
      </c>
      <c r="J61" s="94">
        <v>20</v>
      </c>
      <c r="K61" s="72">
        <f t="shared" si="11"/>
        <v>61.900000000000006</v>
      </c>
      <c r="L61" s="72">
        <f t="shared" si="12"/>
        <v>14.911710000000001</v>
      </c>
      <c r="M61" s="73">
        <f t="shared" si="13"/>
        <v>76.811710000000005</v>
      </c>
      <c r="N61" s="74"/>
      <c r="O61" s="20"/>
      <c r="P61" s="20"/>
      <c r="Q61" s="20"/>
      <c r="R61" s="20"/>
      <c r="S61" s="21"/>
      <c r="T61" s="28"/>
      <c r="U61" s="28"/>
    </row>
    <row r="62" spans="1:21" ht="18" customHeight="1" thickBot="1" x14ac:dyDescent="0.3">
      <c r="A62" s="79" t="s">
        <v>76</v>
      </c>
      <c r="B62" s="97"/>
      <c r="C62" s="97"/>
      <c r="D62" s="97"/>
      <c r="E62" s="98"/>
      <c r="F62" s="98"/>
      <c r="G62" s="110"/>
      <c r="H62" s="111">
        <v>1</v>
      </c>
      <c r="I62" s="85">
        <v>735</v>
      </c>
      <c r="J62" s="94">
        <v>10</v>
      </c>
      <c r="K62" s="85">
        <f>I62*0.1*H62</f>
        <v>73.5</v>
      </c>
      <c r="L62" s="839">
        <f>K62*0.2131</f>
        <v>15.662850000000001</v>
      </c>
      <c r="M62" s="86">
        <f t="shared" si="13"/>
        <v>89.162850000000006</v>
      </c>
      <c r="N62" s="74"/>
      <c r="O62" s="20"/>
      <c r="P62" s="20"/>
      <c r="Q62" s="20"/>
      <c r="R62" s="20"/>
      <c r="S62" s="21"/>
      <c r="T62" s="28"/>
      <c r="U62" s="28"/>
    </row>
    <row r="63" spans="1:21" ht="30.6" customHeight="1" x14ac:dyDescent="0.25">
      <c r="A63" s="57" t="s">
        <v>11</v>
      </c>
      <c r="B63" s="112"/>
      <c r="C63" s="113"/>
      <c r="D63" s="113"/>
      <c r="E63" s="113"/>
      <c r="F63" s="113"/>
      <c r="G63" s="114"/>
      <c r="H63" s="60">
        <f>H64</f>
        <v>0.82608695652173914</v>
      </c>
      <c r="I63" s="61"/>
      <c r="J63" s="61"/>
      <c r="K63" s="61">
        <f>K64</f>
        <v>88.391304347826093</v>
      </c>
      <c r="L63" s="61">
        <f t="shared" ref="L63:M63" si="14">L64</f>
        <v>18.836186956521743</v>
      </c>
      <c r="M63" s="115">
        <f t="shared" si="14"/>
        <v>107.22749130434784</v>
      </c>
      <c r="N63" s="74"/>
      <c r="O63" s="20"/>
      <c r="P63" s="20"/>
      <c r="Q63" s="20"/>
      <c r="R63" s="20"/>
      <c r="S63" s="21"/>
      <c r="T63" s="28"/>
      <c r="U63" s="28"/>
    </row>
    <row r="64" spans="1:21" ht="22.15" customHeight="1" thickBot="1" x14ac:dyDescent="0.3">
      <c r="A64" s="79" t="s">
        <v>19</v>
      </c>
      <c r="B64" s="116"/>
      <c r="C64" s="117"/>
      <c r="D64" s="117"/>
      <c r="E64" s="117"/>
      <c r="F64" s="117"/>
      <c r="G64" s="118"/>
      <c r="H64" s="119">
        <f>114/138</f>
        <v>0.82608695652173914</v>
      </c>
      <c r="I64" s="120" t="s">
        <v>918</v>
      </c>
      <c r="J64" s="101">
        <v>20</v>
      </c>
      <c r="K64" s="72">
        <f t="shared" ref="K64" si="15">I64*0.2*H64</f>
        <v>88.391304347826093</v>
      </c>
      <c r="L64" s="839">
        <f>K64*0.2131</f>
        <v>18.836186956521743</v>
      </c>
      <c r="M64" s="86">
        <f t="shared" ref="M64" si="16">K64+L64</f>
        <v>107.22749130434784</v>
      </c>
      <c r="N64" s="74"/>
      <c r="O64" s="20"/>
      <c r="P64" s="20"/>
      <c r="Q64" s="20"/>
      <c r="R64" s="20"/>
      <c r="S64" s="21"/>
      <c r="T64" s="28"/>
      <c r="U64" s="28"/>
    </row>
    <row r="65" spans="1:20" ht="8.4499999999999993" customHeight="1" x14ac:dyDescent="0.25"/>
    <row r="66" spans="1:20" s="26" customFormat="1" ht="26.25" customHeight="1" x14ac:dyDescent="0.25">
      <c r="A66" s="914" t="s">
        <v>33</v>
      </c>
      <c r="B66" s="914"/>
      <c r="C66" s="914"/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</row>
    <row r="67" spans="1:20" s="26" customFormat="1" x14ac:dyDescent="0.2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</row>
    <row r="68" spans="1:20" x14ac:dyDescent="0.25">
      <c r="A68" s="122"/>
      <c r="B68" s="26"/>
      <c r="C68" s="122"/>
      <c r="S68" s="25"/>
      <c r="T68" s="25"/>
    </row>
    <row r="69" spans="1:20" x14ac:dyDescent="0.25">
      <c r="A69" s="122"/>
      <c r="B69" s="26"/>
      <c r="C69" s="122"/>
      <c r="D69" s="123"/>
      <c r="E69" s="122"/>
      <c r="F69" s="123"/>
      <c r="G69" s="123"/>
      <c r="H69" s="124"/>
      <c r="I69" s="124"/>
      <c r="J69" s="124"/>
      <c r="K69" s="124"/>
      <c r="L69" s="124"/>
      <c r="M69" s="124"/>
      <c r="N69" s="124"/>
      <c r="O69" s="25"/>
      <c r="P69" s="25"/>
      <c r="Q69" s="25"/>
      <c r="R69" s="25"/>
    </row>
    <row r="70" spans="1:20" x14ac:dyDescent="0.25">
      <c r="A70" s="122"/>
      <c r="B70" s="26"/>
      <c r="C70" s="122"/>
      <c r="E70" s="122"/>
    </row>
    <row r="71" spans="1:20" ht="18" customHeight="1" x14ac:dyDescent="0.25">
      <c r="A71" s="122"/>
      <c r="B71" s="26"/>
      <c r="C71" s="122"/>
      <c r="E71" s="122"/>
    </row>
    <row r="72" spans="1:20" x14ac:dyDescent="0.25">
      <c r="A72" s="122"/>
      <c r="B72" s="26"/>
      <c r="C72" s="122"/>
      <c r="E72" s="122"/>
    </row>
    <row r="73" spans="1:20" x14ac:dyDescent="0.25">
      <c r="E73" s="122"/>
    </row>
  </sheetData>
  <mergeCells count="6">
    <mergeCell ref="A2:P2"/>
    <mergeCell ref="A66:R66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U91"/>
  <sheetViews>
    <sheetView topLeftCell="A19" zoomScale="70" zoomScaleNormal="70" zoomScaleSheetLayoutView="80" workbookViewId="0">
      <selection activeCell="V76" sqref="V76"/>
    </sheetView>
  </sheetViews>
  <sheetFormatPr defaultRowHeight="16.5" x14ac:dyDescent="0.25"/>
  <cols>
    <col min="1" max="1" width="42.7109375" style="2" customWidth="1"/>
    <col min="2" max="2" width="15.85546875" style="2" customWidth="1"/>
    <col min="3" max="3" width="16" style="2" customWidth="1"/>
    <col min="4" max="19" width="14" style="2" customWidth="1"/>
    <col min="20" max="20" width="17.5703125" style="2" customWidth="1"/>
    <col min="21" max="22" width="15.85546875" style="2" customWidth="1"/>
    <col min="23" max="16384" width="9.140625" style="2"/>
  </cols>
  <sheetData>
    <row r="2" spans="1:21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21" x14ac:dyDescent="0.25">
      <c r="A4" s="2" t="s">
        <v>77</v>
      </c>
    </row>
    <row r="5" spans="1:21" ht="17.25" thickBot="1" x14ac:dyDescent="0.3"/>
    <row r="6" spans="1:21" ht="38.25" customHeight="1" x14ac:dyDescent="0.25">
      <c r="A6" s="921"/>
      <c r="B6" s="857" t="s">
        <v>2</v>
      </c>
      <c r="C6" s="858"/>
      <c r="D6" s="858"/>
      <c r="E6" s="858"/>
      <c r="F6" s="858"/>
      <c r="G6" s="859"/>
      <c r="H6" s="857" t="s">
        <v>4</v>
      </c>
      <c r="I6" s="858"/>
      <c r="J6" s="858"/>
      <c r="K6" s="858"/>
      <c r="L6" s="858"/>
      <c r="M6" s="859"/>
      <c r="N6" s="857" t="s">
        <v>5</v>
      </c>
      <c r="O6" s="858"/>
      <c r="P6" s="858"/>
      <c r="Q6" s="858"/>
      <c r="R6" s="858"/>
      <c r="S6" s="859"/>
    </row>
    <row r="7" spans="1:21" ht="104.25" customHeight="1" x14ac:dyDescent="0.25">
      <c r="A7" s="922"/>
      <c r="B7" s="3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78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78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21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21" s="1" customFormat="1" ht="26.25" customHeight="1" x14ac:dyDescent="0.25">
      <c r="A9" s="10" t="s">
        <v>0</v>
      </c>
      <c r="B9" s="524">
        <f>B10+B76</f>
        <v>9.2400568181818183</v>
      </c>
      <c r="C9" s="12"/>
      <c r="D9" s="12"/>
      <c r="E9" s="12">
        <f t="shared" ref="E9:G9" si="0">E10+E76</f>
        <v>3650.280539772727</v>
      </c>
      <c r="F9" s="12">
        <f t="shared" si="0"/>
        <v>872.40890021306814</v>
      </c>
      <c r="G9" s="13">
        <f t="shared" si="0"/>
        <v>4522.6894399857956</v>
      </c>
      <c r="H9" s="12">
        <f t="shared" ref="H9:J9" si="1">H10+H35++H66+H76</f>
        <v>9.9612758161225852</v>
      </c>
      <c r="I9" s="12">
        <f t="shared" si="1"/>
        <v>0</v>
      </c>
      <c r="J9" s="12">
        <f t="shared" si="1"/>
        <v>0</v>
      </c>
      <c r="K9" s="12">
        <f>K10+K35++K66+K76</f>
        <v>1475.4931545636243</v>
      </c>
      <c r="L9" s="12">
        <f>L10+L35++L66+L76</f>
        <v>351.74467814956694</v>
      </c>
      <c r="M9" s="12">
        <f>M10+M35+M66+M76</f>
        <v>1827.2378327131914</v>
      </c>
      <c r="N9" s="11"/>
      <c r="O9" s="12"/>
      <c r="P9" s="12"/>
      <c r="Q9" s="12"/>
      <c r="R9" s="12"/>
      <c r="S9" s="13"/>
    </row>
    <row r="10" spans="1:21" s="1" customFormat="1" ht="36.75" customHeight="1" thickBot="1" x14ac:dyDescent="0.3">
      <c r="A10" s="126" t="s">
        <v>79</v>
      </c>
      <c r="B10" s="525">
        <f>B11+B14+B25</f>
        <v>6.8110795454545459</v>
      </c>
      <c r="C10" s="526"/>
      <c r="D10" s="526"/>
      <c r="E10" s="526">
        <f t="shared" ref="E10:J10" si="2">E11+E14+E25</f>
        <v>2460.8629261363635</v>
      </c>
      <c r="F10" s="526">
        <f t="shared" si="2"/>
        <v>585.87819708806819</v>
      </c>
      <c r="G10" s="527">
        <f t="shared" si="2"/>
        <v>3046.7411232244317</v>
      </c>
      <c r="H10" s="127">
        <f t="shared" si="2"/>
        <v>3.9802631578947372</v>
      </c>
      <c r="I10" s="127">
        <f t="shared" si="2"/>
        <v>0</v>
      </c>
      <c r="J10" s="127">
        <f t="shared" si="2"/>
        <v>0</v>
      </c>
      <c r="K10" s="127">
        <f>K11+K14+K25</f>
        <v>584.41973684210518</v>
      </c>
      <c r="L10" s="127">
        <f>L11+L14+L25</f>
        <v>138.60441460526314</v>
      </c>
      <c r="M10" s="127">
        <f>M11+M14+M25</f>
        <v>723.02415144736847</v>
      </c>
      <c r="N10" s="15"/>
      <c r="O10" s="16"/>
      <c r="P10" s="16"/>
      <c r="Q10" s="16"/>
      <c r="R10" s="16"/>
      <c r="S10" s="17"/>
    </row>
    <row r="11" spans="1:21" ht="48.75" customHeight="1" x14ac:dyDescent="0.25">
      <c r="A11" s="128" t="s">
        <v>14</v>
      </c>
      <c r="B11" s="528">
        <f>B12</f>
        <v>0.45596590909090912</v>
      </c>
      <c r="C11" s="513"/>
      <c r="D11" s="513"/>
      <c r="E11" s="513">
        <f t="shared" ref="E11:G11" si="3">E12</f>
        <v>270.61576704545456</v>
      </c>
      <c r="F11" s="513">
        <f t="shared" si="3"/>
        <v>65.191338281249998</v>
      </c>
      <c r="G11" s="514">
        <f t="shared" si="3"/>
        <v>335.80710532670457</v>
      </c>
      <c r="H11" s="129">
        <v>0.21710526315789475</v>
      </c>
      <c r="I11" s="130"/>
      <c r="J11" s="130"/>
      <c r="K11" s="130">
        <f>K12</f>
        <v>51.540789473684207</v>
      </c>
      <c r="L11" s="130">
        <f t="shared" ref="L11:M11" si="4">L12</f>
        <v>12.416176184210528</v>
      </c>
      <c r="M11" s="130">
        <f t="shared" si="4"/>
        <v>63.956965657894735</v>
      </c>
      <c r="N11" s="19"/>
      <c r="O11" s="20"/>
      <c r="P11" s="20"/>
      <c r="Q11" s="20"/>
      <c r="R11" s="20"/>
      <c r="S11" s="21"/>
    </row>
    <row r="12" spans="1:21" ht="18.75" customHeight="1" x14ac:dyDescent="0.25">
      <c r="A12" s="132" t="s">
        <v>80</v>
      </c>
      <c r="B12" s="529">
        <v>0.45596590909090912</v>
      </c>
      <c r="C12" s="20">
        <v>1187</v>
      </c>
      <c r="D12" s="20">
        <v>50</v>
      </c>
      <c r="E12" s="20">
        <v>270.61576704545456</v>
      </c>
      <c r="F12" s="20">
        <v>65.191338281249998</v>
      </c>
      <c r="G12" s="21">
        <v>335.80710532670457</v>
      </c>
      <c r="H12" s="133">
        <v>0.21710526315789475</v>
      </c>
      <c r="I12" s="20">
        <v>1187</v>
      </c>
      <c r="J12" s="134">
        <v>20</v>
      </c>
      <c r="K12" s="20">
        <f>H12*I12*J12/100</f>
        <v>51.540789473684207</v>
      </c>
      <c r="L12" s="20">
        <v>12.416176184210528</v>
      </c>
      <c r="M12" s="21">
        <f>K12+L12</f>
        <v>63.956965657894735</v>
      </c>
      <c r="N12" s="19"/>
      <c r="O12" s="20"/>
      <c r="P12" s="20"/>
      <c r="Q12" s="20"/>
      <c r="R12" s="20"/>
      <c r="S12" s="21"/>
      <c r="T12" s="503"/>
      <c r="U12" s="503"/>
    </row>
    <row r="13" spans="1:21" ht="19.5" customHeight="1" thickBot="1" x14ac:dyDescent="0.3">
      <c r="A13" s="135" t="s">
        <v>1</v>
      </c>
      <c r="B13" s="529"/>
      <c r="C13" s="20"/>
      <c r="D13" s="20"/>
      <c r="E13" s="20"/>
      <c r="F13" s="20"/>
      <c r="G13" s="21"/>
      <c r="H13" s="19"/>
      <c r="I13" s="20"/>
      <c r="J13" s="20"/>
      <c r="K13" s="20"/>
      <c r="L13" s="20"/>
      <c r="M13" s="21"/>
      <c r="N13" s="19"/>
      <c r="O13" s="20"/>
      <c r="P13" s="20"/>
      <c r="Q13" s="20"/>
      <c r="R13" s="20"/>
      <c r="S13" s="21"/>
      <c r="T13" s="503"/>
      <c r="U13" s="503"/>
    </row>
    <row r="14" spans="1:21" ht="49.5" customHeight="1" x14ac:dyDescent="0.25">
      <c r="A14" s="128" t="s">
        <v>12</v>
      </c>
      <c r="B14" s="528">
        <f>SUM(B15:B22)</f>
        <v>3.4943181818181821</v>
      </c>
      <c r="C14" s="513"/>
      <c r="D14" s="513"/>
      <c r="E14" s="513">
        <f>SUM(E15:E22)</f>
        <v>1371.5198863636363</v>
      </c>
      <c r="F14" s="513">
        <f t="shared" ref="F14:G14" si="5">SUM(F15:F22)</f>
        <v>323.45545880681817</v>
      </c>
      <c r="G14" s="514">
        <f t="shared" si="5"/>
        <v>1694.9753451704546</v>
      </c>
      <c r="H14" s="129">
        <v>2.4473684210526319</v>
      </c>
      <c r="I14" s="130"/>
      <c r="J14" s="130"/>
      <c r="K14" s="130">
        <f>SUM(K15:K24)</f>
        <v>381.29999999999995</v>
      </c>
      <c r="L14" s="130">
        <f t="shared" ref="L14:M14" si="6">SUM(L15:L24)</f>
        <v>89.672869999999989</v>
      </c>
      <c r="M14" s="130">
        <f t="shared" si="6"/>
        <v>470.97287</v>
      </c>
      <c r="N14" s="19"/>
      <c r="O14" s="20"/>
      <c r="P14" s="20"/>
      <c r="Q14" s="20"/>
      <c r="R14" s="20"/>
      <c r="S14" s="21"/>
      <c r="T14" s="503"/>
      <c r="U14" s="503"/>
    </row>
    <row r="15" spans="1:21" x14ac:dyDescent="0.25">
      <c r="A15" s="132" t="s">
        <v>24</v>
      </c>
      <c r="B15" s="529">
        <v>0.13636363636363635</v>
      </c>
      <c r="C15" s="20">
        <v>785</v>
      </c>
      <c r="D15" s="20">
        <v>50</v>
      </c>
      <c r="E15" s="20">
        <v>53.522727272727266</v>
      </c>
      <c r="F15" s="20">
        <v>12.893624999999998</v>
      </c>
      <c r="G15" s="21">
        <v>66.416352272727266</v>
      </c>
      <c r="H15" s="133">
        <v>0.63157894736842102</v>
      </c>
      <c r="I15" s="136">
        <v>785</v>
      </c>
      <c r="J15" s="137">
        <v>20</v>
      </c>
      <c r="K15" s="20">
        <f t="shared" ref="K15:K24" si="7">H15*I15*J15/100</f>
        <v>99.157894736842096</v>
      </c>
      <c r="L15" s="136">
        <v>23.887136842105264</v>
      </c>
      <c r="M15" s="21">
        <f t="shared" ref="M15:M24" si="8">K15+L15</f>
        <v>123.04503157894736</v>
      </c>
      <c r="N15" s="19"/>
      <c r="O15" s="20"/>
      <c r="P15" s="20"/>
      <c r="Q15" s="20"/>
      <c r="R15" s="20"/>
      <c r="S15" s="21"/>
      <c r="T15" s="503"/>
      <c r="U15" s="503"/>
    </row>
    <row r="16" spans="1:21" x14ac:dyDescent="0.25">
      <c r="A16" s="132" t="s">
        <v>24</v>
      </c>
      <c r="B16" s="529">
        <v>0.13636363636363635</v>
      </c>
      <c r="C16" s="20">
        <v>785</v>
      </c>
      <c r="D16" s="20">
        <v>50</v>
      </c>
      <c r="E16" s="20">
        <v>53.522727272727266</v>
      </c>
      <c r="F16" s="20">
        <v>12.893624999999998</v>
      </c>
      <c r="G16" s="21">
        <v>66.416352272727266</v>
      </c>
      <c r="H16" s="133">
        <v>0.10526315789473684</v>
      </c>
      <c r="I16" s="136">
        <v>785</v>
      </c>
      <c r="J16" s="137">
        <v>20</v>
      </c>
      <c r="K16" s="20">
        <f t="shared" si="7"/>
        <v>16.526315789473685</v>
      </c>
      <c r="L16" s="136">
        <v>3.9811894736842097</v>
      </c>
      <c r="M16" s="21">
        <f t="shared" si="8"/>
        <v>20.507505263157896</v>
      </c>
      <c r="N16" s="19"/>
      <c r="O16" s="20"/>
      <c r="P16" s="20"/>
      <c r="Q16" s="20"/>
      <c r="R16" s="20"/>
      <c r="S16" s="21"/>
      <c r="T16" s="503"/>
      <c r="U16" s="503"/>
    </row>
    <row r="17" spans="1:21" x14ac:dyDescent="0.25">
      <c r="A17" s="132" t="s">
        <v>24</v>
      </c>
      <c r="B17" s="529">
        <v>0.52272727272727271</v>
      </c>
      <c r="C17" s="20">
        <v>785</v>
      </c>
      <c r="D17" s="20">
        <v>50</v>
      </c>
      <c r="E17" s="20">
        <v>205.17045454545453</v>
      </c>
      <c r="F17" s="20">
        <v>49.425562499999998</v>
      </c>
      <c r="G17" s="21">
        <v>254.59601704545452</v>
      </c>
      <c r="H17" s="133">
        <v>0.15789473684210525</v>
      </c>
      <c r="I17" s="136">
        <v>692</v>
      </c>
      <c r="J17" s="137">
        <v>20</v>
      </c>
      <c r="K17" s="20">
        <f t="shared" si="7"/>
        <v>21.852631578947367</v>
      </c>
      <c r="L17" s="136">
        <v>5.2642989473684212</v>
      </c>
      <c r="M17" s="21">
        <f t="shared" si="8"/>
        <v>27.116930526315787</v>
      </c>
      <c r="N17" s="19"/>
      <c r="O17" s="20"/>
      <c r="P17" s="20"/>
      <c r="Q17" s="20"/>
      <c r="R17" s="20"/>
      <c r="S17" s="21"/>
      <c r="T17" s="503"/>
      <c r="U17" s="503"/>
    </row>
    <row r="18" spans="1:21" x14ac:dyDescent="0.25">
      <c r="A18" s="132" t="s">
        <v>24</v>
      </c>
      <c r="B18" s="529">
        <v>0.55113636363636365</v>
      </c>
      <c r="C18" s="20">
        <v>785</v>
      </c>
      <c r="D18" s="20">
        <v>50</v>
      </c>
      <c r="E18" s="20">
        <v>216.32102272727272</v>
      </c>
      <c r="F18" s="20">
        <v>52.111734374999997</v>
      </c>
      <c r="G18" s="21">
        <v>268.43275710227272</v>
      </c>
      <c r="H18" s="133">
        <v>5.2631578947368418E-2</v>
      </c>
      <c r="I18" s="136">
        <v>785</v>
      </c>
      <c r="J18" s="137">
        <v>20</v>
      </c>
      <c r="K18" s="20">
        <f t="shared" si="7"/>
        <v>8.2631578947368425</v>
      </c>
      <c r="L18" s="136">
        <v>1.7608789473684208</v>
      </c>
      <c r="M18" s="21">
        <f t="shared" si="8"/>
        <v>10.024036842105263</v>
      </c>
      <c r="N18" s="19"/>
      <c r="O18" s="20"/>
      <c r="P18" s="20"/>
      <c r="Q18" s="20"/>
      <c r="R18" s="20"/>
      <c r="S18" s="21"/>
      <c r="T18" s="503"/>
      <c r="U18" s="503"/>
    </row>
    <row r="19" spans="1:21" x14ac:dyDescent="0.25">
      <c r="A19" s="132" t="s">
        <v>24</v>
      </c>
      <c r="B19" s="529">
        <v>0.45454545454545453</v>
      </c>
      <c r="C19" s="20">
        <v>785</v>
      </c>
      <c r="D19" s="20">
        <v>50</v>
      </c>
      <c r="E19" s="20">
        <v>178.40909090909091</v>
      </c>
      <c r="F19" s="20">
        <v>42.978749999999998</v>
      </c>
      <c r="G19" s="21">
        <v>221.3878409090909</v>
      </c>
      <c r="H19" s="133">
        <v>0.21052631578947367</v>
      </c>
      <c r="I19" s="136">
        <v>785</v>
      </c>
      <c r="J19" s="137">
        <v>20</v>
      </c>
      <c r="K19" s="20">
        <f t="shared" si="7"/>
        <v>33.05263157894737</v>
      </c>
      <c r="L19" s="136">
        <v>7.9623789473684194</v>
      </c>
      <c r="M19" s="21">
        <f t="shared" si="8"/>
        <v>41.015010526315791</v>
      </c>
      <c r="N19" s="19"/>
      <c r="O19" s="20"/>
      <c r="P19" s="20"/>
      <c r="Q19" s="20"/>
      <c r="R19" s="20"/>
      <c r="S19" s="21"/>
      <c r="T19" s="503"/>
      <c r="U19" s="503"/>
    </row>
    <row r="20" spans="1:21" x14ac:dyDescent="0.25">
      <c r="A20" s="132" t="s">
        <v>24</v>
      </c>
      <c r="B20" s="529">
        <v>0.46022727272727271</v>
      </c>
      <c r="C20" s="20">
        <v>785</v>
      </c>
      <c r="D20" s="20">
        <v>50</v>
      </c>
      <c r="E20" s="20">
        <v>180.63920454545453</v>
      </c>
      <c r="F20" s="20">
        <v>43.515984374999995</v>
      </c>
      <c r="G20" s="21">
        <v>224.15518892045452</v>
      </c>
      <c r="H20" s="133">
        <v>0.36842105263157893</v>
      </c>
      <c r="I20" s="136">
        <v>785</v>
      </c>
      <c r="J20" s="137">
        <v>20</v>
      </c>
      <c r="K20" s="20">
        <f t="shared" si="7"/>
        <v>57.842105263157897</v>
      </c>
      <c r="L20" s="136">
        <v>13.934163157894737</v>
      </c>
      <c r="M20" s="21">
        <f t="shared" si="8"/>
        <v>71.776268421052634</v>
      </c>
      <c r="N20" s="19"/>
      <c r="O20" s="20"/>
      <c r="P20" s="20"/>
      <c r="Q20" s="20"/>
      <c r="R20" s="20"/>
      <c r="S20" s="21"/>
      <c r="T20" s="503"/>
      <c r="U20" s="503"/>
    </row>
    <row r="21" spans="1:21" x14ac:dyDescent="0.25">
      <c r="A21" s="132" t="s">
        <v>24</v>
      </c>
      <c r="B21" s="529">
        <v>0.63636363636363635</v>
      </c>
      <c r="C21" s="20">
        <v>785</v>
      </c>
      <c r="D21" s="20">
        <v>50</v>
      </c>
      <c r="E21" s="20">
        <v>249.77272727272728</v>
      </c>
      <c r="F21" s="20">
        <v>53.226568181818187</v>
      </c>
      <c r="G21" s="21">
        <v>302.99929545454546</v>
      </c>
      <c r="H21" s="133">
        <v>0.31578947368421051</v>
      </c>
      <c r="I21" s="136">
        <v>785</v>
      </c>
      <c r="J21" s="137">
        <v>20</v>
      </c>
      <c r="K21" s="20">
        <f t="shared" si="7"/>
        <v>49.578947368421048</v>
      </c>
      <c r="L21" s="136">
        <v>11.943568421052632</v>
      </c>
      <c r="M21" s="21">
        <f t="shared" si="8"/>
        <v>61.52251578947368</v>
      </c>
      <c r="N21" s="19"/>
      <c r="O21" s="20"/>
      <c r="P21" s="20"/>
      <c r="Q21" s="20"/>
      <c r="R21" s="20"/>
      <c r="S21" s="21"/>
      <c r="T21" s="503"/>
      <c r="U21" s="503"/>
    </row>
    <row r="22" spans="1:21" x14ac:dyDescent="0.25">
      <c r="A22" s="132" t="s">
        <v>24</v>
      </c>
      <c r="B22" s="529">
        <v>0.59659090909090906</v>
      </c>
      <c r="C22" s="20">
        <v>785</v>
      </c>
      <c r="D22" s="20">
        <v>50</v>
      </c>
      <c r="E22" s="20">
        <v>234.16193181818181</v>
      </c>
      <c r="F22" s="20">
        <v>56.409609375000002</v>
      </c>
      <c r="G22" s="21">
        <v>290.57154119318182</v>
      </c>
      <c r="H22" s="133">
        <v>0.31578947368421051</v>
      </c>
      <c r="I22" s="136">
        <v>785</v>
      </c>
      <c r="J22" s="137">
        <v>20</v>
      </c>
      <c r="K22" s="20">
        <f t="shared" si="7"/>
        <v>49.578947368421048</v>
      </c>
      <c r="L22" s="136">
        <v>10.565273684210528</v>
      </c>
      <c r="M22" s="21">
        <f t="shared" si="8"/>
        <v>60.144221052631579</v>
      </c>
      <c r="N22" s="19"/>
      <c r="O22" s="20"/>
      <c r="P22" s="20"/>
      <c r="Q22" s="20"/>
      <c r="R22" s="20"/>
      <c r="S22" s="21"/>
      <c r="T22" s="503"/>
      <c r="U22" s="503"/>
    </row>
    <row r="23" spans="1:21" x14ac:dyDescent="0.25">
      <c r="A23" s="139" t="s">
        <v>16</v>
      </c>
      <c r="B23" s="529"/>
      <c r="C23" s="20"/>
      <c r="D23" s="20"/>
      <c r="E23" s="20"/>
      <c r="F23" s="20"/>
      <c r="G23" s="21"/>
      <c r="H23" s="133">
        <v>0.13157894736842105</v>
      </c>
      <c r="I23" s="136">
        <v>785</v>
      </c>
      <c r="J23" s="137">
        <v>20</v>
      </c>
      <c r="K23" s="20">
        <f t="shared" si="7"/>
        <v>20.657894736842103</v>
      </c>
      <c r="L23" s="136">
        <v>4.4021973684210529</v>
      </c>
      <c r="M23" s="21">
        <f t="shared" si="8"/>
        <v>25.060092105263156</v>
      </c>
      <c r="N23" s="19"/>
      <c r="O23" s="20"/>
      <c r="P23" s="20"/>
      <c r="Q23" s="20"/>
      <c r="R23" s="20"/>
      <c r="S23" s="21"/>
      <c r="T23" s="503"/>
      <c r="U23" s="503"/>
    </row>
    <row r="24" spans="1:21" ht="17.25" thickBot="1" x14ac:dyDescent="0.3">
      <c r="A24" s="135" t="s">
        <v>24</v>
      </c>
      <c r="B24" s="529"/>
      <c r="C24" s="20"/>
      <c r="D24" s="20"/>
      <c r="E24" s="20"/>
      <c r="F24" s="20"/>
      <c r="G24" s="21"/>
      <c r="H24" s="133">
        <v>0.15789473684210525</v>
      </c>
      <c r="I24" s="136">
        <v>785</v>
      </c>
      <c r="J24" s="137">
        <v>20</v>
      </c>
      <c r="K24" s="20">
        <f t="shared" si="7"/>
        <v>24.789473684210524</v>
      </c>
      <c r="L24" s="136">
        <v>5.9717842105263159</v>
      </c>
      <c r="M24" s="21">
        <f t="shared" si="8"/>
        <v>30.76125789473684</v>
      </c>
      <c r="N24" s="19"/>
      <c r="O24" s="20"/>
      <c r="P24" s="20"/>
      <c r="Q24" s="20"/>
      <c r="R24" s="20"/>
      <c r="S24" s="21"/>
      <c r="T24" s="503"/>
      <c r="U24" s="503"/>
    </row>
    <row r="25" spans="1:21" ht="57" customHeight="1" x14ac:dyDescent="0.25">
      <c r="A25" s="128" t="s">
        <v>13</v>
      </c>
      <c r="B25" s="528">
        <f>SUM(B26:B32)</f>
        <v>2.8607954545454546</v>
      </c>
      <c r="C25" s="20"/>
      <c r="D25" s="20"/>
      <c r="E25" s="513">
        <f>SUM(E26:E32)</f>
        <v>818.72727272727263</v>
      </c>
      <c r="F25" s="513">
        <f t="shared" ref="F25:G25" si="9">SUM(F26:F32)</f>
        <v>197.23140000000001</v>
      </c>
      <c r="G25" s="514">
        <f t="shared" si="9"/>
        <v>1015.9586727272726</v>
      </c>
      <c r="H25" s="129">
        <v>1.3157894736842106</v>
      </c>
      <c r="I25" s="130"/>
      <c r="J25" s="130"/>
      <c r="K25" s="130">
        <f>SUM(K26:K31)</f>
        <v>151.57894736842104</v>
      </c>
      <c r="L25" s="130">
        <f>SUM(L26:L31)</f>
        <v>36.515368421052635</v>
      </c>
      <c r="M25" s="130">
        <f t="shared" ref="M25" si="10">SUM(M26:M31)</f>
        <v>188.09431578947368</v>
      </c>
      <c r="N25" s="19"/>
      <c r="O25" s="20"/>
      <c r="P25" s="20"/>
      <c r="Q25" s="20"/>
      <c r="R25" s="20"/>
      <c r="S25" s="21"/>
      <c r="T25" s="503"/>
      <c r="U25" s="503"/>
    </row>
    <row r="26" spans="1:21" x14ac:dyDescent="0.25">
      <c r="A26" s="132" t="s">
        <v>25</v>
      </c>
      <c r="B26" s="529">
        <v>0.55113636363636365</v>
      </c>
      <c r="C26" s="20">
        <v>576</v>
      </c>
      <c r="D26" s="20">
        <v>50</v>
      </c>
      <c r="E26" s="20">
        <v>158.72727272727272</v>
      </c>
      <c r="F26" s="20">
        <v>38.237400000000001</v>
      </c>
      <c r="G26" s="21">
        <v>196.96467272727273</v>
      </c>
      <c r="H26" s="133">
        <v>0.21052631578947367</v>
      </c>
      <c r="I26" s="136">
        <v>576</v>
      </c>
      <c r="J26" s="137">
        <v>20</v>
      </c>
      <c r="K26" s="20">
        <f t="shared" ref="K26:K31" si="11">H26*I26*J26/100</f>
        <v>24.252631578947366</v>
      </c>
      <c r="L26" s="136">
        <v>5.8424589473684216</v>
      </c>
      <c r="M26" s="21">
        <f t="shared" ref="M26:M31" si="12">K26+L26</f>
        <v>30.095090526315786</v>
      </c>
      <c r="N26" s="19"/>
      <c r="O26" s="20"/>
      <c r="P26" s="20"/>
      <c r="Q26" s="20"/>
      <c r="R26" s="20"/>
      <c r="S26" s="21"/>
      <c r="T26" s="503"/>
      <c r="U26" s="503"/>
    </row>
    <row r="27" spans="1:21" x14ac:dyDescent="0.25">
      <c r="A27" s="132" t="s">
        <v>25</v>
      </c>
      <c r="B27" s="529">
        <v>0.50568181818181823</v>
      </c>
      <c r="C27" s="20">
        <v>576</v>
      </c>
      <c r="D27" s="20">
        <v>50</v>
      </c>
      <c r="E27" s="20">
        <v>145.63636363636365</v>
      </c>
      <c r="F27" s="20">
        <v>35.083800000000004</v>
      </c>
      <c r="G27" s="21">
        <v>180.72016363636365</v>
      </c>
      <c r="H27" s="133">
        <v>0.31578947368421051</v>
      </c>
      <c r="I27" s="136">
        <v>576</v>
      </c>
      <c r="J27" s="137">
        <v>20</v>
      </c>
      <c r="K27" s="20">
        <f t="shared" si="11"/>
        <v>36.378947368421052</v>
      </c>
      <c r="L27" s="136">
        <v>8.7636884210526311</v>
      </c>
      <c r="M27" s="21">
        <f t="shared" si="12"/>
        <v>45.142635789473687</v>
      </c>
      <c r="N27" s="19"/>
      <c r="O27" s="20"/>
      <c r="P27" s="20"/>
      <c r="Q27" s="20"/>
      <c r="R27" s="20"/>
      <c r="S27" s="21"/>
      <c r="T27" s="503"/>
      <c r="U27" s="503"/>
    </row>
    <row r="28" spans="1:21" x14ac:dyDescent="0.25">
      <c r="A28" s="132" t="s">
        <v>25</v>
      </c>
      <c r="B28" s="529">
        <v>0.45454545454545453</v>
      </c>
      <c r="C28" s="20">
        <v>576</v>
      </c>
      <c r="D28" s="20">
        <v>50</v>
      </c>
      <c r="E28" s="20">
        <v>130.90909090909091</v>
      </c>
      <c r="F28" s="20">
        <v>31.536000000000001</v>
      </c>
      <c r="G28" s="21">
        <v>162.44509090909091</v>
      </c>
      <c r="H28" s="133">
        <v>0.31578947368421051</v>
      </c>
      <c r="I28" s="136">
        <v>576</v>
      </c>
      <c r="J28" s="137">
        <v>20</v>
      </c>
      <c r="K28" s="20">
        <f t="shared" si="11"/>
        <v>36.378947368421052</v>
      </c>
      <c r="L28" s="136">
        <v>8.7636884210526311</v>
      </c>
      <c r="M28" s="21">
        <f t="shared" si="12"/>
        <v>45.142635789473687</v>
      </c>
      <c r="N28" s="19"/>
      <c r="O28" s="20"/>
      <c r="P28" s="20"/>
      <c r="Q28" s="20"/>
      <c r="R28" s="20"/>
      <c r="S28" s="21"/>
      <c r="T28" s="503"/>
      <c r="U28" s="503"/>
    </row>
    <row r="29" spans="1:21" x14ac:dyDescent="0.25">
      <c r="A29" s="132" t="s">
        <v>25</v>
      </c>
      <c r="B29" s="529">
        <v>0.29261363636363635</v>
      </c>
      <c r="C29" s="20">
        <v>576</v>
      </c>
      <c r="D29" s="20">
        <v>50</v>
      </c>
      <c r="E29" s="20">
        <v>84.272727272727266</v>
      </c>
      <c r="F29" s="20">
        <v>20.301299999999998</v>
      </c>
      <c r="G29" s="21">
        <v>104.57402727272726</v>
      </c>
      <c r="H29" s="133">
        <v>0.15789473684210525</v>
      </c>
      <c r="I29" s="136">
        <v>576</v>
      </c>
      <c r="J29" s="137">
        <v>20</v>
      </c>
      <c r="K29" s="20">
        <f t="shared" si="11"/>
        <v>18.189473684210526</v>
      </c>
      <c r="L29" s="136">
        <v>4.3818442105263156</v>
      </c>
      <c r="M29" s="21">
        <f t="shared" si="12"/>
        <v>22.571317894736843</v>
      </c>
      <c r="N29" s="19"/>
      <c r="O29" s="20"/>
      <c r="P29" s="20"/>
      <c r="Q29" s="20"/>
      <c r="R29" s="20"/>
      <c r="S29" s="21"/>
      <c r="T29" s="503"/>
      <c r="U29" s="503"/>
    </row>
    <row r="30" spans="1:21" x14ac:dyDescent="0.25">
      <c r="A30" s="132" t="s">
        <v>25</v>
      </c>
      <c r="B30" s="529">
        <v>0.32386363636363635</v>
      </c>
      <c r="C30" s="20">
        <v>576</v>
      </c>
      <c r="D30" s="20">
        <v>50</v>
      </c>
      <c r="E30" s="20">
        <v>93.272727272727266</v>
      </c>
      <c r="F30" s="20">
        <v>22.4694</v>
      </c>
      <c r="G30" s="21">
        <v>115.74212727272726</v>
      </c>
      <c r="H30" s="133">
        <v>0.15789473684210525</v>
      </c>
      <c r="I30" s="136">
        <v>576</v>
      </c>
      <c r="J30" s="137">
        <v>20</v>
      </c>
      <c r="K30" s="20">
        <f t="shared" si="11"/>
        <v>18.189473684210526</v>
      </c>
      <c r="L30" s="136">
        <v>4.3818442105263156</v>
      </c>
      <c r="M30" s="21">
        <f t="shared" si="12"/>
        <v>22.571317894736843</v>
      </c>
      <c r="N30" s="19"/>
      <c r="O30" s="20"/>
      <c r="P30" s="20"/>
      <c r="Q30" s="20"/>
      <c r="R30" s="20"/>
      <c r="S30" s="21"/>
      <c r="T30" s="503"/>
      <c r="U30" s="503"/>
    </row>
    <row r="31" spans="1:21" x14ac:dyDescent="0.25">
      <c r="A31" s="132" t="s">
        <v>25</v>
      </c>
      <c r="B31" s="529">
        <v>0.59659090909090906</v>
      </c>
      <c r="C31" s="20">
        <v>576</v>
      </c>
      <c r="D31" s="20">
        <v>50</v>
      </c>
      <c r="E31" s="20">
        <v>171.81818181818181</v>
      </c>
      <c r="F31" s="20">
        <v>41.390999999999998</v>
      </c>
      <c r="G31" s="21">
        <v>213.2091818181818</v>
      </c>
      <c r="H31" s="133">
        <v>0.15789473684210525</v>
      </c>
      <c r="I31" s="136">
        <v>576</v>
      </c>
      <c r="J31" s="137">
        <v>20</v>
      </c>
      <c r="K31" s="20">
        <f t="shared" si="11"/>
        <v>18.189473684210526</v>
      </c>
      <c r="L31" s="136">
        <v>4.3818442105263156</v>
      </c>
      <c r="M31" s="21">
        <f t="shared" si="12"/>
        <v>22.571317894736843</v>
      </c>
      <c r="N31" s="19"/>
      <c r="O31" s="20"/>
      <c r="P31" s="20"/>
      <c r="Q31" s="20"/>
      <c r="R31" s="20"/>
      <c r="S31" s="21"/>
      <c r="T31" s="503"/>
      <c r="U31" s="503"/>
    </row>
    <row r="32" spans="1:21" x14ac:dyDescent="0.25">
      <c r="A32" s="506" t="s">
        <v>19</v>
      </c>
      <c r="B32" s="529">
        <v>0.13636363636363635</v>
      </c>
      <c r="C32" s="20">
        <v>500</v>
      </c>
      <c r="D32" s="20">
        <v>50</v>
      </c>
      <c r="E32" s="20">
        <v>34.090909090909086</v>
      </c>
      <c r="F32" s="20">
        <v>8.2124999999999986</v>
      </c>
      <c r="G32" s="21">
        <v>42.303409090909085</v>
      </c>
      <c r="H32" s="133"/>
      <c r="I32" s="136"/>
      <c r="J32" s="137"/>
      <c r="K32" s="20"/>
      <c r="L32" s="136"/>
      <c r="M32" s="21"/>
      <c r="N32" s="19"/>
      <c r="O32" s="20"/>
      <c r="P32" s="20"/>
      <c r="Q32" s="20"/>
      <c r="R32" s="20"/>
      <c r="S32" s="21"/>
      <c r="T32" s="503"/>
      <c r="U32" s="503"/>
    </row>
    <row r="33" spans="1:21" ht="36" customHeight="1" x14ac:dyDescent="0.25">
      <c r="A33" s="140" t="s">
        <v>11</v>
      </c>
      <c r="B33" s="529"/>
      <c r="C33" s="20"/>
      <c r="D33" s="20"/>
      <c r="E33" s="20"/>
      <c r="F33" s="20"/>
      <c r="G33" s="21"/>
      <c r="H33" s="19"/>
      <c r="I33" s="20"/>
      <c r="J33" s="20"/>
      <c r="K33" s="20"/>
      <c r="L33" s="20"/>
      <c r="M33" s="21"/>
      <c r="N33" s="19"/>
      <c r="O33" s="20"/>
      <c r="P33" s="20"/>
      <c r="Q33" s="20"/>
      <c r="R33" s="20"/>
      <c r="S33" s="21"/>
      <c r="T33" s="503"/>
      <c r="U33" s="503"/>
    </row>
    <row r="34" spans="1:21" x14ac:dyDescent="0.25">
      <c r="A34" s="18" t="s">
        <v>1</v>
      </c>
      <c r="B34" s="529"/>
      <c r="C34" s="20"/>
      <c r="D34" s="20"/>
      <c r="E34" s="20"/>
      <c r="F34" s="20"/>
      <c r="G34" s="21"/>
      <c r="H34" s="19"/>
      <c r="I34" s="20"/>
      <c r="J34" s="20"/>
      <c r="K34" s="20"/>
      <c r="L34" s="20"/>
      <c r="M34" s="21"/>
      <c r="N34" s="19"/>
      <c r="O34" s="20"/>
      <c r="P34" s="20"/>
      <c r="Q34" s="20"/>
      <c r="R34" s="20"/>
      <c r="S34" s="21"/>
      <c r="T34" s="503"/>
      <c r="U34" s="503"/>
    </row>
    <row r="35" spans="1:21" s="1" customFormat="1" ht="21.75" customHeight="1" thickBot="1" x14ac:dyDescent="0.3">
      <c r="A35" s="126" t="s">
        <v>81</v>
      </c>
      <c r="B35" s="530"/>
      <c r="C35" s="125"/>
      <c r="D35" s="125"/>
      <c r="E35" s="125"/>
      <c r="F35" s="125"/>
      <c r="G35" s="200"/>
      <c r="H35" s="127">
        <f>H38+H52</f>
        <v>3.4177215189873422</v>
      </c>
      <c r="I35" s="127"/>
      <c r="J35" s="127"/>
      <c r="K35" s="127">
        <f>K38+K52</f>
        <v>481.71898734177216</v>
      </c>
      <c r="L35" s="127">
        <f t="shared" ref="L35:M35" si="13">L38+L52</f>
        <v>115.60411924050634</v>
      </c>
      <c r="M35" s="127">
        <f t="shared" si="13"/>
        <v>597.32310658227846</v>
      </c>
      <c r="N35" s="15"/>
      <c r="O35" s="16"/>
      <c r="P35" s="16"/>
      <c r="Q35" s="16"/>
      <c r="R35" s="16"/>
      <c r="S35" s="17"/>
      <c r="T35" s="503"/>
      <c r="U35" s="503"/>
    </row>
    <row r="36" spans="1:21" ht="54.75" customHeight="1" x14ac:dyDescent="0.25">
      <c r="A36" s="128" t="s">
        <v>14</v>
      </c>
      <c r="B36" s="529"/>
      <c r="C36" s="20"/>
      <c r="D36" s="20"/>
      <c r="E36" s="20"/>
      <c r="F36" s="20"/>
      <c r="G36" s="21"/>
      <c r="H36" s="129"/>
      <c r="I36" s="130"/>
      <c r="J36" s="130"/>
      <c r="K36" s="130"/>
      <c r="L36" s="130"/>
      <c r="M36" s="131"/>
      <c r="N36" s="19"/>
      <c r="O36" s="20"/>
      <c r="P36" s="20"/>
      <c r="Q36" s="20"/>
      <c r="R36" s="20"/>
      <c r="S36" s="21"/>
      <c r="T36" s="503"/>
      <c r="U36" s="503"/>
    </row>
    <row r="37" spans="1:21" ht="19.5" customHeight="1" thickBot="1" x14ac:dyDescent="0.3">
      <c r="A37" s="135" t="s">
        <v>1</v>
      </c>
      <c r="B37" s="531"/>
      <c r="C37" s="148"/>
      <c r="D37" s="148"/>
      <c r="E37" s="148"/>
      <c r="F37" s="148"/>
      <c r="G37" s="149"/>
      <c r="H37" s="19"/>
      <c r="I37" s="20"/>
      <c r="J37" s="20"/>
      <c r="K37" s="20"/>
      <c r="L37" s="20"/>
      <c r="M37" s="21"/>
      <c r="N37" s="19"/>
      <c r="O37" s="20"/>
      <c r="P37" s="20"/>
      <c r="Q37" s="20"/>
      <c r="R37" s="20"/>
      <c r="S37" s="21"/>
      <c r="T37" s="503"/>
      <c r="U37" s="503"/>
    </row>
    <row r="38" spans="1:21" ht="49.5" customHeight="1" x14ac:dyDescent="0.25">
      <c r="A38" s="128" t="s">
        <v>12</v>
      </c>
      <c r="B38" s="529"/>
      <c r="C38" s="20"/>
      <c r="D38" s="20"/>
      <c r="E38" s="20"/>
      <c r="F38" s="20"/>
      <c r="G38" s="21"/>
      <c r="H38" s="129">
        <v>2.2531645569620253</v>
      </c>
      <c r="I38" s="130"/>
      <c r="J38" s="130"/>
      <c r="K38" s="130">
        <f>SUM(K39:K51)</f>
        <v>348.33164556962026</v>
      </c>
      <c r="L38" s="130">
        <f t="shared" ref="L38:M38" si="14">SUM(L39:L51)</f>
        <v>83.471108607594942</v>
      </c>
      <c r="M38" s="130">
        <f t="shared" si="14"/>
        <v>431.80275417721521</v>
      </c>
      <c r="N38" s="19"/>
      <c r="O38" s="20"/>
      <c r="P38" s="20"/>
      <c r="Q38" s="20"/>
      <c r="R38" s="20"/>
      <c r="S38" s="21"/>
      <c r="T38" s="503"/>
      <c r="U38" s="503"/>
    </row>
    <row r="39" spans="1:21" x14ac:dyDescent="0.25">
      <c r="A39" s="132" t="s">
        <v>24</v>
      </c>
      <c r="B39" s="529"/>
      <c r="C39" s="20"/>
      <c r="D39" s="20"/>
      <c r="E39" s="20"/>
      <c r="F39" s="20"/>
      <c r="G39" s="21"/>
      <c r="H39" s="133">
        <v>0.15189873417721519</v>
      </c>
      <c r="I39" s="136">
        <v>785</v>
      </c>
      <c r="J39" s="137">
        <v>20</v>
      </c>
      <c r="K39" s="20">
        <f t="shared" ref="K39:K51" si="15">H39*I39*J39/100</f>
        <v>23.848101265822784</v>
      </c>
      <c r="L39" s="136">
        <v>5.7450075949367099</v>
      </c>
      <c r="M39" s="21">
        <f t="shared" ref="M39:M51" si="16">K39+L39</f>
        <v>29.593108860759493</v>
      </c>
      <c r="N39" s="19"/>
      <c r="O39" s="20"/>
      <c r="P39" s="20"/>
      <c r="Q39" s="20"/>
      <c r="R39" s="20"/>
      <c r="S39" s="21"/>
      <c r="T39" s="503"/>
      <c r="U39" s="503"/>
    </row>
    <row r="40" spans="1:21" x14ac:dyDescent="0.25">
      <c r="A40" s="132" t="s">
        <v>24</v>
      </c>
      <c r="B40" s="529"/>
      <c r="C40" s="20"/>
      <c r="D40" s="20"/>
      <c r="E40" s="20"/>
      <c r="F40" s="20"/>
      <c r="G40" s="21"/>
      <c r="H40" s="133">
        <v>0.15189873417721519</v>
      </c>
      <c r="I40" s="136">
        <v>785</v>
      </c>
      <c r="J40" s="137">
        <v>20</v>
      </c>
      <c r="K40" s="20">
        <f t="shared" si="15"/>
        <v>23.848101265822784</v>
      </c>
      <c r="L40" s="136">
        <v>5.7450075949367099</v>
      </c>
      <c r="M40" s="21">
        <f t="shared" si="16"/>
        <v>29.593108860759493</v>
      </c>
      <c r="N40" s="19"/>
      <c r="O40" s="20"/>
      <c r="P40" s="20"/>
      <c r="Q40" s="20"/>
      <c r="R40" s="20"/>
      <c r="S40" s="21"/>
      <c r="T40" s="503"/>
      <c r="U40" s="503"/>
    </row>
    <row r="41" spans="1:21" x14ac:dyDescent="0.25">
      <c r="A41" s="132" t="s">
        <v>24</v>
      </c>
      <c r="B41" s="529"/>
      <c r="C41" s="20"/>
      <c r="D41" s="20"/>
      <c r="E41" s="20"/>
      <c r="F41" s="20"/>
      <c r="G41" s="21"/>
      <c r="H41" s="133">
        <v>0.20253164556962025</v>
      </c>
      <c r="I41" s="136">
        <v>785</v>
      </c>
      <c r="J41" s="137">
        <v>20</v>
      </c>
      <c r="K41" s="20">
        <f t="shared" si="15"/>
        <v>31.797468354430379</v>
      </c>
      <c r="L41" s="136">
        <v>7.6600101265822786</v>
      </c>
      <c r="M41" s="21">
        <f t="shared" si="16"/>
        <v>39.457478481012657</v>
      </c>
      <c r="N41" s="19"/>
      <c r="O41" s="20"/>
      <c r="P41" s="20"/>
      <c r="Q41" s="20"/>
      <c r="R41" s="20"/>
      <c r="S41" s="21"/>
      <c r="T41" s="503"/>
      <c r="U41" s="503"/>
    </row>
    <row r="42" spans="1:21" x14ac:dyDescent="0.25">
      <c r="A42" s="132" t="s">
        <v>24</v>
      </c>
      <c r="B42" s="529"/>
      <c r="C42" s="20"/>
      <c r="D42" s="20"/>
      <c r="E42" s="20"/>
      <c r="F42" s="20"/>
      <c r="G42" s="21"/>
      <c r="H42" s="133">
        <v>0.20253164556962025</v>
      </c>
      <c r="I42" s="136">
        <v>785</v>
      </c>
      <c r="J42" s="137">
        <v>20</v>
      </c>
      <c r="K42" s="20">
        <f t="shared" si="15"/>
        <v>31.797468354430379</v>
      </c>
      <c r="L42" s="136">
        <v>7.6600101265822786</v>
      </c>
      <c r="M42" s="21">
        <f t="shared" si="16"/>
        <v>39.457478481012657</v>
      </c>
      <c r="N42" s="19"/>
      <c r="O42" s="20"/>
      <c r="P42" s="20"/>
      <c r="Q42" s="20"/>
      <c r="R42" s="20"/>
      <c r="S42" s="21"/>
      <c r="T42" s="503"/>
      <c r="U42" s="503"/>
    </row>
    <row r="43" spans="1:21" x14ac:dyDescent="0.25">
      <c r="A43" s="132" t="s">
        <v>24</v>
      </c>
      <c r="B43" s="529"/>
      <c r="C43" s="20"/>
      <c r="D43" s="20"/>
      <c r="E43" s="20"/>
      <c r="F43" s="20"/>
      <c r="G43" s="21"/>
      <c r="H43" s="133">
        <v>0.10126582278481013</v>
      </c>
      <c r="I43" s="136">
        <v>785</v>
      </c>
      <c r="J43" s="137">
        <v>20</v>
      </c>
      <c r="K43" s="20">
        <f t="shared" si="15"/>
        <v>15.898734177215189</v>
      </c>
      <c r="L43" s="136">
        <v>3.3880202531645569</v>
      </c>
      <c r="M43" s="21">
        <f t="shared" si="16"/>
        <v>19.286754430379744</v>
      </c>
      <c r="N43" s="19"/>
      <c r="O43" s="20"/>
      <c r="P43" s="20"/>
      <c r="Q43" s="20"/>
      <c r="R43" s="20"/>
      <c r="S43" s="21"/>
      <c r="T43" s="503"/>
      <c r="U43" s="503"/>
    </row>
    <row r="44" spans="1:21" x14ac:dyDescent="0.25">
      <c r="A44" s="132" t="s">
        <v>24</v>
      </c>
      <c r="B44" s="529"/>
      <c r="C44" s="20"/>
      <c r="D44" s="20"/>
      <c r="E44" s="20"/>
      <c r="F44" s="20"/>
      <c r="G44" s="21"/>
      <c r="H44" s="133">
        <v>0.16455696202531644</v>
      </c>
      <c r="I44" s="136">
        <v>785</v>
      </c>
      <c r="J44" s="137">
        <v>20</v>
      </c>
      <c r="K44" s="20">
        <f t="shared" si="15"/>
        <v>25.835443037974684</v>
      </c>
      <c r="L44" s="136">
        <v>6.2237582278481014</v>
      </c>
      <c r="M44" s="21">
        <f t="shared" si="16"/>
        <v>32.059201265822786</v>
      </c>
      <c r="N44" s="19"/>
      <c r="O44" s="20"/>
      <c r="P44" s="20"/>
      <c r="Q44" s="20"/>
      <c r="R44" s="20"/>
      <c r="S44" s="21"/>
      <c r="T44" s="503"/>
      <c r="U44" s="503"/>
    </row>
    <row r="45" spans="1:21" x14ac:dyDescent="0.25">
      <c r="A45" s="132" t="s">
        <v>24</v>
      </c>
      <c r="B45" s="529"/>
      <c r="C45" s="20"/>
      <c r="D45" s="20"/>
      <c r="E45" s="20"/>
      <c r="F45" s="20"/>
      <c r="G45" s="21"/>
      <c r="H45" s="133">
        <v>0.13924050632911392</v>
      </c>
      <c r="I45" s="136">
        <v>785</v>
      </c>
      <c r="J45" s="137">
        <v>20</v>
      </c>
      <c r="K45" s="20">
        <f t="shared" si="15"/>
        <v>21.860759493670884</v>
      </c>
      <c r="L45" s="136">
        <v>5.2662569620253157</v>
      </c>
      <c r="M45" s="21">
        <f t="shared" si="16"/>
        <v>27.1270164556962</v>
      </c>
      <c r="N45" s="19"/>
      <c r="O45" s="20"/>
      <c r="P45" s="20"/>
      <c r="Q45" s="20"/>
      <c r="R45" s="20"/>
      <c r="S45" s="21"/>
      <c r="T45" s="503"/>
      <c r="U45" s="503"/>
    </row>
    <row r="46" spans="1:21" x14ac:dyDescent="0.25">
      <c r="A46" s="132" t="s">
        <v>24</v>
      </c>
      <c r="B46" s="529"/>
      <c r="C46" s="20"/>
      <c r="D46" s="20"/>
      <c r="E46" s="20"/>
      <c r="F46" s="20"/>
      <c r="G46" s="21"/>
      <c r="H46" s="133">
        <v>0.20253164556962025</v>
      </c>
      <c r="I46" s="136">
        <v>785</v>
      </c>
      <c r="J46" s="137">
        <v>20</v>
      </c>
      <c r="K46" s="20">
        <f t="shared" si="15"/>
        <v>31.797468354430379</v>
      </c>
      <c r="L46" s="136">
        <v>7.6600101265822786</v>
      </c>
      <c r="M46" s="21">
        <f t="shared" si="16"/>
        <v>39.457478481012657</v>
      </c>
      <c r="N46" s="19"/>
      <c r="O46" s="20"/>
      <c r="P46" s="20"/>
      <c r="Q46" s="20"/>
      <c r="R46" s="20"/>
      <c r="S46" s="21"/>
      <c r="T46" s="503"/>
      <c r="U46" s="503"/>
    </row>
    <row r="47" spans="1:21" x14ac:dyDescent="0.25">
      <c r="A47" s="132" t="s">
        <v>24</v>
      </c>
      <c r="B47" s="529"/>
      <c r="C47" s="20"/>
      <c r="D47" s="20"/>
      <c r="E47" s="20"/>
      <c r="F47" s="20"/>
      <c r="G47" s="21"/>
      <c r="H47" s="133">
        <v>0.20253164556962025</v>
      </c>
      <c r="I47" s="136">
        <v>785</v>
      </c>
      <c r="J47" s="137">
        <v>20</v>
      </c>
      <c r="K47" s="20">
        <f t="shared" si="15"/>
        <v>31.797468354430379</v>
      </c>
      <c r="L47" s="136">
        <v>7.6600101265822786</v>
      </c>
      <c r="M47" s="21">
        <f t="shared" si="16"/>
        <v>39.457478481012657</v>
      </c>
      <c r="N47" s="19"/>
      <c r="O47" s="20"/>
      <c r="P47" s="20"/>
      <c r="Q47" s="20"/>
      <c r="R47" s="20"/>
      <c r="S47" s="21"/>
      <c r="T47" s="503"/>
      <c r="U47" s="503"/>
    </row>
    <row r="48" spans="1:21" x14ac:dyDescent="0.25">
      <c r="A48" s="132" t="s">
        <v>24</v>
      </c>
      <c r="B48" s="529"/>
      <c r="C48" s="20"/>
      <c r="D48" s="20"/>
      <c r="E48" s="20"/>
      <c r="F48" s="20"/>
      <c r="G48" s="21"/>
      <c r="H48" s="133">
        <v>0.20253164556962025</v>
      </c>
      <c r="I48" s="136">
        <v>692</v>
      </c>
      <c r="J48" s="137">
        <v>20</v>
      </c>
      <c r="K48" s="20">
        <f t="shared" si="15"/>
        <v>28.030379746835443</v>
      </c>
      <c r="L48" s="136">
        <v>6.7525184810126593</v>
      </c>
      <c r="M48" s="21">
        <f t="shared" si="16"/>
        <v>34.782898227848101</v>
      </c>
      <c r="N48" s="19"/>
      <c r="O48" s="20"/>
      <c r="P48" s="20"/>
      <c r="Q48" s="20"/>
      <c r="R48" s="20"/>
      <c r="S48" s="21"/>
      <c r="T48" s="503"/>
      <c r="U48" s="503"/>
    </row>
    <row r="49" spans="1:21" x14ac:dyDescent="0.25">
      <c r="A49" s="132" t="s">
        <v>24</v>
      </c>
      <c r="B49" s="529"/>
      <c r="C49" s="20"/>
      <c r="D49" s="20"/>
      <c r="E49" s="20"/>
      <c r="F49" s="20"/>
      <c r="G49" s="21"/>
      <c r="H49" s="133">
        <v>0.31645569620253167</v>
      </c>
      <c r="I49" s="136">
        <v>785</v>
      </c>
      <c r="J49" s="137">
        <v>20</v>
      </c>
      <c r="K49" s="20">
        <f t="shared" si="15"/>
        <v>49.683544303797468</v>
      </c>
      <c r="L49" s="136">
        <v>11.968765822784812</v>
      </c>
      <c r="M49" s="21">
        <f t="shared" si="16"/>
        <v>61.652310126582279</v>
      </c>
      <c r="N49" s="19"/>
      <c r="O49" s="20"/>
      <c r="P49" s="20"/>
      <c r="Q49" s="20"/>
      <c r="R49" s="20"/>
      <c r="S49" s="21"/>
      <c r="T49" s="503"/>
      <c r="U49" s="503"/>
    </row>
    <row r="50" spans="1:21" x14ac:dyDescent="0.25">
      <c r="A50" s="132" t="s">
        <v>16</v>
      </c>
      <c r="B50" s="529"/>
      <c r="C50" s="20"/>
      <c r="D50" s="20"/>
      <c r="E50" s="20"/>
      <c r="F50" s="20"/>
      <c r="G50" s="21"/>
      <c r="H50" s="133">
        <v>0.12658227848101267</v>
      </c>
      <c r="I50" s="136">
        <v>785</v>
      </c>
      <c r="J50" s="137">
        <v>20</v>
      </c>
      <c r="K50" s="20">
        <f t="shared" si="15"/>
        <v>19.873417721518987</v>
      </c>
      <c r="L50" s="136">
        <v>4.787506329113925</v>
      </c>
      <c r="M50" s="21">
        <f t="shared" si="16"/>
        <v>24.660924050632911</v>
      </c>
      <c r="N50" s="19"/>
      <c r="O50" s="20"/>
      <c r="P50" s="20"/>
      <c r="Q50" s="20"/>
      <c r="R50" s="20"/>
      <c r="S50" s="21"/>
      <c r="T50" s="503"/>
      <c r="U50" s="503"/>
    </row>
    <row r="51" spans="1:21" ht="17.25" thickBot="1" x14ac:dyDescent="0.3">
      <c r="A51" s="132" t="s">
        <v>24</v>
      </c>
      <c r="B51" s="529"/>
      <c r="C51" s="20"/>
      <c r="D51" s="20"/>
      <c r="E51" s="20"/>
      <c r="F51" s="20"/>
      <c r="G51" s="21"/>
      <c r="H51" s="133">
        <v>8.8607594936708861E-2</v>
      </c>
      <c r="I51" s="136">
        <v>692</v>
      </c>
      <c r="J51" s="137">
        <v>20</v>
      </c>
      <c r="K51" s="20">
        <f t="shared" si="15"/>
        <v>12.263291139240508</v>
      </c>
      <c r="L51" s="136">
        <v>2.9542268354430385</v>
      </c>
      <c r="M51" s="21">
        <f t="shared" si="16"/>
        <v>15.217517974683545</v>
      </c>
      <c r="N51" s="19"/>
      <c r="O51" s="20"/>
      <c r="P51" s="20"/>
      <c r="Q51" s="20"/>
      <c r="R51" s="20"/>
      <c r="S51" s="21"/>
      <c r="T51" s="503"/>
      <c r="U51" s="503"/>
    </row>
    <row r="52" spans="1:21" ht="57" customHeight="1" x14ac:dyDescent="0.25">
      <c r="A52" s="128" t="s">
        <v>13</v>
      </c>
      <c r="B52" s="529"/>
      <c r="C52" s="20"/>
      <c r="D52" s="20"/>
      <c r="E52" s="20"/>
      <c r="F52" s="20"/>
      <c r="G52" s="21"/>
      <c r="H52" s="129">
        <v>1.1645569620253167</v>
      </c>
      <c r="I52" s="130"/>
      <c r="J52" s="130"/>
      <c r="K52" s="130">
        <f>SUM(K53:K63)</f>
        <v>133.38734177215193</v>
      </c>
      <c r="L52" s="130">
        <f t="shared" ref="L52:M52" si="17">SUM(L53:L63)</f>
        <v>32.133010632911393</v>
      </c>
      <c r="M52" s="130">
        <f t="shared" si="17"/>
        <v>165.52035240506328</v>
      </c>
      <c r="N52" s="19"/>
      <c r="O52" s="20"/>
      <c r="P52" s="20"/>
      <c r="Q52" s="20"/>
      <c r="R52" s="20"/>
      <c r="S52" s="21"/>
      <c r="T52" s="503"/>
      <c r="U52" s="503"/>
    </row>
    <row r="53" spans="1:21" x14ac:dyDescent="0.25">
      <c r="A53" s="132" t="s">
        <v>25</v>
      </c>
      <c r="B53" s="529"/>
      <c r="C53" s="20"/>
      <c r="D53" s="20"/>
      <c r="E53" s="20"/>
      <c r="F53" s="20"/>
      <c r="G53" s="21"/>
      <c r="H53" s="133">
        <v>0.15189873417721519</v>
      </c>
      <c r="I53" s="136">
        <v>576</v>
      </c>
      <c r="J53" s="137">
        <v>20</v>
      </c>
      <c r="K53" s="20">
        <f t="shared" ref="K53:K63" si="18">H53*I53*J53/100</f>
        <v>17.498734177215191</v>
      </c>
      <c r="L53" s="136">
        <v>4.2154450632911393</v>
      </c>
      <c r="M53" s="21">
        <f t="shared" ref="M53:M63" si="19">K53+L53</f>
        <v>21.714179240506329</v>
      </c>
      <c r="N53" s="19"/>
      <c r="O53" s="20"/>
      <c r="P53" s="20"/>
      <c r="Q53" s="20"/>
      <c r="R53" s="20"/>
      <c r="S53" s="21"/>
      <c r="T53" s="503"/>
      <c r="U53" s="503"/>
    </row>
    <row r="54" spans="1:21" x14ac:dyDescent="0.25">
      <c r="A54" s="132" t="s">
        <v>25</v>
      </c>
      <c r="B54" s="529"/>
      <c r="C54" s="20"/>
      <c r="D54" s="20"/>
      <c r="E54" s="20"/>
      <c r="F54" s="20"/>
      <c r="G54" s="21"/>
      <c r="H54" s="133">
        <v>0.15189873417721519</v>
      </c>
      <c r="I54" s="136">
        <v>576</v>
      </c>
      <c r="J54" s="137">
        <v>20</v>
      </c>
      <c r="K54" s="20">
        <f t="shared" si="18"/>
        <v>17.498734177215191</v>
      </c>
      <c r="L54" s="136">
        <v>4.2154450632911393</v>
      </c>
      <c r="M54" s="21">
        <f t="shared" si="19"/>
        <v>21.714179240506329</v>
      </c>
      <c r="N54" s="19"/>
      <c r="O54" s="20"/>
      <c r="P54" s="20"/>
      <c r="Q54" s="20"/>
      <c r="R54" s="20"/>
      <c r="S54" s="21"/>
      <c r="T54" s="503"/>
      <c r="U54" s="503"/>
    </row>
    <row r="55" spans="1:21" x14ac:dyDescent="0.25">
      <c r="A55" s="132" t="s">
        <v>25</v>
      </c>
      <c r="B55" s="529"/>
      <c r="C55" s="20"/>
      <c r="D55" s="20"/>
      <c r="E55" s="20"/>
      <c r="F55" s="20"/>
      <c r="G55" s="21"/>
      <c r="H55" s="133">
        <v>7.5949367088607597E-2</v>
      </c>
      <c r="I55" s="136">
        <v>576</v>
      </c>
      <c r="J55" s="137">
        <v>20</v>
      </c>
      <c r="K55" s="20">
        <f t="shared" si="18"/>
        <v>8.7493670886075954</v>
      </c>
      <c r="L55" s="136">
        <v>2.1077225316455697</v>
      </c>
      <c r="M55" s="21">
        <f t="shared" si="19"/>
        <v>10.857089620253165</v>
      </c>
      <c r="N55" s="19"/>
      <c r="O55" s="20"/>
      <c r="P55" s="20"/>
      <c r="Q55" s="20"/>
      <c r="R55" s="20"/>
      <c r="S55" s="21"/>
      <c r="T55" s="503"/>
      <c r="U55" s="503"/>
    </row>
    <row r="56" spans="1:21" x14ac:dyDescent="0.25">
      <c r="A56" s="132" t="s">
        <v>25</v>
      </c>
      <c r="B56" s="529"/>
      <c r="C56" s="20"/>
      <c r="D56" s="20"/>
      <c r="E56" s="20"/>
      <c r="F56" s="20"/>
      <c r="G56" s="21"/>
      <c r="H56" s="133">
        <v>0.11392405063291139</v>
      </c>
      <c r="I56" s="136">
        <v>576</v>
      </c>
      <c r="J56" s="137">
        <v>20</v>
      </c>
      <c r="K56" s="20">
        <f t="shared" si="18"/>
        <v>13.124050632911391</v>
      </c>
      <c r="L56" s="136">
        <v>3.1615837974683543</v>
      </c>
      <c r="M56" s="21">
        <f t="shared" si="19"/>
        <v>16.285634430379744</v>
      </c>
      <c r="N56" s="19"/>
      <c r="O56" s="20"/>
      <c r="P56" s="20"/>
      <c r="Q56" s="20"/>
      <c r="R56" s="20"/>
      <c r="S56" s="21"/>
      <c r="T56" s="503"/>
      <c r="U56" s="503"/>
    </row>
    <row r="57" spans="1:21" x14ac:dyDescent="0.25">
      <c r="A57" s="132" t="s">
        <v>25</v>
      </c>
      <c r="B57" s="529"/>
      <c r="C57" s="20"/>
      <c r="D57" s="20"/>
      <c r="E57" s="20"/>
      <c r="F57" s="20"/>
      <c r="G57" s="21"/>
      <c r="H57" s="133">
        <v>7.5949367088607597E-2</v>
      </c>
      <c r="I57" s="136">
        <v>576</v>
      </c>
      <c r="J57" s="137">
        <v>20</v>
      </c>
      <c r="K57" s="20">
        <f t="shared" si="18"/>
        <v>8.7493670886075954</v>
      </c>
      <c r="L57" s="136">
        <v>2.1077225316455697</v>
      </c>
      <c r="M57" s="21">
        <f t="shared" si="19"/>
        <v>10.857089620253165</v>
      </c>
      <c r="N57" s="19"/>
      <c r="O57" s="20"/>
      <c r="P57" s="20"/>
      <c r="Q57" s="20"/>
      <c r="R57" s="20"/>
      <c r="S57" s="21"/>
      <c r="T57" s="503"/>
      <c r="U57" s="503"/>
    </row>
    <row r="58" spans="1:21" x14ac:dyDescent="0.25">
      <c r="A58" s="132" t="s">
        <v>25</v>
      </c>
      <c r="B58" s="529"/>
      <c r="C58" s="20"/>
      <c r="D58" s="20"/>
      <c r="E58" s="20"/>
      <c r="F58" s="20"/>
      <c r="G58" s="21"/>
      <c r="H58" s="133">
        <v>0.15189873417721519</v>
      </c>
      <c r="I58" s="136">
        <v>576</v>
      </c>
      <c r="J58" s="137">
        <v>20</v>
      </c>
      <c r="K58" s="20">
        <f t="shared" si="18"/>
        <v>17.498734177215191</v>
      </c>
      <c r="L58" s="136">
        <v>4.2154450632911393</v>
      </c>
      <c r="M58" s="21">
        <f t="shared" si="19"/>
        <v>21.714179240506329</v>
      </c>
      <c r="N58" s="19"/>
      <c r="O58" s="20"/>
      <c r="P58" s="20"/>
      <c r="Q58" s="20"/>
      <c r="R58" s="20"/>
      <c r="S58" s="21"/>
      <c r="T58" s="503"/>
      <c r="U58" s="503"/>
    </row>
    <row r="59" spans="1:21" x14ac:dyDescent="0.25">
      <c r="A59" s="132" t="s">
        <v>25</v>
      </c>
      <c r="B59" s="529"/>
      <c r="C59" s="20"/>
      <c r="D59" s="20"/>
      <c r="E59" s="20"/>
      <c r="F59" s="20"/>
      <c r="G59" s="21"/>
      <c r="H59" s="133">
        <v>0.15189873417721519</v>
      </c>
      <c r="I59" s="136">
        <v>576</v>
      </c>
      <c r="J59" s="137">
        <v>20</v>
      </c>
      <c r="K59" s="20">
        <f t="shared" si="18"/>
        <v>17.498734177215191</v>
      </c>
      <c r="L59" s="136">
        <v>4.2154450632911393</v>
      </c>
      <c r="M59" s="21">
        <f t="shared" si="19"/>
        <v>21.714179240506329</v>
      </c>
      <c r="N59" s="19"/>
      <c r="O59" s="20"/>
      <c r="P59" s="20"/>
      <c r="Q59" s="20"/>
      <c r="R59" s="20"/>
      <c r="S59" s="21"/>
      <c r="T59" s="503"/>
      <c r="U59" s="503"/>
    </row>
    <row r="60" spans="1:21" x14ac:dyDescent="0.25">
      <c r="A60" s="132" t="s">
        <v>25</v>
      </c>
      <c r="B60" s="529"/>
      <c r="C60" s="20"/>
      <c r="D60" s="20"/>
      <c r="E60" s="20"/>
      <c r="F60" s="20"/>
      <c r="G60" s="21"/>
      <c r="H60" s="133">
        <v>0.10126582278481013</v>
      </c>
      <c r="I60" s="136">
        <v>576</v>
      </c>
      <c r="J60" s="137">
        <v>20</v>
      </c>
      <c r="K60" s="20">
        <f t="shared" si="18"/>
        <v>11.665822784810125</v>
      </c>
      <c r="L60" s="136">
        <v>2.8102967088607596</v>
      </c>
      <c r="M60" s="21">
        <f t="shared" si="19"/>
        <v>14.476119493670884</v>
      </c>
      <c r="N60" s="19"/>
      <c r="O60" s="20"/>
      <c r="P60" s="20"/>
      <c r="Q60" s="20"/>
      <c r="R60" s="20"/>
      <c r="S60" s="21"/>
      <c r="T60" s="503"/>
      <c r="U60" s="503"/>
    </row>
    <row r="61" spans="1:21" x14ac:dyDescent="0.25">
      <c r="A61" s="132" t="s">
        <v>25</v>
      </c>
      <c r="B61" s="529"/>
      <c r="C61" s="20"/>
      <c r="D61" s="20"/>
      <c r="E61" s="20"/>
      <c r="F61" s="20"/>
      <c r="G61" s="21"/>
      <c r="H61" s="133">
        <v>1.2658227848101266E-2</v>
      </c>
      <c r="I61" s="136">
        <v>576</v>
      </c>
      <c r="J61" s="137">
        <v>20</v>
      </c>
      <c r="K61" s="20">
        <f t="shared" si="18"/>
        <v>1.4582278481012656</v>
      </c>
      <c r="L61" s="136">
        <v>0.35128708860759494</v>
      </c>
      <c r="M61" s="21">
        <f t="shared" si="19"/>
        <v>1.8095149367088605</v>
      </c>
      <c r="N61" s="19"/>
      <c r="O61" s="20"/>
      <c r="P61" s="20"/>
      <c r="Q61" s="20"/>
      <c r="R61" s="20"/>
      <c r="S61" s="21"/>
      <c r="T61" s="503"/>
      <c r="U61" s="503"/>
    </row>
    <row r="62" spans="1:21" x14ac:dyDescent="0.25">
      <c r="A62" s="132" t="s">
        <v>25</v>
      </c>
      <c r="B62" s="529"/>
      <c r="C62" s="20"/>
      <c r="D62" s="20"/>
      <c r="E62" s="20"/>
      <c r="F62" s="20"/>
      <c r="G62" s="21"/>
      <c r="H62" s="133">
        <v>0.12658227848101267</v>
      </c>
      <c r="I62" s="136">
        <v>576</v>
      </c>
      <c r="J62" s="137">
        <v>20</v>
      </c>
      <c r="K62" s="20">
        <f t="shared" si="18"/>
        <v>14.582278481012658</v>
      </c>
      <c r="L62" s="136">
        <v>3.5128708860759499</v>
      </c>
      <c r="M62" s="21">
        <f t="shared" si="19"/>
        <v>18.095149367088609</v>
      </c>
      <c r="N62" s="19"/>
      <c r="O62" s="20"/>
      <c r="P62" s="20"/>
      <c r="Q62" s="20"/>
      <c r="R62" s="20"/>
      <c r="S62" s="21"/>
      <c r="T62" s="503"/>
      <c r="U62" s="503"/>
    </row>
    <row r="63" spans="1:21" x14ac:dyDescent="0.25">
      <c r="A63" s="132" t="s">
        <v>19</v>
      </c>
      <c r="B63" s="529"/>
      <c r="C63" s="20"/>
      <c r="D63" s="20"/>
      <c r="E63" s="20"/>
      <c r="F63" s="20"/>
      <c r="G63" s="21"/>
      <c r="H63" s="133">
        <v>5.0632911392405063E-2</v>
      </c>
      <c r="I63" s="136">
        <v>500</v>
      </c>
      <c r="J63" s="137">
        <v>20</v>
      </c>
      <c r="K63" s="20">
        <f t="shared" si="18"/>
        <v>5.0632911392405058</v>
      </c>
      <c r="L63" s="136">
        <v>1.2197468354430381</v>
      </c>
      <c r="M63" s="21">
        <f t="shared" si="19"/>
        <v>6.2830379746835439</v>
      </c>
      <c r="N63" s="19"/>
      <c r="O63" s="20"/>
      <c r="P63" s="20"/>
      <c r="Q63" s="20"/>
      <c r="R63" s="20"/>
      <c r="S63" s="21"/>
      <c r="T63" s="503"/>
      <c r="U63" s="503"/>
    </row>
    <row r="64" spans="1:21" ht="36" customHeight="1" x14ac:dyDescent="0.25">
      <c r="A64" s="140" t="s">
        <v>11</v>
      </c>
      <c r="B64" s="529"/>
      <c r="C64" s="20"/>
      <c r="D64" s="20"/>
      <c r="E64" s="20"/>
      <c r="F64" s="20"/>
      <c r="G64" s="21"/>
      <c r="H64" s="19"/>
      <c r="I64" s="20"/>
      <c r="J64" s="20"/>
      <c r="K64" s="20"/>
      <c r="L64" s="20"/>
      <c r="M64" s="21"/>
      <c r="N64" s="19"/>
      <c r="O64" s="20"/>
      <c r="P64" s="20"/>
      <c r="Q64" s="20"/>
      <c r="R64" s="20"/>
      <c r="S64" s="21"/>
      <c r="T64" s="503"/>
      <c r="U64" s="503"/>
    </row>
    <row r="65" spans="1:21" x14ac:dyDescent="0.25">
      <c r="A65" s="18" t="s">
        <v>1</v>
      </c>
      <c r="B65" s="529"/>
      <c r="C65" s="20"/>
      <c r="D65" s="20"/>
      <c r="E65" s="20"/>
      <c r="F65" s="20"/>
      <c r="G65" s="21"/>
      <c r="H65" s="19"/>
      <c r="I65" s="20"/>
      <c r="J65" s="20"/>
      <c r="K65" s="20"/>
      <c r="L65" s="20"/>
      <c r="M65" s="21"/>
      <c r="N65" s="19"/>
      <c r="O65" s="20"/>
      <c r="P65" s="20"/>
      <c r="Q65" s="20"/>
      <c r="R65" s="20"/>
      <c r="S65" s="21"/>
      <c r="T65" s="503"/>
      <c r="U65" s="503"/>
    </row>
    <row r="66" spans="1:21" s="1" customFormat="1" ht="21.75" customHeight="1" thickBot="1" x14ac:dyDescent="0.3">
      <c r="A66" s="126" t="s">
        <v>82</v>
      </c>
      <c r="B66" s="532"/>
      <c r="C66" s="203"/>
      <c r="D66" s="203"/>
      <c r="E66" s="203"/>
      <c r="F66" s="203"/>
      <c r="G66" s="204"/>
      <c r="H66" s="127">
        <f t="shared" ref="H66" si="20">H69</f>
        <v>0.30379746835443039</v>
      </c>
      <c r="I66" s="127"/>
      <c r="J66" s="127"/>
      <c r="K66" s="127">
        <f>K69</f>
        <v>47.696202531645568</v>
      </c>
      <c r="L66" s="127">
        <f t="shared" ref="L66:M66" si="21">L69</f>
        <v>10.412677215189873</v>
      </c>
      <c r="M66" s="127">
        <f t="shared" si="21"/>
        <v>58.108879746835441</v>
      </c>
      <c r="N66" s="15"/>
      <c r="O66" s="16"/>
      <c r="P66" s="16"/>
      <c r="Q66" s="16"/>
      <c r="R66" s="16"/>
      <c r="S66" s="17"/>
      <c r="T66" s="503"/>
      <c r="U66" s="503"/>
    </row>
    <row r="67" spans="1:21" ht="54.75" customHeight="1" x14ac:dyDescent="0.25">
      <c r="A67" s="128" t="s">
        <v>14</v>
      </c>
      <c r="B67" s="529"/>
      <c r="C67" s="20"/>
      <c r="D67" s="20"/>
      <c r="E67" s="20"/>
      <c r="F67" s="20"/>
      <c r="G67" s="21"/>
      <c r="H67" s="129"/>
      <c r="I67" s="130"/>
      <c r="J67" s="130"/>
      <c r="K67" s="130"/>
      <c r="L67" s="130"/>
      <c r="M67" s="131"/>
      <c r="N67" s="19"/>
      <c r="O67" s="20"/>
      <c r="P67" s="20"/>
      <c r="Q67" s="20"/>
      <c r="R67" s="20"/>
      <c r="S67" s="21"/>
      <c r="T67" s="503"/>
      <c r="U67" s="503"/>
    </row>
    <row r="68" spans="1:21" ht="19.5" customHeight="1" thickBot="1" x14ac:dyDescent="0.3">
      <c r="A68" s="135" t="s">
        <v>1</v>
      </c>
      <c r="B68" s="529"/>
      <c r="C68" s="20"/>
      <c r="D68" s="20"/>
      <c r="E68" s="20"/>
      <c r="F68" s="20"/>
      <c r="G68" s="21"/>
      <c r="H68" s="19"/>
      <c r="I68" s="20"/>
      <c r="J68" s="20"/>
      <c r="K68" s="20"/>
      <c r="L68" s="20"/>
      <c r="M68" s="21"/>
      <c r="N68" s="19"/>
      <c r="O68" s="20"/>
      <c r="P68" s="20"/>
      <c r="Q68" s="20"/>
      <c r="R68" s="20"/>
      <c r="S68" s="21"/>
      <c r="T68" s="503"/>
      <c r="U68" s="503"/>
    </row>
    <row r="69" spans="1:21" ht="49.5" customHeight="1" x14ac:dyDescent="0.25">
      <c r="A69" s="128" t="s">
        <v>12</v>
      </c>
      <c r="B69" s="529"/>
      <c r="C69" s="20"/>
      <c r="D69" s="20"/>
      <c r="E69" s="20"/>
      <c r="F69" s="20"/>
      <c r="G69" s="21"/>
      <c r="H69" s="129">
        <v>0.30379746835443039</v>
      </c>
      <c r="I69" s="130"/>
      <c r="J69" s="130"/>
      <c r="K69" s="130">
        <f>SUM(K70:K71)</f>
        <v>47.696202531645568</v>
      </c>
      <c r="L69" s="130">
        <f t="shared" ref="L69:M69" si="22">SUM(L70:L71)</f>
        <v>10.412677215189873</v>
      </c>
      <c r="M69" s="130">
        <f t="shared" si="22"/>
        <v>58.108879746835441</v>
      </c>
      <c r="N69" s="19"/>
      <c r="O69" s="20"/>
      <c r="P69" s="20"/>
      <c r="Q69" s="20"/>
      <c r="R69" s="20"/>
      <c r="S69" s="21"/>
      <c r="T69" s="503"/>
      <c r="U69" s="503"/>
    </row>
    <row r="70" spans="1:21" x14ac:dyDescent="0.25">
      <c r="A70" s="132" t="s">
        <v>83</v>
      </c>
      <c r="B70" s="529"/>
      <c r="C70" s="20"/>
      <c r="D70" s="20"/>
      <c r="E70" s="20"/>
      <c r="F70" s="20"/>
      <c r="G70" s="21"/>
      <c r="H70" s="133">
        <v>5.6962025316455694E-2</v>
      </c>
      <c r="I70" s="136">
        <v>785</v>
      </c>
      <c r="J70" s="137">
        <v>20</v>
      </c>
      <c r="K70" s="20">
        <f>H70*I70*J70/100</f>
        <v>8.9430379746835449</v>
      </c>
      <c r="L70" s="136">
        <v>2.1543778481012659</v>
      </c>
      <c r="M70" s="21">
        <f t="shared" ref="M70:M71" si="23">K70+L70</f>
        <v>11.097415822784811</v>
      </c>
      <c r="N70" s="19"/>
      <c r="O70" s="20"/>
      <c r="P70" s="20"/>
      <c r="Q70" s="20"/>
      <c r="R70" s="20"/>
      <c r="S70" s="21"/>
      <c r="T70" s="503"/>
      <c r="U70" s="503"/>
    </row>
    <row r="71" spans="1:21" ht="17.25" thickBot="1" x14ac:dyDescent="0.3">
      <c r="A71" s="132" t="s">
        <v>83</v>
      </c>
      <c r="B71" s="533"/>
      <c r="C71" s="180"/>
      <c r="D71" s="180"/>
      <c r="E71" s="180"/>
      <c r="F71" s="180"/>
      <c r="G71" s="182"/>
      <c r="H71" s="133">
        <v>0.24683544303797469</v>
      </c>
      <c r="I71" s="136">
        <v>785</v>
      </c>
      <c r="J71" s="137">
        <v>20</v>
      </c>
      <c r="K71" s="20">
        <f>H71*I71*J71/100</f>
        <v>38.753164556962027</v>
      </c>
      <c r="L71" s="136">
        <v>8.2582993670886076</v>
      </c>
      <c r="M71" s="21">
        <f t="shared" si="23"/>
        <v>47.011463924050631</v>
      </c>
      <c r="N71" s="19"/>
      <c r="O71" s="20"/>
      <c r="P71" s="20"/>
      <c r="Q71" s="20"/>
      <c r="R71" s="20"/>
      <c r="S71" s="21"/>
      <c r="T71" s="503"/>
      <c r="U71" s="503"/>
    </row>
    <row r="72" spans="1:21" ht="57" customHeight="1" x14ac:dyDescent="0.25">
      <c r="A72" s="128" t="s">
        <v>13</v>
      </c>
      <c r="B72" s="533"/>
      <c r="C72" s="180"/>
      <c r="D72" s="180"/>
      <c r="E72" s="180"/>
      <c r="F72" s="180"/>
      <c r="G72" s="182"/>
      <c r="H72" s="129"/>
      <c r="I72" s="130"/>
      <c r="J72" s="130"/>
      <c r="K72" s="130"/>
      <c r="L72" s="130"/>
      <c r="M72" s="131"/>
      <c r="N72" s="19"/>
      <c r="O72" s="20"/>
      <c r="P72" s="20"/>
      <c r="Q72" s="20"/>
      <c r="R72" s="20"/>
      <c r="S72" s="21"/>
      <c r="T72" s="503"/>
      <c r="U72" s="503"/>
    </row>
    <row r="73" spans="1:21" ht="17.25" thickBot="1" x14ac:dyDescent="0.3">
      <c r="A73" s="135" t="s">
        <v>84</v>
      </c>
      <c r="B73" s="533"/>
      <c r="C73" s="180"/>
      <c r="D73" s="180"/>
      <c r="E73" s="180"/>
      <c r="F73" s="180"/>
      <c r="G73" s="182"/>
      <c r="H73" s="141"/>
      <c r="I73" s="142"/>
      <c r="J73" s="142"/>
      <c r="K73" s="142"/>
      <c r="L73" s="142"/>
      <c r="M73" s="143"/>
      <c r="N73" s="19"/>
      <c r="O73" s="20"/>
      <c r="P73" s="20"/>
      <c r="Q73" s="20"/>
      <c r="R73" s="20"/>
      <c r="S73" s="21"/>
      <c r="T73" s="503"/>
      <c r="U73" s="503"/>
    </row>
    <row r="74" spans="1:21" ht="36" customHeight="1" x14ac:dyDescent="0.25">
      <c r="A74" s="140" t="s">
        <v>11</v>
      </c>
      <c r="B74" s="529"/>
      <c r="C74" s="20"/>
      <c r="D74" s="20"/>
      <c r="E74" s="20"/>
      <c r="F74" s="20"/>
      <c r="G74" s="21"/>
      <c r="H74" s="144"/>
      <c r="I74" s="145"/>
      <c r="J74" s="145"/>
      <c r="K74" s="145"/>
      <c r="L74" s="145"/>
      <c r="M74" s="146"/>
      <c r="N74" s="19"/>
      <c r="O74" s="20"/>
      <c r="P74" s="20"/>
      <c r="Q74" s="20"/>
      <c r="R74" s="20"/>
      <c r="S74" s="21"/>
      <c r="T74" s="503"/>
      <c r="U74" s="503"/>
    </row>
    <row r="75" spans="1:21" ht="21" customHeight="1" thickBot="1" x14ac:dyDescent="0.3">
      <c r="A75" s="147" t="s">
        <v>84</v>
      </c>
      <c r="B75" s="529"/>
      <c r="C75" s="20"/>
      <c r="D75" s="20"/>
      <c r="E75" s="20"/>
      <c r="F75" s="20"/>
      <c r="G75" s="21"/>
      <c r="H75" s="144"/>
      <c r="I75" s="145"/>
      <c r="J75" s="145"/>
      <c r="K75" s="148"/>
      <c r="L75" s="148"/>
      <c r="M75" s="149"/>
      <c r="N75" s="19"/>
      <c r="O75" s="20"/>
      <c r="P75" s="20"/>
      <c r="Q75" s="20"/>
      <c r="R75" s="20"/>
      <c r="S75" s="21"/>
      <c r="T75" s="503"/>
      <c r="U75" s="503"/>
    </row>
    <row r="76" spans="1:21" s="1" customFormat="1" ht="24" customHeight="1" thickBot="1" x14ac:dyDescent="0.3">
      <c r="A76" s="150" t="s">
        <v>85</v>
      </c>
      <c r="B76" s="525">
        <f>B77+B80+B84</f>
        <v>2.4289772727272725</v>
      </c>
      <c r="C76" s="125"/>
      <c r="D76" s="125"/>
      <c r="E76" s="526">
        <f>E77+E80+E84</f>
        <v>1189.4176136363635</v>
      </c>
      <c r="F76" s="526">
        <f t="shared" ref="F76:G76" si="24">F77+F80+F84</f>
        <v>286.530703125</v>
      </c>
      <c r="G76" s="527">
        <f t="shared" si="24"/>
        <v>1475.9483167613635</v>
      </c>
      <c r="H76" s="16">
        <f>H77+H80+H84</f>
        <v>2.259493670886076</v>
      </c>
      <c r="I76" s="16"/>
      <c r="J76" s="16"/>
      <c r="K76" s="16">
        <f>K77+K80+K84</f>
        <v>361.65822784810126</v>
      </c>
      <c r="L76" s="16">
        <f t="shared" ref="L76:M76" si="25">L77+L80+L84</f>
        <v>87.123467088607597</v>
      </c>
      <c r="M76" s="17">
        <f t="shared" si="25"/>
        <v>448.78169493670885</v>
      </c>
      <c r="N76" s="15"/>
      <c r="O76" s="16"/>
      <c r="P76" s="16"/>
      <c r="Q76" s="16"/>
      <c r="R76" s="16"/>
      <c r="S76" s="17"/>
      <c r="T76" s="503"/>
      <c r="U76" s="503"/>
    </row>
    <row r="77" spans="1:21" ht="55.5" customHeight="1" x14ac:dyDescent="0.25">
      <c r="A77" s="151" t="s">
        <v>14</v>
      </c>
      <c r="B77" s="528">
        <f>SUM(B78:B79)</f>
        <v>1</v>
      </c>
      <c r="C77" s="20"/>
      <c r="D77" s="20"/>
      <c r="E77" s="513">
        <f t="shared" ref="E77:G77" si="26">SUM(E78:E79)</f>
        <v>300</v>
      </c>
      <c r="F77" s="513">
        <f t="shared" si="26"/>
        <v>72.27</v>
      </c>
      <c r="G77" s="514">
        <f t="shared" si="26"/>
        <v>372.27</v>
      </c>
      <c r="H77" s="152">
        <f t="shared" ref="H77" si="27">H78</f>
        <v>1</v>
      </c>
      <c r="I77" s="152"/>
      <c r="J77" s="152"/>
      <c r="K77" s="152">
        <f>K78</f>
        <v>180</v>
      </c>
      <c r="L77" s="152">
        <f t="shared" ref="L77:M77" si="28">L78</f>
        <v>43.362000000000002</v>
      </c>
      <c r="M77" s="152">
        <f t="shared" si="28"/>
        <v>223.36199999999999</v>
      </c>
      <c r="N77" s="19"/>
      <c r="O77" s="20"/>
      <c r="P77" s="20"/>
      <c r="Q77" s="20"/>
      <c r="R77" s="20"/>
      <c r="S77" s="21"/>
      <c r="T77" s="503"/>
      <c r="U77" s="503"/>
    </row>
    <row r="78" spans="1:21" ht="18.75" customHeight="1" thickBot="1" x14ac:dyDescent="0.3">
      <c r="A78" s="135" t="s">
        <v>86</v>
      </c>
      <c r="B78" s="529"/>
      <c r="C78" s="20"/>
      <c r="D78" s="20"/>
      <c r="E78" s="20"/>
      <c r="F78" s="20"/>
      <c r="G78" s="21"/>
      <c r="H78" s="22">
        <v>1</v>
      </c>
      <c r="I78" s="23">
        <v>1800</v>
      </c>
      <c r="J78" s="154">
        <v>10</v>
      </c>
      <c r="K78" s="20">
        <f>H78*I78*J78/100</f>
        <v>180</v>
      </c>
      <c r="L78" s="23">
        <v>43.362000000000002</v>
      </c>
      <c r="M78" s="21">
        <f>K78+L78</f>
        <v>223.36199999999999</v>
      </c>
      <c r="N78" s="19"/>
      <c r="O78" s="20"/>
      <c r="P78" s="20"/>
      <c r="Q78" s="20"/>
      <c r="R78" s="20"/>
      <c r="S78" s="21"/>
      <c r="T78" s="503"/>
      <c r="U78" s="503"/>
    </row>
    <row r="79" spans="1:21" ht="18.75" customHeight="1" thickBot="1" x14ac:dyDescent="0.3">
      <c r="A79" s="261" t="s">
        <v>80</v>
      </c>
      <c r="B79" s="529">
        <v>1</v>
      </c>
      <c r="C79" s="20">
        <v>1800</v>
      </c>
      <c r="D79" s="20">
        <v>16.7</v>
      </c>
      <c r="E79" s="20">
        <v>300</v>
      </c>
      <c r="F79" s="20">
        <v>72.27</v>
      </c>
      <c r="G79" s="21">
        <v>372.27</v>
      </c>
      <c r="H79" s="520"/>
      <c r="I79" s="148"/>
      <c r="J79" s="521"/>
      <c r="K79" s="145"/>
      <c r="L79" s="148"/>
      <c r="M79" s="522"/>
      <c r="N79" s="19"/>
      <c r="O79" s="20"/>
      <c r="P79" s="20"/>
      <c r="Q79" s="20"/>
      <c r="R79" s="20"/>
      <c r="S79" s="21"/>
      <c r="T79" s="503"/>
      <c r="U79" s="503"/>
    </row>
    <row r="80" spans="1:21" ht="49.5" customHeight="1" x14ac:dyDescent="0.25">
      <c r="A80" s="128" t="s">
        <v>12</v>
      </c>
      <c r="B80" s="528">
        <f>B81</f>
        <v>1</v>
      </c>
      <c r="C80" s="20"/>
      <c r="D80" s="20"/>
      <c r="E80" s="513">
        <f t="shared" ref="E80:H80" si="29">E81</f>
        <v>750</v>
      </c>
      <c r="F80" s="513">
        <f t="shared" si="29"/>
        <v>180.67500000000001</v>
      </c>
      <c r="G80" s="514">
        <f t="shared" si="29"/>
        <v>930.67499999999995</v>
      </c>
      <c r="H80" s="157">
        <f t="shared" si="29"/>
        <v>1</v>
      </c>
      <c r="I80" s="157"/>
      <c r="J80" s="157"/>
      <c r="K80" s="157">
        <f>K81</f>
        <v>150</v>
      </c>
      <c r="L80" s="157">
        <f t="shared" ref="L80:M80" si="30">L81</f>
        <v>36.134999999999998</v>
      </c>
      <c r="M80" s="157">
        <f t="shared" si="30"/>
        <v>186.13499999999999</v>
      </c>
      <c r="N80" s="19"/>
      <c r="O80" s="20"/>
      <c r="P80" s="20"/>
      <c r="Q80" s="20"/>
      <c r="R80" s="20"/>
      <c r="S80" s="21"/>
      <c r="T80" s="503"/>
      <c r="U80" s="503"/>
    </row>
    <row r="81" spans="1:21" ht="17.25" thickBot="1" x14ac:dyDescent="0.3">
      <c r="A81" s="135" t="s">
        <v>23</v>
      </c>
      <c r="B81" s="529">
        <v>1</v>
      </c>
      <c r="C81" s="20">
        <v>1500</v>
      </c>
      <c r="D81" s="20">
        <v>50</v>
      </c>
      <c r="E81" s="20">
        <v>750</v>
      </c>
      <c r="F81" s="20">
        <v>180.67500000000001</v>
      </c>
      <c r="G81" s="21">
        <v>930.67499999999995</v>
      </c>
      <c r="H81" s="22">
        <v>1</v>
      </c>
      <c r="I81" s="23">
        <v>1500</v>
      </c>
      <c r="J81" s="154">
        <v>10</v>
      </c>
      <c r="K81" s="23">
        <f>H81*I81*J81/100</f>
        <v>150</v>
      </c>
      <c r="L81" s="23">
        <v>36.134999999999998</v>
      </c>
      <c r="M81" s="24">
        <f>K81+L81</f>
        <v>186.13499999999999</v>
      </c>
      <c r="N81" s="19"/>
      <c r="O81" s="20"/>
      <c r="P81" s="20"/>
      <c r="Q81" s="20"/>
      <c r="R81" s="20"/>
      <c r="S81" s="21"/>
      <c r="T81" s="503"/>
      <c r="U81" s="503"/>
    </row>
    <row r="82" spans="1:21" ht="64.5" customHeight="1" x14ac:dyDescent="0.25">
      <c r="A82" s="128" t="s">
        <v>13</v>
      </c>
      <c r="B82" s="529"/>
      <c r="C82" s="20"/>
      <c r="D82" s="20"/>
      <c r="E82" s="20"/>
      <c r="F82" s="20"/>
      <c r="G82" s="21"/>
      <c r="H82" s="19"/>
      <c r="I82" s="20"/>
      <c r="J82" s="20"/>
      <c r="K82" s="145"/>
      <c r="L82" s="145"/>
      <c r="M82" s="146"/>
      <c r="N82" s="19"/>
      <c r="O82" s="20"/>
      <c r="P82" s="20"/>
      <c r="Q82" s="20"/>
      <c r="R82" s="20"/>
      <c r="S82" s="21"/>
      <c r="T82" s="503"/>
      <c r="U82" s="503"/>
    </row>
    <row r="83" spans="1:21" ht="17.25" thickBot="1" x14ac:dyDescent="0.3">
      <c r="A83" s="135" t="s">
        <v>1</v>
      </c>
      <c r="B83" s="529"/>
      <c r="C83" s="20"/>
      <c r="D83" s="20"/>
      <c r="E83" s="20"/>
      <c r="F83" s="20"/>
      <c r="G83" s="21"/>
      <c r="H83" s="19"/>
      <c r="I83" s="20"/>
      <c r="J83" s="20"/>
      <c r="K83" s="20"/>
      <c r="L83" s="20"/>
      <c r="M83" s="21"/>
      <c r="N83" s="19"/>
      <c r="O83" s="20"/>
      <c r="P83" s="20"/>
      <c r="Q83" s="20"/>
      <c r="R83" s="20"/>
      <c r="S83" s="21"/>
      <c r="T83" s="503"/>
      <c r="U83" s="503"/>
    </row>
    <row r="84" spans="1:21" ht="37.5" customHeight="1" x14ac:dyDescent="0.25">
      <c r="A84" s="128" t="s">
        <v>11</v>
      </c>
      <c r="B84" s="528">
        <f>B85</f>
        <v>0.42897727272727271</v>
      </c>
      <c r="C84" s="20"/>
      <c r="D84" s="20"/>
      <c r="E84" s="513">
        <f t="shared" ref="E84:G84" si="31">E85</f>
        <v>139.41761363636363</v>
      </c>
      <c r="F84" s="513">
        <f t="shared" si="31"/>
        <v>33.585703124999995</v>
      </c>
      <c r="G84" s="514">
        <f t="shared" si="31"/>
        <v>173.00331676136364</v>
      </c>
      <c r="H84" s="129">
        <v>0.25949367088607594</v>
      </c>
      <c r="I84" s="130"/>
      <c r="J84" s="130"/>
      <c r="K84" s="130">
        <f>K85</f>
        <v>31.658227848101269</v>
      </c>
      <c r="L84" s="130">
        <f t="shared" ref="L84:M84" si="32">L85</f>
        <v>7.6264670886075958</v>
      </c>
      <c r="M84" s="130">
        <f t="shared" si="32"/>
        <v>39.284694936708867</v>
      </c>
      <c r="N84" s="19"/>
      <c r="O84" s="20"/>
      <c r="P84" s="20"/>
      <c r="Q84" s="20"/>
      <c r="R84" s="20"/>
      <c r="S84" s="21"/>
      <c r="T84" s="503"/>
      <c r="U84" s="503"/>
    </row>
    <row r="85" spans="1:21" x14ac:dyDescent="0.25">
      <c r="A85" s="132" t="s">
        <v>87</v>
      </c>
      <c r="B85" s="529">
        <v>0.42897727272727271</v>
      </c>
      <c r="C85" s="20">
        <v>650</v>
      </c>
      <c r="D85" s="20">
        <v>50</v>
      </c>
      <c r="E85" s="20">
        <v>139.41761363636363</v>
      </c>
      <c r="F85" s="20">
        <v>33.585703124999995</v>
      </c>
      <c r="G85" s="21">
        <v>173.00331676136364</v>
      </c>
      <c r="H85" s="133">
        <v>0.25949367088607594</v>
      </c>
      <c r="I85" s="20">
        <v>610</v>
      </c>
      <c r="J85" s="134">
        <v>20</v>
      </c>
      <c r="K85" s="20">
        <f>H85*I85*J85/100</f>
        <v>31.658227848101269</v>
      </c>
      <c r="L85" s="136">
        <v>7.6264670886075958</v>
      </c>
      <c r="M85" s="21">
        <f>K85+L85</f>
        <v>39.284694936708867</v>
      </c>
      <c r="N85" s="19"/>
      <c r="O85" s="20"/>
      <c r="P85" s="20"/>
      <c r="Q85" s="20"/>
      <c r="R85" s="20"/>
      <c r="S85" s="21"/>
      <c r="T85" s="503"/>
      <c r="U85" s="503"/>
    </row>
    <row r="86" spans="1:21" ht="17.25" thickBot="1" x14ac:dyDescent="0.3">
      <c r="A86" s="135" t="s">
        <v>1</v>
      </c>
      <c r="B86" s="523"/>
      <c r="C86" s="256"/>
      <c r="D86" s="255"/>
      <c r="E86" s="256"/>
      <c r="F86" s="256"/>
      <c r="G86" s="257"/>
      <c r="H86" s="22"/>
      <c r="I86" s="23"/>
      <c r="J86" s="23"/>
      <c r="K86" s="23"/>
      <c r="L86" s="23"/>
      <c r="M86" s="24"/>
      <c r="N86" s="22"/>
      <c r="O86" s="23"/>
      <c r="P86" s="23"/>
      <c r="Q86" s="23"/>
      <c r="R86" s="23"/>
      <c r="S86" s="24"/>
    </row>
    <row r="88" spans="1:21" x14ac:dyDescent="0.25"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91" spans="1:21" ht="18" customHeight="1" x14ac:dyDescent="0.25"/>
  </sheetData>
  <mergeCells count="5">
    <mergeCell ref="A2:S2"/>
    <mergeCell ref="A6:A7"/>
    <mergeCell ref="H6:M6"/>
    <mergeCell ref="N6:S6"/>
    <mergeCell ref="B6:G6"/>
  </mergeCells>
  <pageMargins left="0.31496062992125984" right="0.31496062992125984" top="0.55118110236220474" bottom="0.35433070866141736" header="0.31496062992125984" footer="0.31496062992125984"/>
  <pageSetup paperSize="9" scale="5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U40"/>
  <sheetViews>
    <sheetView zoomScale="55" zoomScaleNormal="55" zoomScaleSheetLayoutView="80" workbookViewId="0">
      <selection activeCell="AB16" sqref="AB16"/>
    </sheetView>
  </sheetViews>
  <sheetFormatPr defaultRowHeight="16.5" x14ac:dyDescent="0.25"/>
  <cols>
    <col min="1" max="1" width="42.7109375" style="2" customWidth="1"/>
    <col min="2" max="2" width="14" style="2" customWidth="1"/>
    <col min="3" max="3" width="16" style="2" customWidth="1"/>
    <col min="4" max="7" width="14" style="2" customWidth="1"/>
    <col min="8" max="8" width="13.42578125" style="2" customWidth="1"/>
    <col min="9" max="19" width="14" style="2" customWidth="1"/>
    <col min="20" max="20" width="17.5703125" style="2" customWidth="1"/>
    <col min="21" max="22" width="15.85546875" style="2" customWidth="1"/>
    <col min="23" max="16384" width="9.140625" style="2"/>
  </cols>
  <sheetData>
    <row r="2" spans="1:21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21" ht="17.25" x14ac:dyDescent="0.3">
      <c r="A4" s="2" t="s">
        <v>88</v>
      </c>
    </row>
    <row r="5" spans="1:21" ht="17.25" thickBot="1" x14ac:dyDescent="0.3"/>
    <row r="6" spans="1:21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857" t="s">
        <v>4</v>
      </c>
      <c r="I6" s="858"/>
      <c r="J6" s="858"/>
      <c r="K6" s="858"/>
      <c r="L6" s="858"/>
      <c r="M6" s="859"/>
      <c r="N6" s="857" t="s">
        <v>5</v>
      </c>
      <c r="O6" s="858"/>
      <c r="P6" s="858"/>
      <c r="Q6" s="858"/>
      <c r="R6" s="858"/>
      <c r="S6" s="859"/>
    </row>
    <row r="7" spans="1:21" ht="104.25" customHeight="1" x14ac:dyDescent="0.25">
      <c r="A7" s="907"/>
      <c r="B7" s="3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21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21" s="1" customFormat="1" ht="26.25" customHeight="1" x14ac:dyDescent="0.25">
      <c r="A9" s="10" t="s">
        <v>0</v>
      </c>
      <c r="B9" s="11"/>
      <c r="C9" s="12"/>
      <c r="D9" s="12"/>
      <c r="E9" s="12"/>
      <c r="F9" s="12"/>
      <c r="G9" s="13"/>
      <c r="H9" s="12">
        <f t="shared" ref="H9:J9" si="0">H10</f>
        <v>3</v>
      </c>
      <c r="I9" s="12">
        <f t="shared" si="0"/>
        <v>3806</v>
      </c>
      <c r="J9" s="12">
        <f t="shared" si="0"/>
        <v>60</v>
      </c>
      <c r="K9" s="12">
        <f>K10</f>
        <v>761.2</v>
      </c>
      <c r="L9" s="12">
        <f t="shared" ref="L9:M9" si="1">L10</f>
        <v>183.38</v>
      </c>
      <c r="M9" s="12">
        <f t="shared" si="1"/>
        <v>944.58</v>
      </c>
      <c r="N9" s="11"/>
      <c r="O9" s="12"/>
      <c r="P9" s="12"/>
      <c r="Q9" s="12"/>
      <c r="R9" s="12"/>
      <c r="S9" s="13"/>
    </row>
    <row r="10" spans="1:21" s="1" customFormat="1" ht="21.75" customHeight="1" x14ac:dyDescent="0.25">
      <c r="A10" s="14" t="s">
        <v>85</v>
      </c>
      <c r="B10" s="15"/>
      <c r="C10" s="16"/>
      <c r="D10" s="16"/>
      <c r="E10" s="16"/>
      <c r="F10" s="16"/>
      <c r="G10" s="17"/>
      <c r="H10" s="16">
        <f t="shared" ref="H10:J10" si="2">SUM(H11:H16)</f>
        <v>3</v>
      </c>
      <c r="I10" s="16">
        <f t="shared" si="2"/>
        <v>3806</v>
      </c>
      <c r="J10" s="16">
        <f t="shared" si="2"/>
        <v>60</v>
      </c>
      <c r="K10" s="16">
        <f>SUM(K11:K16)</f>
        <v>761.2</v>
      </c>
      <c r="L10" s="16">
        <f t="shared" ref="L10:M10" si="3">SUM(L11:L16)</f>
        <v>183.38</v>
      </c>
      <c r="M10" s="16">
        <f t="shared" si="3"/>
        <v>944.58</v>
      </c>
      <c r="N10" s="15"/>
      <c r="O10" s="16"/>
      <c r="P10" s="16"/>
      <c r="Q10" s="16"/>
      <c r="R10" s="16"/>
      <c r="S10" s="17"/>
    </row>
    <row r="11" spans="1:21" ht="56.25" customHeight="1" x14ac:dyDescent="0.25">
      <c r="A11" s="18" t="s">
        <v>14</v>
      </c>
      <c r="B11" s="19"/>
      <c r="C11" s="20"/>
      <c r="D11" s="20"/>
      <c r="E11" s="20"/>
      <c r="F11" s="20"/>
      <c r="G11" s="21"/>
      <c r="H11" s="19"/>
      <c r="I11" s="20"/>
      <c r="J11" s="20"/>
      <c r="K11" s="20"/>
      <c r="L11" s="20"/>
      <c r="M11" s="21"/>
      <c r="N11" s="19"/>
      <c r="O11" s="20"/>
      <c r="P11" s="20"/>
      <c r="Q11" s="20"/>
      <c r="R11" s="20"/>
      <c r="S11" s="21"/>
    </row>
    <row r="12" spans="1:21" ht="18.75" customHeight="1" x14ac:dyDescent="0.25">
      <c r="A12" s="18" t="s">
        <v>89</v>
      </c>
      <c r="B12" s="19"/>
      <c r="C12" s="20"/>
      <c r="D12" s="20"/>
      <c r="E12" s="20"/>
      <c r="F12" s="20"/>
      <c r="G12" s="21"/>
      <c r="H12" s="19">
        <v>1</v>
      </c>
      <c r="I12" s="20">
        <v>1650</v>
      </c>
      <c r="J12" s="20">
        <v>20</v>
      </c>
      <c r="K12" s="20">
        <f>ROUND(I12*J12/100,2)</f>
        <v>330</v>
      </c>
      <c r="L12" s="20">
        <f>ROUND(K12*0.2409,2)</f>
        <v>79.5</v>
      </c>
      <c r="M12" s="21">
        <f>K12+L12</f>
        <v>409.5</v>
      </c>
      <c r="N12" s="19"/>
      <c r="O12" s="20"/>
      <c r="P12" s="20"/>
      <c r="Q12" s="20"/>
      <c r="R12" s="20"/>
      <c r="S12" s="21"/>
      <c r="U12" s="28"/>
    </row>
    <row r="13" spans="1:21" ht="19.5" customHeight="1" x14ac:dyDescent="0.25">
      <c r="A13" s="18" t="s">
        <v>1</v>
      </c>
      <c r="B13" s="19"/>
      <c r="C13" s="20"/>
      <c r="D13" s="20"/>
      <c r="E13" s="20"/>
      <c r="F13" s="20"/>
      <c r="G13" s="21"/>
      <c r="H13" s="19"/>
      <c r="I13" s="20"/>
      <c r="J13" s="20"/>
      <c r="K13" s="20"/>
      <c r="L13" s="20"/>
      <c r="M13" s="21"/>
      <c r="N13" s="19"/>
      <c r="O13" s="20"/>
      <c r="P13" s="20"/>
      <c r="Q13" s="20"/>
      <c r="R13" s="20"/>
      <c r="S13" s="21"/>
      <c r="U13" s="28"/>
    </row>
    <row r="14" spans="1:21" ht="51.75" customHeight="1" x14ac:dyDescent="0.25">
      <c r="A14" s="18" t="s">
        <v>12</v>
      </c>
      <c r="B14" s="19"/>
      <c r="C14" s="20"/>
      <c r="D14" s="20"/>
      <c r="E14" s="20"/>
      <c r="F14" s="20"/>
      <c r="G14" s="21"/>
      <c r="H14" s="19"/>
      <c r="I14" s="20"/>
      <c r="J14" s="20"/>
      <c r="K14" s="20"/>
      <c r="L14" s="20"/>
      <c r="M14" s="21"/>
      <c r="N14" s="19"/>
      <c r="O14" s="20"/>
      <c r="P14" s="20"/>
      <c r="Q14" s="20"/>
      <c r="R14" s="20"/>
      <c r="S14" s="21"/>
      <c r="U14" s="28"/>
    </row>
    <row r="15" spans="1:21" x14ac:dyDescent="0.25">
      <c r="A15" s="18" t="s">
        <v>90</v>
      </c>
      <c r="B15" s="19"/>
      <c r="C15" s="20"/>
      <c r="D15" s="20"/>
      <c r="E15" s="20"/>
      <c r="F15" s="20"/>
      <c r="G15" s="21"/>
      <c r="H15" s="19">
        <v>1</v>
      </c>
      <c r="I15" s="20">
        <v>1111</v>
      </c>
      <c r="J15" s="20">
        <v>20</v>
      </c>
      <c r="K15" s="20">
        <f>ROUND(I15*J15/100,2)</f>
        <v>222.2</v>
      </c>
      <c r="L15" s="20">
        <f>ROUND(K15*0.2409,2)</f>
        <v>53.53</v>
      </c>
      <c r="M15" s="21">
        <f>K15+L15</f>
        <v>275.73</v>
      </c>
      <c r="N15" s="19"/>
      <c r="O15" s="20"/>
      <c r="P15" s="20"/>
      <c r="Q15" s="20"/>
      <c r="R15" s="20"/>
      <c r="S15" s="21"/>
      <c r="U15" s="28"/>
    </row>
    <row r="16" spans="1:21" x14ac:dyDescent="0.25">
      <c r="A16" s="18" t="s">
        <v>23</v>
      </c>
      <c r="B16" s="19"/>
      <c r="C16" s="20"/>
      <c r="D16" s="20"/>
      <c r="E16" s="20"/>
      <c r="F16" s="20"/>
      <c r="G16" s="21"/>
      <c r="H16" s="19">
        <v>1</v>
      </c>
      <c r="I16" s="20">
        <v>1045</v>
      </c>
      <c r="J16" s="20">
        <v>20</v>
      </c>
      <c r="K16" s="20">
        <f>ROUND(I16*J16/100,2)</f>
        <v>209</v>
      </c>
      <c r="L16" s="20">
        <f>ROUND(K16*0.2409,2)</f>
        <v>50.35</v>
      </c>
      <c r="M16" s="21">
        <f>K16+L16</f>
        <v>259.35000000000002</v>
      </c>
      <c r="N16" s="19"/>
      <c r="O16" s="20"/>
      <c r="P16" s="20"/>
      <c r="Q16" s="20"/>
      <c r="R16" s="20"/>
      <c r="S16" s="21"/>
      <c r="U16" s="28"/>
    </row>
    <row r="17" spans="1:19" ht="57" customHeight="1" x14ac:dyDescent="0.25">
      <c r="A17" s="18" t="s">
        <v>13</v>
      </c>
      <c r="B17" s="19"/>
      <c r="C17" s="20"/>
      <c r="D17" s="20"/>
      <c r="E17" s="20"/>
      <c r="F17" s="20"/>
      <c r="G17" s="21"/>
      <c r="H17" s="19"/>
      <c r="I17" s="20"/>
      <c r="J17" s="20"/>
      <c r="K17" s="20"/>
      <c r="L17" s="20"/>
      <c r="M17" s="21"/>
      <c r="N17" s="19"/>
      <c r="O17" s="20"/>
      <c r="P17" s="20"/>
      <c r="Q17" s="20"/>
      <c r="R17" s="20"/>
      <c r="S17" s="21"/>
    </row>
    <row r="18" spans="1:19" x14ac:dyDescent="0.25">
      <c r="A18" s="18" t="s">
        <v>1</v>
      </c>
      <c r="B18" s="19"/>
      <c r="C18" s="20"/>
      <c r="D18" s="20"/>
      <c r="E18" s="20"/>
      <c r="F18" s="20"/>
      <c r="G18" s="21"/>
      <c r="H18" s="19"/>
      <c r="I18" s="20"/>
      <c r="J18" s="20"/>
      <c r="K18" s="20"/>
      <c r="L18" s="20"/>
      <c r="M18" s="21"/>
      <c r="N18" s="19"/>
      <c r="O18" s="20"/>
      <c r="P18" s="20"/>
      <c r="Q18" s="20"/>
      <c r="R18" s="20"/>
      <c r="S18" s="21"/>
    </row>
    <row r="19" spans="1:19" x14ac:dyDescent="0.25">
      <c r="A19" s="18" t="s">
        <v>1</v>
      </c>
      <c r="B19" s="19"/>
      <c r="C19" s="20"/>
      <c r="D19" s="20"/>
      <c r="E19" s="20"/>
      <c r="F19" s="20"/>
      <c r="G19" s="21"/>
      <c r="H19" s="19"/>
      <c r="I19" s="20"/>
      <c r="J19" s="20"/>
      <c r="K19" s="20"/>
      <c r="L19" s="20"/>
      <c r="M19" s="21"/>
      <c r="N19" s="19"/>
      <c r="O19" s="20"/>
      <c r="P19" s="20"/>
      <c r="Q19" s="20"/>
      <c r="R19" s="20"/>
      <c r="S19" s="21"/>
    </row>
    <row r="20" spans="1:19" ht="36" customHeight="1" x14ac:dyDescent="0.25">
      <c r="A20" s="18" t="s">
        <v>11</v>
      </c>
      <c r="B20" s="19"/>
      <c r="C20" s="20"/>
      <c r="D20" s="20"/>
      <c r="E20" s="20"/>
      <c r="F20" s="20"/>
      <c r="G20" s="21"/>
      <c r="H20" s="19"/>
      <c r="I20" s="20"/>
      <c r="J20" s="20"/>
      <c r="K20" s="20"/>
      <c r="L20" s="20"/>
      <c r="M20" s="21"/>
      <c r="N20" s="19"/>
      <c r="O20" s="20"/>
      <c r="P20" s="20"/>
      <c r="Q20" s="20"/>
      <c r="R20" s="20"/>
      <c r="S20" s="21"/>
    </row>
    <row r="21" spans="1:19" x14ac:dyDescent="0.25">
      <c r="A21" s="18" t="s">
        <v>1</v>
      </c>
      <c r="B21" s="19"/>
      <c r="C21" s="20"/>
      <c r="D21" s="20"/>
      <c r="E21" s="20"/>
      <c r="F21" s="20"/>
      <c r="G21" s="21"/>
      <c r="H21" s="19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1"/>
    </row>
    <row r="22" spans="1:19" x14ac:dyDescent="0.25">
      <c r="A22" s="18" t="s">
        <v>1</v>
      </c>
      <c r="B22" s="19"/>
      <c r="C22" s="20"/>
      <c r="D22" s="20"/>
      <c r="E22" s="20"/>
      <c r="F22" s="20"/>
      <c r="G22" s="21"/>
      <c r="H22" s="19"/>
      <c r="I22" s="20"/>
      <c r="J22" s="20"/>
      <c r="K22" s="20"/>
      <c r="L22" s="20"/>
      <c r="M22" s="21"/>
      <c r="N22" s="19"/>
      <c r="O22" s="20"/>
      <c r="P22" s="20"/>
      <c r="Q22" s="20"/>
      <c r="R22" s="20"/>
      <c r="S22" s="21"/>
    </row>
    <row r="23" spans="1:19" s="1" customFormat="1" ht="24" customHeight="1" x14ac:dyDescent="0.25">
      <c r="A23" s="14" t="s">
        <v>3</v>
      </c>
      <c r="B23" s="15"/>
      <c r="C23" s="16"/>
      <c r="D23" s="16"/>
      <c r="E23" s="16"/>
      <c r="F23" s="16"/>
      <c r="G23" s="17"/>
      <c r="H23" s="15"/>
      <c r="I23" s="16"/>
      <c r="J23" s="16"/>
      <c r="K23" s="16"/>
      <c r="L23" s="16"/>
      <c r="M23" s="17"/>
      <c r="N23" s="15"/>
      <c r="O23" s="16"/>
      <c r="P23" s="16"/>
      <c r="Q23" s="16"/>
      <c r="R23" s="16"/>
      <c r="S23" s="17"/>
    </row>
    <row r="24" spans="1:19" ht="37.5" customHeight="1" x14ac:dyDescent="0.25">
      <c r="A24" s="18" t="s">
        <v>14</v>
      </c>
      <c r="B24" s="19"/>
      <c r="C24" s="20"/>
      <c r="D24" s="20"/>
      <c r="E24" s="20"/>
      <c r="F24" s="20"/>
      <c r="G24" s="21"/>
      <c r="H24" s="19"/>
      <c r="I24" s="20"/>
      <c r="J24" s="20"/>
      <c r="K24" s="20"/>
      <c r="L24" s="20"/>
      <c r="M24" s="21"/>
      <c r="N24" s="19"/>
      <c r="O24" s="20"/>
      <c r="P24" s="20"/>
      <c r="Q24" s="20"/>
      <c r="R24" s="20"/>
      <c r="S24" s="21"/>
    </row>
    <row r="25" spans="1:19" ht="18.75" customHeight="1" x14ac:dyDescent="0.25">
      <c r="A25" s="18" t="s">
        <v>1</v>
      </c>
      <c r="B25" s="19"/>
      <c r="C25" s="20"/>
      <c r="D25" s="20"/>
      <c r="E25" s="20"/>
      <c r="F25" s="20"/>
      <c r="G25" s="21"/>
      <c r="H25" s="19"/>
      <c r="I25" s="20"/>
      <c r="J25" s="20"/>
      <c r="K25" s="20"/>
      <c r="L25" s="20"/>
      <c r="M25" s="21"/>
      <c r="N25" s="19"/>
      <c r="O25" s="20"/>
      <c r="P25" s="20"/>
      <c r="Q25" s="20"/>
      <c r="R25" s="20"/>
      <c r="S25" s="21"/>
    </row>
    <row r="26" spans="1:19" ht="19.5" customHeight="1" x14ac:dyDescent="0.25">
      <c r="A26" s="18" t="s">
        <v>1</v>
      </c>
      <c r="B26" s="19"/>
      <c r="C26" s="20"/>
      <c r="D26" s="20"/>
      <c r="E26" s="20"/>
      <c r="F26" s="20"/>
      <c r="G26" s="21"/>
      <c r="H26" s="19"/>
      <c r="I26" s="20"/>
      <c r="J26" s="20"/>
      <c r="K26" s="20"/>
      <c r="L26" s="20"/>
      <c r="M26" s="21"/>
      <c r="N26" s="19"/>
      <c r="O26" s="20"/>
      <c r="P26" s="20"/>
      <c r="Q26" s="20"/>
      <c r="R26" s="20"/>
      <c r="S26" s="21"/>
    </row>
    <row r="27" spans="1:19" ht="49.5" customHeight="1" x14ac:dyDescent="0.25">
      <c r="A27" s="18" t="s">
        <v>12</v>
      </c>
      <c r="B27" s="19"/>
      <c r="C27" s="20"/>
      <c r="D27" s="20"/>
      <c r="E27" s="20"/>
      <c r="F27" s="20"/>
      <c r="G27" s="21"/>
      <c r="H27" s="19"/>
      <c r="I27" s="20"/>
      <c r="J27" s="20"/>
      <c r="K27" s="20"/>
      <c r="L27" s="20"/>
      <c r="M27" s="21"/>
      <c r="N27" s="19"/>
      <c r="O27" s="20"/>
      <c r="P27" s="20"/>
      <c r="Q27" s="20"/>
      <c r="R27" s="20"/>
      <c r="S27" s="21"/>
    </row>
    <row r="28" spans="1:19" x14ac:dyDescent="0.25">
      <c r="A28" s="18" t="s">
        <v>1</v>
      </c>
      <c r="B28" s="19"/>
      <c r="C28" s="20"/>
      <c r="D28" s="20"/>
      <c r="E28" s="20"/>
      <c r="F28" s="20"/>
      <c r="G28" s="21"/>
      <c r="H28" s="19"/>
      <c r="I28" s="20"/>
      <c r="J28" s="20"/>
      <c r="K28" s="20"/>
      <c r="L28" s="20"/>
      <c r="M28" s="21"/>
      <c r="N28" s="19"/>
      <c r="O28" s="20"/>
      <c r="P28" s="20"/>
      <c r="Q28" s="20"/>
      <c r="R28" s="20"/>
      <c r="S28" s="21"/>
    </row>
    <row r="29" spans="1:19" x14ac:dyDescent="0.25">
      <c r="A29" s="18" t="s">
        <v>1</v>
      </c>
      <c r="B29" s="19"/>
      <c r="C29" s="20"/>
      <c r="D29" s="20"/>
      <c r="E29" s="20"/>
      <c r="F29" s="20"/>
      <c r="G29" s="21"/>
      <c r="H29" s="19"/>
      <c r="I29" s="20"/>
      <c r="J29" s="20"/>
      <c r="K29" s="20"/>
      <c r="L29" s="20"/>
      <c r="M29" s="21"/>
      <c r="N29" s="19"/>
      <c r="O29" s="20"/>
      <c r="P29" s="20"/>
      <c r="Q29" s="20"/>
      <c r="R29" s="20"/>
      <c r="S29" s="21"/>
    </row>
    <row r="30" spans="1:19" ht="64.5" customHeight="1" x14ac:dyDescent="0.25">
      <c r="A30" s="18" t="s">
        <v>13</v>
      </c>
      <c r="B30" s="19"/>
      <c r="C30" s="20"/>
      <c r="D30" s="20"/>
      <c r="E30" s="20"/>
      <c r="F30" s="20"/>
      <c r="G30" s="21"/>
      <c r="H30" s="19"/>
      <c r="I30" s="20"/>
      <c r="J30" s="20"/>
      <c r="K30" s="20"/>
      <c r="L30" s="20"/>
      <c r="M30" s="21"/>
      <c r="N30" s="19"/>
      <c r="O30" s="20"/>
      <c r="P30" s="20"/>
      <c r="Q30" s="20"/>
      <c r="R30" s="20"/>
      <c r="S30" s="21"/>
    </row>
    <row r="31" spans="1:19" x14ac:dyDescent="0.25">
      <c r="A31" s="18" t="s">
        <v>1</v>
      </c>
      <c r="B31" s="19"/>
      <c r="C31" s="20"/>
      <c r="D31" s="20"/>
      <c r="E31" s="20"/>
      <c r="F31" s="20"/>
      <c r="G31" s="21"/>
      <c r="H31" s="19"/>
      <c r="I31" s="20"/>
      <c r="J31" s="20"/>
      <c r="K31" s="20"/>
      <c r="L31" s="20"/>
      <c r="M31" s="21"/>
      <c r="N31" s="19"/>
      <c r="O31" s="20"/>
      <c r="P31" s="20"/>
      <c r="Q31" s="20"/>
      <c r="R31" s="20"/>
      <c r="S31" s="21"/>
    </row>
    <row r="32" spans="1:19" x14ac:dyDescent="0.25">
      <c r="A32" s="18" t="s">
        <v>1</v>
      </c>
      <c r="B32" s="19"/>
      <c r="C32" s="20"/>
      <c r="D32" s="20"/>
      <c r="E32" s="20"/>
      <c r="F32" s="20"/>
      <c r="G32" s="21"/>
      <c r="H32" s="19"/>
      <c r="I32" s="20"/>
      <c r="J32" s="20"/>
      <c r="K32" s="20"/>
      <c r="L32" s="20"/>
      <c r="M32" s="21"/>
      <c r="N32" s="19"/>
      <c r="O32" s="20"/>
      <c r="P32" s="20"/>
      <c r="Q32" s="20"/>
      <c r="R32" s="20"/>
      <c r="S32" s="21"/>
    </row>
    <row r="33" spans="1:20" ht="37.5" customHeight="1" x14ac:dyDescent="0.25">
      <c r="A33" s="18" t="s">
        <v>11</v>
      </c>
      <c r="B33" s="19"/>
      <c r="C33" s="20"/>
      <c r="D33" s="20"/>
      <c r="E33" s="20"/>
      <c r="F33" s="20"/>
      <c r="G33" s="21"/>
      <c r="H33" s="19"/>
      <c r="I33" s="20"/>
      <c r="J33" s="20"/>
      <c r="K33" s="20"/>
      <c r="L33" s="20"/>
      <c r="M33" s="21"/>
      <c r="N33" s="19"/>
      <c r="O33" s="20"/>
      <c r="P33" s="20"/>
      <c r="Q33" s="20"/>
      <c r="R33" s="20"/>
      <c r="S33" s="21"/>
    </row>
    <row r="34" spans="1:20" x14ac:dyDescent="0.25">
      <c r="A34" s="18" t="s">
        <v>1</v>
      </c>
      <c r="B34" s="19"/>
      <c r="C34" s="20"/>
      <c r="D34" s="20"/>
      <c r="E34" s="20"/>
      <c r="F34" s="20"/>
      <c r="G34" s="21"/>
      <c r="H34" s="19"/>
      <c r="I34" s="20"/>
      <c r="J34" s="20"/>
      <c r="K34" s="20"/>
      <c r="L34" s="20"/>
      <c r="M34" s="21"/>
      <c r="N34" s="19"/>
      <c r="O34" s="20"/>
      <c r="P34" s="20"/>
      <c r="Q34" s="20"/>
      <c r="R34" s="20"/>
      <c r="S34" s="21"/>
    </row>
    <row r="35" spans="1:20" ht="17.25" thickBot="1" x14ac:dyDescent="0.3">
      <c r="A35" s="18" t="s">
        <v>1</v>
      </c>
      <c r="B35" s="22"/>
      <c r="C35" s="23"/>
      <c r="D35" s="23"/>
      <c r="E35" s="23"/>
      <c r="F35" s="23"/>
      <c r="G35" s="24"/>
      <c r="H35" s="22"/>
      <c r="I35" s="23"/>
      <c r="J35" s="23"/>
      <c r="K35" s="23"/>
      <c r="L35" s="23"/>
      <c r="M35" s="24"/>
      <c r="N35" s="22"/>
      <c r="O35" s="23"/>
      <c r="P35" s="23"/>
      <c r="Q35" s="23"/>
      <c r="R35" s="23"/>
      <c r="S35" s="24"/>
    </row>
    <row r="37" spans="1:20" ht="21" customHeight="1" x14ac:dyDescent="0.25">
      <c r="A37" s="901" t="s">
        <v>33</v>
      </c>
      <c r="B37" s="901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25"/>
      <c r="T37" s="25"/>
    </row>
    <row r="40" spans="1:20" ht="18" customHeight="1" x14ac:dyDescent="0.25">
      <c r="A40" s="159"/>
    </row>
  </sheetData>
  <mergeCells count="6">
    <mergeCell ref="A37:R37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D8D9-74A2-4B68-B090-337BFC573757}">
  <dimension ref="A2:T461"/>
  <sheetViews>
    <sheetView topLeftCell="C1" zoomScale="70" zoomScaleNormal="70" zoomScaleSheetLayoutView="55" workbookViewId="0">
      <selection activeCell="J9" sqref="J9"/>
    </sheetView>
  </sheetViews>
  <sheetFormatPr defaultRowHeight="16.5" x14ac:dyDescent="0.25"/>
  <cols>
    <col min="1" max="1" width="21.140625" style="281" customWidth="1"/>
    <col min="2" max="2" width="42.7109375" style="281" customWidth="1"/>
    <col min="3" max="3" width="23.42578125" style="281" customWidth="1"/>
    <col min="4" max="4" width="22" style="280" customWidth="1"/>
    <col min="5" max="6" width="14" style="280" customWidth="1"/>
    <col min="7" max="7" width="18.140625" style="2" customWidth="1"/>
    <col min="8" max="8" width="20.7109375" style="2" customWidth="1"/>
    <col min="9" max="9" width="14" style="2" customWidth="1"/>
    <col min="10" max="10" width="19.85546875" style="2" customWidth="1"/>
    <col min="11" max="11" width="18" style="2" customWidth="1"/>
    <col min="12" max="12" width="18.42578125" style="2" customWidth="1"/>
    <col min="13" max="13" width="17.5703125" style="2" customWidth="1"/>
    <col min="14" max="15" width="15.85546875" style="2" customWidth="1"/>
    <col min="16" max="16" width="22.7109375" style="2" customWidth="1"/>
    <col min="17" max="17" width="25.5703125" style="2" customWidth="1"/>
    <col min="18" max="18" width="19.85546875" style="2" customWidth="1"/>
    <col min="19" max="19" width="21" style="2" customWidth="1"/>
    <col min="20" max="20" width="30.140625" style="2" customWidth="1"/>
    <col min="21" max="22" width="9.140625" style="2"/>
    <col min="23" max="23" width="11.28515625" style="2" customWidth="1"/>
    <col min="24" max="25" width="9.140625" style="2"/>
    <col min="26" max="26" width="11" style="2" customWidth="1"/>
    <col min="27" max="16384" width="9.140625" style="2"/>
  </cols>
  <sheetData>
    <row r="2" spans="1:20" s="1" customFormat="1" ht="45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</row>
    <row r="4" spans="1:20" x14ac:dyDescent="0.25">
      <c r="A4" s="878" t="s">
        <v>258</v>
      </c>
      <c r="B4" s="878"/>
      <c r="C4" s="878"/>
      <c r="D4" s="878"/>
    </row>
    <row r="5" spans="1:20" ht="17.25" thickBot="1" x14ac:dyDescent="0.3"/>
    <row r="6" spans="1:20" ht="16.5" customHeight="1" x14ac:dyDescent="0.25">
      <c r="A6" s="870" t="s">
        <v>259</v>
      </c>
      <c r="B6" s="870" t="s">
        <v>260</v>
      </c>
      <c r="C6" s="872" t="s">
        <v>261</v>
      </c>
      <c r="D6" s="874" t="s">
        <v>262</v>
      </c>
      <c r="E6" s="875" t="s">
        <v>2</v>
      </c>
      <c r="F6" s="876"/>
      <c r="G6" s="876"/>
      <c r="H6" s="876"/>
      <c r="I6" s="876"/>
      <c r="J6" s="876"/>
      <c r="K6" s="876"/>
      <c r="L6" s="877"/>
      <c r="M6" s="866" t="s">
        <v>169</v>
      </c>
      <c r="N6" s="867"/>
      <c r="O6" s="867"/>
      <c r="P6" s="867"/>
      <c r="Q6" s="867"/>
      <c r="R6" s="867"/>
      <c r="S6" s="867"/>
      <c r="T6" s="868"/>
    </row>
    <row r="7" spans="1:20" s="1" customFormat="1" ht="142.5" customHeight="1" x14ac:dyDescent="0.25">
      <c r="A7" s="871"/>
      <c r="B7" s="871"/>
      <c r="C7" s="873"/>
      <c r="D7" s="874"/>
      <c r="E7" s="549" t="s">
        <v>263</v>
      </c>
      <c r="F7" s="550" t="s">
        <v>920</v>
      </c>
      <c r="G7" s="551" t="s">
        <v>265</v>
      </c>
      <c r="H7" s="552" t="s">
        <v>266</v>
      </c>
      <c r="I7" s="552" t="s">
        <v>6</v>
      </c>
      <c r="J7" s="552" t="s">
        <v>7</v>
      </c>
      <c r="K7" s="552" t="s">
        <v>8</v>
      </c>
      <c r="L7" s="553" t="s">
        <v>9</v>
      </c>
      <c r="M7" s="554" t="s">
        <v>263</v>
      </c>
      <c r="N7" s="555" t="s">
        <v>264</v>
      </c>
      <c r="O7" s="556" t="s">
        <v>265</v>
      </c>
      <c r="P7" s="557" t="s">
        <v>266</v>
      </c>
      <c r="Q7" s="557" t="s">
        <v>6</v>
      </c>
      <c r="R7" s="557" t="s">
        <v>7</v>
      </c>
      <c r="S7" s="557" t="s">
        <v>8</v>
      </c>
      <c r="T7" s="558" t="s">
        <v>9</v>
      </c>
    </row>
    <row r="8" spans="1:20" ht="17.25" thickBot="1" x14ac:dyDescent="0.3">
      <c r="A8" s="282"/>
      <c r="B8" s="283"/>
      <c r="C8" s="283"/>
      <c r="D8" s="284"/>
      <c r="E8" s="285"/>
      <c r="F8" s="286"/>
      <c r="G8" s="286"/>
      <c r="H8" s="287"/>
      <c r="I8" s="287"/>
      <c r="J8" s="287"/>
      <c r="K8" s="287"/>
      <c r="L8" s="504"/>
      <c r="M8" s="285"/>
      <c r="N8" s="286"/>
      <c r="O8" s="286"/>
      <c r="P8" s="287"/>
      <c r="Q8" s="287"/>
      <c r="R8" s="287"/>
      <c r="S8" s="287"/>
      <c r="T8" s="504"/>
    </row>
    <row r="9" spans="1:20" s="292" customFormat="1" ht="21" thickBot="1" x14ac:dyDescent="0.35">
      <c r="A9" s="288"/>
      <c r="B9" s="289"/>
      <c r="C9" s="290" t="s">
        <v>0</v>
      </c>
      <c r="D9" s="291"/>
      <c r="E9" s="559">
        <f>E62+E65+E74+E79+E82+E87+E97+E110+E113+E116+E119+E123+E136+E138+E142+E145+E148+E184+E187+E343+E392+E399+E415+E426+E448+E454</f>
        <v>4086.5</v>
      </c>
      <c r="F9" s="559">
        <f>F62+F65+F74+F79+F82+F87+F97+F110+F113+F116+F119+F123+F136+F138+F142+F145+F148+F184+F187+F343+F392+F399+F415+F426+F448+F454</f>
        <v>23.218749999999993</v>
      </c>
      <c r="G9" s="560"/>
      <c r="H9" s="561"/>
      <c r="I9" s="561"/>
      <c r="J9" s="559">
        <f>J62+J65+J74+J79+J82+J87+J97+J110+J113+J116+J119+J123+J136+J138+J142+J145+J148+J184+J187+J343+J392+J399+J415+J426+J448+J454</f>
        <v>11577.79</v>
      </c>
      <c r="K9" s="559">
        <f>K62+K65+K74+K79+K82+K87+K97+K110+K113+K116+K119+K123+K136+K138+K142+K145+K148+K184+K187+K343+K392+K399+K415+K426+K448+K454</f>
        <v>2789.0800000000004</v>
      </c>
      <c r="L9" s="562">
        <f>L62+L65+L74+L79+L82+L87+L97+L110+L113+L116+L119+L123+L136+L138+L142+L145+L148+L184+L187+L343+L392+L399+L415+L426+L448+L454</f>
        <v>14366.869999999999</v>
      </c>
      <c r="M9" s="559">
        <f>M62+M65+M74+M79+M82+M87+M97+M110+M113+M116+M119+M123+M136+M138+M142+M145+M148+M184+M187+M343+M392+M399+M415+M426+M448+M454</f>
        <v>7125.5</v>
      </c>
      <c r="N9" s="559">
        <f>N62+N65+N74+N79+N82+N87+N97+N110+N113+N116+N119+N123+N136+N138+N142+N145+N148+N184+N187+N343+N392+N399+N415+N426+N448+N454</f>
        <v>45.098101265822784</v>
      </c>
      <c r="O9" s="560"/>
      <c r="P9" s="561"/>
      <c r="Q9" s="561"/>
      <c r="R9" s="559">
        <f>R62+R65+R74+R79+R82+R87+R97+R110+R113+R116+R119+R123+R136+R138+R142+R145+R148+R184+R187+R343+R392+R399+R415+R426+R448+R454</f>
        <v>10649.67</v>
      </c>
      <c r="S9" s="559">
        <f>S62+S65+S74+S79+S82+S87+S97+S110+S113+S116+S119+S123+S136+S138+S142+S145+S148+S184+S187+S343+S392+S399+S415+S426+S448+S454</f>
        <v>2565.5000000000005</v>
      </c>
      <c r="T9" s="562">
        <f>T62+T65+T74+T79+T82+T87+T97+T110+T113+T116+T119+T123+T136+T138+T142+T145+T148+T184+T187+T343+T392+T399+T415+T426+T448+T454</f>
        <v>13215.17</v>
      </c>
    </row>
    <row r="10" spans="1:20" ht="45" x14ac:dyDescent="0.25">
      <c r="A10" s="563" t="s">
        <v>267</v>
      </c>
      <c r="B10" s="563" t="s">
        <v>268</v>
      </c>
      <c r="C10" s="563" t="s">
        <v>269</v>
      </c>
      <c r="D10" s="564" t="s">
        <v>270</v>
      </c>
      <c r="E10" s="565"/>
      <c r="F10" s="566"/>
      <c r="G10" s="505" t="s">
        <v>271</v>
      </c>
      <c r="H10" s="566">
        <v>5.63</v>
      </c>
      <c r="I10" s="566"/>
      <c r="J10" s="567"/>
      <c r="K10" s="567">
        <f>ROUND(J10*0.2409,2)</f>
        <v>0</v>
      </c>
      <c r="L10" s="568">
        <f>K10+J10</f>
        <v>0</v>
      </c>
      <c r="M10" s="565">
        <v>32</v>
      </c>
      <c r="N10" s="567">
        <f>M10/158</f>
        <v>0.20253164556962025</v>
      </c>
      <c r="O10" s="569" t="s">
        <v>271</v>
      </c>
      <c r="P10" s="566">
        <v>5.63</v>
      </c>
      <c r="Q10" s="566" t="s">
        <v>272</v>
      </c>
      <c r="R10" s="570">
        <v>36.03</v>
      </c>
      <c r="S10" s="567">
        <f>ROUND(R10*0.2409,2)</f>
        <v>8.68</v>
      </c>
      <c r="T10" s="568">
        <f>S10+R10</f>
        <v>44.71</v>
      </c>
    </row>
    <row r="11" spans="1:20" ht="45" x14ac:dyDescent="0.25">
      <c r="A11" s="563" t="s">
        <v>267</v>
      </c>
      <c r="B11" s="563" t="s">
        <v>268</v>
      </c>
      <c r="C11" s="563" t="s">
        <v>269</v>
      </c>
      <c r="D11" s="564" t="s">
        <v>270</v>
      </c>
      <c r="E11" s="439">
        <v>24</v>
      </c>
      <c r="F11" s="495">
        <f>E11/176</f>
        <v>0.13636363636363635</v>
      </c>
      <c r="G11" s="505" t="s">
        <v>271</v>
      </c>
      <c r="H11" s="509">
        <v>5.63</v>
      </c>
      <c r="I11" s="509" t="s">
        <v>949</v>
      </c>
      <c r="J11" s="509">
        <v>67.56</v>
      </c>
      <c r="K11" s="495">
        <f t="shared" ref="K11:K74" si="0">ROUND(J11*0.2409,2)</f>
        <v>16.28</v>
      </c>
      <c r="L11" s="571">
        <f t="shared" ref="L11:L74" si="1">K11+J11</f>
        <v>83.84</v>
      </c>
      <c r="M11" s="439"/>
      <c r="N11" s="563"/>
      <c r="O11" s="505" t="s">
        <v>271</v>
      </c>
      <c r="P11" s="509">
        <v>5.63</v>
      </c>
      <c r="Q11" s="509"/>
      <c r="R11" s="572"/>
      <c r="S11" s="495">
        <f t="shared" ref="S11:S74" si="2">ROUND(R11*0.2409,2)</f>
        <v>0</v>
      </c>
      <c r="T11" s="571">
        <f t="shared" ref="T11:T74" si="3">S11+R11</f>
        <v>0</v>
      </c>
    </row>
    <row r="12" spans="1:20" ht="45" x14ac:dyDescent="0.25">
      <c r="A12" s="563" t="s">
        <v>267</v>
      </c>
      <c r="B12" s="563" t="s">
        <v>268</v>
      </c>
      <c r="C12" s="563" t="s">
        <v>269</v>
      </c>
      <c r="D12" s="564" t="s">
        <v>273</v>
      </c>
      <c r="E12" s="439"/>
      <c r="F12" s="509"/>
      <c r="G12" s="505" t="s">
        <v>271</v>
      </c>
      <c r="H12" s="509">
        <v>5.36</v>
      </c>
      <c r="I12" s="509"/>
      <c r="J12" s="509"/>
      <c r="K12" s="495">
        <f t="shared" si="0"/>
        <v>0</v>
      </c>
      <c r="L12" s="571">
        <f t="shared" si="1"/>
        <v>0</v>
      </c>
      <c r="M12" s="439">
        <v>96</v>
      </c>
      <c r="N12" s="495">
        <f>M12/158</f>
        <v>0.60759493670886078</v>
      </c>
      <c r="O12" s="505" t="s">
        <v>271</v>
      </c>
      <c r="P12" s="509">
        <v>5.36</v>
      </c>
      <c r="Q12" s="509" t="s">
        <v>272</v>
      </c>
      <c r="R12" s="572">
        <v>102.91</v>
      </c>
      <c r="S12" s="495">
        <f t="shared" si="2"/>
        <v>24.79</v>
      </c>
      <c r="T12" s="571">
        <f t="shared" si="3"/>
        <v>127.69999999999999</v>
      </c>
    </row>
    <row r="13" spans="1:20" ht="45" x14ac:dyDescent="0.25">
      <c r="A13" s="573" t="s">
        <v>267</v>
      </c>
      <c r="B13" s="573" t="s">
        <v>268</v>
      </c>
      <c r="C13" s="573" t="s">
        <v>269</v>
      </c>
      <c r="D13" s="564" t="s">
        <v>273</v>
      </c>
      <c r="E13" s="439">
        <v>48</v>
      </c>
      <c r="F13" s="495">
        <f>E13/176</f>
        <v>0.27272727272727271</v>
      </c>
      <c r="G13" s="505" t="s">
        <v>271</v>
      </c>
      <c r="H13" s="509">
        <v>5.36</v>
      </c>
      <c r="I13" s="509" t="s">
        <v>949</v>
      </c>
      <c r="J13" s="509">
        <v>128.63999999999999</v>
      </c>
      <c r="K13" s="495">
        <f t="shared" si="0"/>
        <v>30.99</v>
      </c>
      <c r="L13" s="571">
        <f t="shared" si="1"/>
        <v>159.63</v>
      </c>
      <c r="M13" s="439"/>
      <c r="N13" s="563"/>
      <c r="O13" s="505" t="s">
        <v>271</v>
      </c>
      <c r="P13" s="509">
        <v>5.36</v>
      </c>
      <c r="Q13" s="509"/>
      <c r="R13" s="572"/>
      <c r="S13" s="495">
        <f t="shared" si="2"/>
        <v>0</v>
      </c>
      <c r="T13" s="571">
        <f t="shared" si="3"/>
        <v>0</v>
      </c>
    </row>
    <row r="14" spans="1:20" ht="45" x14ac:dyDescent="0.25">
      <c r="A14" s="573" t="s">
        <v>267</v>
      </c>
      <c r="B14" s="573" t="s">
        <v>268</v>
      </c>
      <c r="C14" s="573" t="s">
        <v>269</v>
      </c>
      <c r="D14" s="564" t="s">
        <v>274</v>
      </c>
      <c r="E14" s="439"/>
      <c r="F14" s="509"/>
      <c r="G14" s="505" t="s">
        <v>271</v>
      </c>
      <c r="H14" s="509">
        <v>5.36</v>
      </c>
      <c r="I14" s="509"/>
      <c r="J14" s="509"/>
      <c r="K14" s="495">
        <f t="shared" si="0"/>
        <v>0</v>
      </c>
      <c r="L14" s="571">
        <f t="shared" si="1"/>
        <v>0</v>
      </c>
      <c r="M14" s="439">
        <v>48</v>
      </c>
      <c r="N14" s="495">
        <f>M14/158</f>
        <v>0.30379746835443039</v>
      </c>
      <c r="O14" s="505" t="s">
        <v>271</v>
      </c>
      <c r="P14" s="509">
        <v>5.36</v>
      </c>
      <c r="Q14" s="509" t="s">
        <v>272</v>
      </c>
      <c r="R14" s="572">
        <v>51.46</v>
      </c>
      <c r="S14" s="495">
        <f t="shared" si="2"/>
        <v>12.4</v>
      </c>
      <c r="T14" s="571">
        <f t="shared" si="3"/>
        <v>63.86</v>
      </c>
    </row>
    <row r="15" spans="1:20" ht="45" x14ac:dyDescent="0.25">
      <c r="A15" s="573" t="s">
        <v>267</v>
      </c>
      <c r="B15" s="573" t="s">
        <v>268</v>
      </c>
      <c r="C15" s="573" t="s">
        <v>269</v>
      </c>
      <c r="D15" s="564" t="s">
        <v>274</v>
      </c>
      <c r="E15" s="439">
        <v>72</v>
      </c>
      <c r="F15" s="495">
        <f>E15/176</f>
        <v>0.40909090909090912</v>
      </c>
      <c r="G15" s="505" t="s">
        <v>271</v>
      </c>
      <c r="H15" s="509">
        <v>5.36</v>
      </c>
      <c r="I15" s="509" t="s">
        <v>949</v>
      </c>
      <c r="J15" s="509">
        <v>192.96</v>
      </c>
      <c r="K15" s="495">
        <f t="shared" si="0"/>
        <v>46.48</v>
      </c>
      <c r="L15" s="571">
        <f t="shared" si="1"/>
        <v>239.44</v>
      </c>
      <c r="M15" s="439"/>
      <c r="N15" s="563"/>
      <c r="O15" s="505" t="s">
        <v>271</v>
      </c>
      <c r="P15" s="509">
        <v>5.36</v>
      </c>
      <c r="Q15" s="509"/>
      <c r="R15" s="572"/>
      <c r="S15" s="495">
        <f t="shared" si="2"/>
        <v>0</v>
      </c>
      <c r="T15" s="571">
        <f t="shared" si="3"/>
        <v>0</v>
      </c>
    </row>
    <row r="16" spans="1:20" ht="45" x14ac:dyDescent="0.25">
      <c r="A16" s="573" t="s">
        <v>267</v>
      </c>
      <c r="B16" s="573" t="s">
        <v>268</v>
      </c>
      <c r="C16" s="573" t="s">
        <v>269</v>
      </c>
      <c r="D16" s="564" t="s">
        <v>275</v>
      </c>
      <c r="E16" s="439"/>
      <c r="F16" s="509"/>
      <c r="G16" s="505" t="s">
        <v>271</v>
      </c>
      <c r="H16" s="509">
        <v>5.63</v>
      </c>
      <c r="I16" s="509"/>
      <c r="J16" s="509"/>
      <c r="K16" s="495">
        <f t="shared" si="0"/>
        <v>0</v>
      </c>
      <c r="L16" s="571">
        <f t="shared" si="1"/>
        <v>0</v>
      </c>
      <c r="M16" s="439">
        <v>48</v>
      </c>
      <c r="N16" s="495">
        <f>M16/158</f>
        <v>0.30379746835443039</v>
      </c>
      <c r="O16" s="505" t="s">
        <v>271</v>
      </c>
      <c r="P16" s="509">
        <v>5.63</v>
      </c>
      <c r="Q16" s="509" t="s">
        <v>272</v>
      </c>
      <c r="R16" s="572">
        <v>54.05</v>
      </c>
      <c r="S16" s="495">
        <f t="shared" si="2"/>
        <v>13.02</v>
      </c>
      <c r="T16" s="571">
        <f t="shared" si="3"/>
        <v>67.069999999999993</v>
      </c>
    </row>
    <row r="17" spans="1:20" ht="45" x14ac:dyDescent="0.25">
      <c r="A17" s="573" t="s">
        <v>267</v>
      </c>
      <c r="B17" s="573" t="s">
        <v>268</v>
      </c>
      <c r="C17" s="573" t="s">
        <v>269</v>
      </c>
      <c r="D17" s="564" t="s">
        <v>275</v>
      </c>
      <c r="E17" s="439">
        <v>48</v>
      </c>
      <c r="F17" s="495">
        <f>E17/176</f>
        <v>0.27272727272727271</v>
      </c>
      <c r="G17" s="505" t="s">
        <v>271</v>
      </c>
      <c r="H17" s="509">
        <v>5.63</v>
      </c>
      <c r="I17" s="509" t="s">
        <v>949</v>
      </c>
      <c r="J17" s="509">
        <v>135.12</v>
      </c>
      <c r="K17" s="495">
        <f t="shared" si="0"/>
        <v>32.549999999999997</v>
      </c>
      <c r="L17" s="571">
        <f t="shared" si="1"/>
        <v>167.67000000000002</v>
      </c>
      <c r="M17" s="439"/>
      <c r="N17" s="563"/>
      <c r="O17" s="505" t="s">
        <v>271</v>
      </c>
      <c r="P17" s="509">
        <v>5.63</v>
      </c>
      <c r="Q17" s="509"/>
      <c r="R17" s="572"/>
      <c r="S17" s="495">
        <f t="shared" si="2"/>
        <v>0</v>
      </c>
      <c r="T17" s="571">
        <f t="shared" si="3"/>
        <v>0</v>
      </c>
    </row>
    <row r="18" spans="1:20" ht="45" x14ac:dyDescent="0.25">
      <c r="A18" s="573" t="s">
        <v>267</v>
      </c>
      <c r="B18" s="573" t="s">
        <v>268</v>
      </c>
      <c r="C18" s="573" t="s">
        <v>269</v>
      </c>
      <c r="D18" s="564" t="s">
        <v>276</v>
      </c>
      <c r="E18" s="439"/>
      <c r="F18" s="509"/>
      <c r="G18" s="505" t="s">
        <v>271</v>
      </c>
      <c r="H18" s="509">
        <v>5.63</v>
      </c>
      <c r="I18" s="509"/>
      <c r="J18" s="509"/>
      <c r="K18" s="495">
        <f t="shared" si="0"/>
        <v>0</v>
      </c>
      <c r="L18" s="571">
        <f t="shared" si="1"/>
        <v>0</v>
      </c>
      <c r="M18" s="439">
        <v>52</v>
      </c>
      <c r="N18" s="495">
        <f>M18/158</f>
        <v>0.32911392405063289</v>
      </c>
      <c r="O18" s="505" t="s">
        <v>271</v>
      </c>
      <c r="P18" s="509">
        <v>5.63</v>
      </c>
      <c r="Q18" s="509" t="s">
        <v>272</v>
      </c>
      <c r="R18" s="572">
        <v>58.55</v>
      </c>
      <c r="S18" s="495">
        <f t="shared" si="2"/>
        <v>14.1</v>
      </c>
      <c r="T18" s="571">
        <f t="shared" si="3"/>
        <v>72.649999999999991</v>
      </c>
    </row>
    <row r="19" spans="1:20" ht="45" x14ac:dyDescent="0.25">
      <c r="A19" s="573" t="s">
        <v>267</v>
      </c>
      <c r="B19" s="573" t="s">
        <v>268</v>
      </c>
      <c r="C19" s="573" t="s">
        <v>269</v>
      </c>
      <c r="D19" s="564" t="s">
        <v>276</v>
      </c>
      <c r="E19" s="439">
        <v>36</v>
      </c>
      <c r="F19" s="495">
        <f>E19/176</f>
        <v>0.20454545454545456</v>
      </c>
      <c r="G19" s="505" t="s">
        <v>271</v>
      </c>
      <c r="H19" s="509">
        <v>5.63</v>
      </c>
      <c r="I19" s="509" t="s">
        <v>949</v>
      </c>
      <c r="J19" s="509">
        <v>101.34</v>
      </c>
      <c r="K19" s="495">
        <f t="shared" si="0"/>
        <v>24.41</v>
      </c>
      <c r="L19" s="571">
        <f t="shared" si="1"/>
        <v>125.75</v>
      </c>
      <c r="M19" s="439"/>
      <c r="N19" s="563"/>
      <c r="O19" s="505" t="s">
        <v>271</v>
      </c>
      <c r="P19" s="509">
        <v>5.63</v>
      </c>
      <c r="Q19" s="509"/>
      <c r="R19" s="572"/>
      <c r="S19" s="495">
        <f t="shared" si="2"/>
        <v>0</v>
      </c>
      <c r="T19" s="571">
        <f t="shared" si="3"/>
        <v>0</v>
      </c>
    </row>
    <row r="20" spans="1:20" ht="45" x14ac:dyDescent="0.25">
      <c r="A20" s="573" t="s">
        <v>267</v>
      </c>
      <c r="B20" s="573" t="s">
        <v>268</v>
      </c>
      <c r="C20" s="573" t="s">
        <v>269</v>
      </c>
      <c r="D20" s="564" t="s">
        <v>277</v>
      </c>
      <c r="E20" s="439"/>
      <c r="F20" s="509"/>
      <c r="G20" s="505" t="s">
        <v>271</v>
      </c>
      <c r="H20" s="509">
        <v>5.63</v>
      </c>
      <c r="I20" s="509"/>
      <c r="J20" s="509"/>
      <c r="K20" s="495">
        <f t="shared" si="0"/>
        <v>0</v>
      </c>
      <c r="L20" s="571">
        <f t="shared" si="1"/>
        <v>0</v>
      </c>
      <c r="M20" s="439">
        <v>24</v>
      </c>
      <c r="N20" s="495">
        <f>M20/158</f>
        <v>0.15189873417721519</v>
      </c>
      <c r="O20" s="505" t="s">
        <v>271</v>
      </c>
      <c r="P20" s="509">
        <v>5.63</v>
      </c>
      <c r="Q20" s="509" t="s">
        <v>272</v>
      </c>
      <c r="R20" s="572">
        <v>27.02</v>
      </c>
      <c r="S20" s="495">
        <f t="shared" si="2"/>
        <v>6.51</v>
      </c>
      <c r="T20" s="571">
        <f t="shared" si="3"/>
        <v>33.53</v>
      </c>
    </row>
    <row r="21" spans="1:20" ht="45" x14ac:dyDescent="0.25">
      <c r="A21" s="573" t="s">
        <v>267</v>
      </c>
      <c r="B21" s="573" t="s">
        <v>268</v>
      </c>
      <c r="C21" s="573" t="s">
        <v>269</v>
      </c>
      <c r="D21" s="564" t="s">
        <v>277</v>
      </c>
      <c r="E21" s="439">
        <v>48</v>
      </c>
      <c r="F21" s="495">
        <f>E21/176</f>
        <v>0.27272727272727271</v>
      </c>
      <c r="G21" s="505" t="s">
        <v>271</v>
      </c>
      <c r="H21" s="509">
        <v>5.63</v>
      </c>
      <c r="I21" s="509" t="s">
        <v>949</v>
      </c>
      <c r="J21" s="509">
        <v>135.12</v>
      </c>
      <c r="K21" s="495">
        <f t="shared" si="0"/>
        <v>32.549999999999997</v>
      </c>
      <c r="L21" s="571">
        <f t="shared" si="1"/>
        <v>167.67000000000002</v>
      </c>
      <c r="M21" s="439"/>
      <c r="N21" s="563"/>
      <c r="O21" s="505" t="s">
        <v>271</v>
      </c>
      <c r="P21" s="509">
        <v>5.63</v>
      </c>
      <c r="Q21" s="509"/>
      <c r="R21" s="572"/>
      <c r="S21" s="495">
        <f t="shared" si="2"/>
        <v>0</v>
      </c>
      <c r="T21" s="571">
        <f t="shared" si="3"/>
        <v>0</v>
      </c>
    </row>
    <row r="22" spans="1:20" ht="45" x14ac:dyDescent="0.25">
      <c r="A22" s="573" t="s">
        <v>267</v>
      </c>
      <c r="B22" s="573" t="s">
        <v>268</v>
      </c>
      <c r="C22" s="573" t="s">
        <v>269</v>
      </c>
      <c r="D22" s="564" t="s">
        <v>278</v>
      </c>
      <c r="E22" s="439"/>
      <c r="F22" s="509"/>
      <c r="G22" s="505" t="s">
        <v>271</v>
      </c>
      <c r="H22" s="509">
        <v>5.49</v>
      </c>
      <c r="I22" s="509"/>
      <c r="J22" s="509"/>
      <c r="K22" s="495">
        <f t="shared" si="0"/>
        <v>0</v>
      </c>
      <c r="L22" s="571">
        <f t="shared" si="1"/>
        <v>0</v>
      </c>
      <c r="M22" s="439">
        <v>24</v>
      </c>
      <c r="N22" s="495">
        <f>M22/158</f>
        <v>0.15189873417721519</v>
      </c>
      <c r="O22" s="505" t="s">
        <v>271</v>
      </c>
      <c r="P22" s="509">
        <v>5.49</v>
      </c>
      <c r="Q22" s="509" t="s">
        <v>272</v>
      </c>
      <c r="R22" s="572">
        <v>26.35</v>
      </c>
      <c r="S22" s="495">
        <f t="shared" si="2"/>
        <v>6.35</v>
      </c>
      <c r="T22" s="571">
        <f t="shared" si="3"/>
        <v>32.700000000000003</v>
      </c>
    </row>
    <row r="23" spans="1:20" ht="45" x14ac:dyDescent="0.25">
      <c r="A23" s="573" t="s">
        <v>267</v>
      </c>
      <c r="B23" s="573" t="s">
        <v>268</v>
      </c>
      <c r="C23" s="573" t="s">
        <v>269</v>
      </c>
      <c r="D23" s="564" t="s">
        <v>278</v>
      </c>
      <c r="E23" s="439">
        <v>48</v>
      </c>
      <c r="F23" s="495">
        <f>E23/176</f>
        <v>0.27272727272727271</v>
      </c>
      <c r="G23" s="505" t="s">
        <v>271</v>
      </c>
      <c r="H23" s="509">
        <v>5.49</v>
      </c>
      <c r="I23" s="509" t="s">
        <v>949</v>
      </c>
      <c r="J23" s="509">
        <v>131.76</v>
      </c>
      <c r="K23" s="495">
        <f t="shared" si="0"/>
        <v>31.74</v>
      </c>
      <c r="L23" s="571">
        <f t="shared" si="1"/>
        <v>163.5</v>
      </c>
      <c r="M23" s="439"/>
      <c r="N23" s="563"/>
      <c r="O23" s="505" t="s">
        <v>271</v>
      </c>
      <c r="P23" s="509">
        <v>5.49</v>
      </c>
      <c r="Q23" s="509"/>
      <c r="R23" s="572"/>
      <c r="S23" s="495">
        <f t="shared" si="2"/>
        <v>0</v>
      </c>
      <c r="T23" s="571">
        <f t="shared" si="3"/>
        <v>0</v>
      </c>
    </row>
    <row r="24" spans="1:20" ht="45" x14ac:dyDescent="0.25">
      <c r="A24" s="573" t="s">
        <v>267</v>
      </c>
      <c r="B24" s="573" t="s">
        <v>268</v>
      </c>
      <c r="C24" s="573" t="s">
        <v>269</v>
      </c>
      <c r="D24" s="564" t="s">
        <v>279</v>
      </c>
      <c r="E24" s="439"/>
      <c r="F24" s="509"/>
      <c r="G24" s="505" t="s">
        <v>271</v>
      </c>
      <c r="H24" s="509">
        <v>5.63</v>
      </c>
      <c r="I24" s="509"/>
      <c r="J24" s="509"/>
      <c r="K24" s="495">
        <f t="shared" si="0"/>
        <v>0</v>
      </c>
      <c r="L24" s="571">
        <f t="shared" si="1"/>
        <v>0</v>
      </c>
      <c r="M24" s="439">
        <v>32</v>
      </c>
      <c r="N24" s="495">
        <f>M24/158</f>
        <v>0.20253164556962025</v>
      </c>
      <c r="O24" s="505" t="s">
        <v>271</v>
      </c>
      <c r="P24" s="509">
        <v>5.63</v>
      </c>
      <c r="Q24" s="509" t="s">
        <v>272</v>
      </c>
      <c r="R24" s="572">
        <v>36.03</v>
      </c>
      <c r="S24" s="495">
        <f t="shared" si="2"/>
        <v>8.68</v>
      </c>
      <c r="T24" s="571">
        <f t="shared" si="3"/>
        <v>44.71</v>
      </c>
    </row>
    <row r="25" spans="1:20" ht="45" x14ac:dyDescent="0.25">
      <c r="A25" s="573" t="s">
        <v>267</v>
      </c>
      <c r="B25" s="573" t="s">
        <v>268</v>
      </c>
      <c r="C25" s="573" t="s">
        <v>269</v>
      </c>
      <c r="D25" s="564" t="s">
        <v>279</v>
      </c>
      <c r="E25" s="439">
        <v>60</v>
      </c>
      <c r="F25" s="495">
        <f>E25/176</f>
        <v>0.34090909090909088</v>
      </c>
      <c r="G25" s="505" t="s">
        <v>271</v>
      </c>
      <c r="H25" s="509">
        <v>5.63</v>
      </c>
      <c r="I25" s="509" t="s">
        <v>949</v>
      </c>
      <c r="J25" s="509">
        <v>168.9</v>
      </c>
      <c r="K25" s="495">
        <f t="shared" si="0"/>
        <v>40.69</v>
      </c>
      <c r="L25" s="571">
        <f t="shared" si="1"/>
        <v>209.59</v>
      </c>
      <c r="M25" s="439"/>
      <c r="N25" s="563"/>
      <c r="O25" s="505" t="s">
        <v>271</v>
      </c>
      <c r="P25" s="509">
        <v>5.63</v>
      </c>
      <c r="Q25" s="509"/>
      <c r="R25" s="572"/>
      <c r="S25" s="495">
        <f t="shared" si="2"/>
        <v>0</v>
      </c>
      <c r="T25" s="571">
        <f t="shared" si="3"/>
        <v>0</v>
      </c>
    </row>
    <row r="26" spans="1:20" ht="45" x14ac:dyDescent="0.25">
      <c r="A26" s="573" t="s">
        <v>267</v>
      </c>
      <c r="B26" s="573" t="s">
        <v>268</v>
      </c>
      <c r="C26" s="573" t="s">
        <v>269</v>
      </c>
      <c r="D26" s="564" t="s">
        <v>280</v>
      </c>
      <c r="E26" s="439"/>
      <c r="F26" s="509"/>
      <c r="G26" s="505" t="s">
        <v>271</v>
      </c>
      <c r="H26" s="509">
        <v>5.63</v>
      </c>
      <c r="I26" s="509"/>
      <c r="J26" s="509"/>
      <c r="K26" s="495">
        <f t="shared" si="0"/>
        <v>0</v>
      </c>
      <c r="L26" s="571">
        <f t="shared" si="1"/>
        <v>0</v>
      </c>
      <c r="M26" s="439">
        <v>60</v>
      </c>
      <c r="N26" s="495">
        <f>M26/158</f>
        <v>0.379746835443038</v>
      </c>
      <c r="O26" s="505" t="s">
        <v>271</v>
      </c>
      <c r="P26" s="509">
        <v>5.63</v>
      </c>
      <c r="Q26" s="509" t="s">
        <v>272</v>
      </c>
      <c r="R26" s="572">
        <v>67.56</v>
      </c>
      <c r="S26" s="495">
        <f t="shared" si="2"/>
        <v>16.28</v>
      </c>
      <c r="T26" s="571">
        <f t="shared" si="3"/>
        <v>83.84</v>
      </c>
    </row>
    <row r="27" spans="1:20" ht="45" x14ac:dyDescent="0.25">
      <c r="A27" s="573" t="s">
        <v>267</v>
      </c>
      <c r="B27" s="573" t="s">
        <v>268</v>
      </c>
      <c r="C27" s="573" t="s">
        <v>269</v>
      </c>
      <c r="D27" s="564" t="s">
        <v>280</v>
      </c>
      <c r="E27" s="439">
        <v>48</v>
      </c>
      <c r="F27" s="495">
        <f>E27/176</f>
        <v>0.27272727272727271</v>
      </c>
      <c r="G27" s="505" t="s">
        <v>271</v>
      </c>
      <c r="H27" s="509">
        <v>5.63</v>
      </c>
      <c r="I27" s="509" t="s">
        <v>949</v>
      </c>
      <c r="J27" s="509">
        <v>135.12</v>
      </c>
      <c r="K27" s="495">
        <f t="shared" si="0"/>
        <v>32.549999999999997</v>
      </c>
      <c r="L27" s="571">
        <f t="shared" si="1"/>
        <v>167.67000000000002</v>
      </c>
      <c r="M27" s="439"/>
      <c r="N27" s="563"/>
      <c r="O27" s="505" t="s">
        <v>271</v>
      </c>
      <c r="P27" s="509">
        <v>5.63</v>
      </c>
      <c r="Q27" s="509"/>
      <c r="R27" s="572"/>
      <c r="S27" s="495">
        <f t="shared" si="2"/>
        <v>0</v>
      </c>
      <c r="T27" s="571">
        <f t="shared" si="3"/>
        <v>0</v>
      </c>
    </row>
    <row r="28" spans="1:20" ht="45" x14ac:dyDescent="0.25">
      <c r="A28" s="573" t="s">
        <v>267</v>
      </c>
      <c r="B28" s="573" t="s">
        <v>268</v>
      </c>
      <c r="C28" s="573" t="s">
        <v>269</v>
      </c>
      <c r="D28" s="564" t="s">
        <v>281</v>
      </c>
      <c r="E28" s="439"/>
      <c r="F28" s="509"/>
      <c r="G28" s="505" t="s">
        <v>271</v>
      </c>
      <c r="H28" s="509">
        <v>5.36</v>
      </c>
      <c r="I28" s="509"/>
      <c r="J28" s="509"/>
      <c r="K28" s="495">
        <f t="shared" si="0"/>
        <v>0</v>
      </c>
      <c r="L28" s="571">
        <f t="shared" si="1"/>
        <v>0</v>
      </c>
      <c r="M28" s="439">
        <v>24</v>
      </c>
      <c r="N28" s="495">
        <f>M28/158</f>
        <v>0.15189873417721519</v>
      </c>
      <c r="O28" s="505" t="s">
        <v>271</v>
      </c>
      <c r="P28" s="509">
        <v>5.36</v>
      </c>
      <c r="Q28" s="509" t="s">
        <v>272</v>
      </c>
      <c r="R28" s="572">
        <v>25.73</v>
      </c>
      <c r="S28" s="495">
        <f t="shared" si="2"/>
        <v>6.2</v>
      </c>
      <c r="T28" s="571">
        <f t="shared" si="3"/>
        <v>31.93</v>
      </c>
    </row>
    <row r="29" spans="1:20" ht="45" x14ac:dyDescent="0.25">
      <c r="A29" s="573" t="s">
        <v>267</v>
      </c>
      <c r="B29" s="573" t="s">
        <v>268</v>
      </c>
      <c r="C29" s="573" t="s">
        <v>269</v>
      </c>
      <c r="D29" s="564" t="s">
        <v>281</v>
      </c>
      <c r="E29" s="439">
        <v>12</v>
      </c>
      <c r="F29" s="495">
        <f>E29/176</f>
        <v>6.8181818181818177E-2</v>
      </c>
      <c r="G29" s="505" t="s">
        <v>271</v>
      </c>
      <c r="H29" s="509">
        <v>5.36</v>
      </c>
      <c r="I29" s="509" t="s">
        <v>949</v>
      </c>
      <c r="J29" s="509">
        <v>32.159999999999997</v>
      </c>
      <c r="K29" s="495">
        <f t="shared" si="0"/>
        <v>7.75</v>
      </c>
      <c r="L29" s="571">
        <f t="shared" si="1"/>
        <v>39.909999999999997</v>
      </c>
      <c r="M29" s="439"/>
      <c r="N29" s="563"/>
      <c r="O29" s="505" t="s">
        <v>271</v>
      </c>
      <c r="P29" s="509">
        <v>5.36</v>
      </c>
      <c r="Q29" s="509"/>
      <c r="R29" s="572"/>
      <c r="S29" s="495">
        <f t="shared" si="2"/>
        <v>0</v>
      </c>
      <c r="T29" s="571">
        <f t="shared" si="3"/>
        <v>0</v>
      </c>
    </row>
    <row r="30" spans="1:20" ht="45" x14ac:dyDescent="0.25">
      <c r="A30" s="573" t="s">
        <v>267</v>
      </c>
      <c r="B30" s="573" t="s">
        <v>268</v>
      </c>
      <c r="C30" s="573" t="s">
        <v>269</v>
      </c>
      <c r="D30" s="564" t="s">
        <v>282</v>
      </c>
      <c r="E30" s="439"/>
      <c r="F30" s="509"/>
      <c r="G30" s="505" t="s">
        <v>271</v>
      </c>
      <c r="H30" s="509">
        <v>5.49</v>
      </c>
      <c r="I30" s="509"/>
      <c r="J30" s="509"/>
      <c r="K30" s="495">
        <f t="shared" si="0"/>
        <v>0</v>
      </c>
      <c r="L30" s="571">
        <f t="shared" si="1"/>
        <v>0</v>
      </c>
      <c r="M30" s="439">
        <v>36</v>
      </c>
      <c r="N30" s="495">
        <f>M30/158</f>
        <v>0.22784810126582278</v>
      </c>
      <c r="O30" s="505" t="s">
        <v>271</v>
      </c>
      <c r="P30" s="509">
        <v>5.49</v>
      </c>
      <c r="Q30" s="509" t="s">
        <v>272</v>
      </c>
      <c r="R30" s="572">
        <v>39.53</v>
      </c>
      <c r="S30" s="495">
        <f t="shared" si="2"/>
        <v>9.52</v>
      </c>
      <c r="T30" s="571">
        <f t="shared" si="3"/>
        <v>49.05</v>
      </c>
    </row>
    <row r="31" spans="1:20" ht="45" x14ac:dyDescent="0.25">
      <c r="A31" s="573" t="s">
        <v>267</v>
      </c>
      <c r="B31" s="573" t="s">
        <v>268</v>
      </c>
      <c r="C31" s="573" t="s">
        <v>269</v>
      </c>
      <c r="D31" s="564" t="s">
        <v>282</v>
      </c>
      <c r="E31" s="439">
        <v>60</v>
      </c>
      <c r="F31" s="495">
        <f>E31/176</f>
        <v>0.34090909090909088</v>
      </c>
      <c r="G31" s="505" t="s">
        <v>271</v>
      </c>
      <c r="H31" s="509">
        <v>5.49</v>
      </c>
      <c r="I31" s="509" t="s">
        <v>949</v>
      </c>
      <c r="J31" s="509">
        <v>164.7</v>
      </c>
      <c r="K31" s="495">
        <f t="shared" si="0"/>
        <v>39.68</v>
      </c>
      <c r="L31" s="571">
        <f t="shared" si="1"/>
        <v>204.38</v>
      </c>
      <c r="M31" s="439"/>
      <c r="N31" s="563"/>
      <c r="O31" s="505" t="s">
        <v>271</v>
      </c>
      <c r="P31" s="509">
        <v>5.49</v>
      </c>
      <c r="Q31" s="509"/>
      <c r="R31" s="572"/>
      <c r="S31" s="495">
        <f t="shared" si="2"/>
        <v>0</v>
      </c>
      <c r="T31" s="571">
        <f t="shared" si="3"/>
        <v>0</v>
      </c>
    </row>
    <row r="32" spans="1:20" ht="45" x14ac:dyDescent="0.25">
      <c r="A32" s="573" t="s">
        <v>267</v>
      </c>
      <c r="B32" s="573" t="s">
        <v>268</v>
      </c>
      <c r="C32" s="573" t="s">
        <v>269</v>
      </c>
      <c r="D32" s="564" t="s">
        <v>283</v>
      </c>
      <c r="E32" s="439"/>
      <c r="F32" s="509"/>
      <c r="G32" s="505" t="s">
        <v>271</v>
      </c>
      <c r="H32" s="509">
        <v>5.49</v>
      </c>
      <c r="I32" s="509"/>
      <c r="J32" s="509"/>
      <c r="K32" s="495">
        <f t="shared" si="0"/>
        <v>0</v>
      </c>
      <c r="L32" s="571">
        <f t="shared" si="1"/>
        <v>0</v>
      </c>
      <c r="M32" s="439">
        <v>12</v>
      </c>
      <c r="N32" s="495">
        <f>M32/158</f>
        <v>7.5949367088607597E-2</v>
      </c>
      <c r="O32" s="505" t="s">
        <v>271</v>
      </c>
      <c r="P32" s="509">
        <v>5.49</v>
      </c>
      <c r="Q32" s="509" t="s">
        <v>272</v>
      </c>
      <c r="R32" s="572">
        <v>13.18</v>
      </c>
      <c r="S32" s="495">
        <f t="shared" si="2"/>
        <v>3.18</v>
      </c>
      <c r="T32" s="571">
        <f t="shared" si="3"/>
        <v>16.36</v>
      </c>
    </row>
    <row r="33" spans="1:20" ht="45" x14ac:dyDescent="0.25">
      <c r="A33" s="573" t="s">
        <v>267</v>
      </c>
      <c r="B33" s="573" t="s">
        <v>268</v>
      </c>
      <c r="C33" s="573" t="s">
        <v>269</v>
      </c>
      <c r="D33" s="564" t="s">
        <v>283</v>
      </c>
      <c r="E33" s="439">
        <v>24</v>
      </c>
      <c r="F33" s="495">
        <f>E33/176</f>
        <v>0.13636363636363635</v>
      </c>
      <c r="G33" s="505" t="s">
        <v>271</v>
      </c>
      <c r="H33" s="509">
        <v>5.49</v>
      </c>
      <c r="I33" s="509" t="s">
        <v>949</v>
      </c>
      <c r="J33" s="509">
        <v>65.88</v>
      </c>
      <c r="K33" s="495">
        <f t="shared" si="0"/>
        <v>15.87</v>
      </c>
      <c r="L33" s="571">
        <f t="shared" si="1"/>
        <v>81.75</v>
      </c>
      <c r="M33" s="439"/>
      <c r="N33" s="563"/>
      <c r="O33" s="505" t="s">
        <v>271</v>
      </c>
      <c r="P33" s="509">
        <v>5.49</v>
      </c>
      <c r="Q33" s="509"/>
      <c r="R33" s="572"/>
      <c r="S33" s="495">
        <f t="shared" si="2"/>
        <v>0</v>
      </c>
      <c r="T33" s="571">
        <f t="shared" si="3"/>
        <v>0</v>
      </c>
    </row>
    <row r="34" spans="1:20" ht="45" x14ac:dyDescent="0.25">
      <c r="A34" s="573" t="s">
        <v>267</v>
      </c>
      <c r="B34" s="573" t="s">
        <v>268</v>
      </c>
      <c r="C34" s="573" t="s">
        <v>269</v>
      </c>
      <c r="D34" s="564" t="s">
        <v>284</v>
      </c>
      <c r="E34" s="439"/>
      <c r="F34" s="509"/>
      <c r="G34" s="505" t="s">
        <v>271</v>
      </c>
      <c r="H34" s="509">
        <v>5.36</v>
      </c>
      <c r="I34" s="509"/>
      <c r="J34" s="509"/>
      <c r="K34" s="495">
        <f t="shared" si="0"/>
        <v>0</v>
      </c>
      <c r="L34" s="571">
        <f t="shared" si="1"/>
        <v>0</v>
      </c>
      <c r="M34" s="439">
        <v>72</v>
      </c>
      <c r="N34" s="495">
        <f>M34/158</f>
        <v>0.45569620253164556</v>
      </c>
      <c r="O34" s="505" t="s">
        <v>271</v>
      </c>
      <c r="P34" s="509">
        <v>5.36</v>
      </c>
      <c r="Q34" s="509" t="s">
        <v>272</v>
      </c>
      <c r="R34" s="572">
        <v>77.180000000000007</v>
      </c>
      <c r="S34" s="495">
        <f t="shared" si="2"/>
        <v>18.59</v>
      </c>
      <c r="T34" s="571">
        <f t="shared" si="3"/>
        <v>95.77000000000001</v>
      </c>
    </row>
    <row r="35" spans="1:20" ht="45" x14ac:dyDescent="0.25">
      <c r="A35" s="573" t="s">
        <v>267</v>
      </c>
      <c r="B35" s="573" t="s">
        <v>268</v>
      </c>
      <c r="C35" s="573" t="s">
        <v>269</v>
      </c>
      <c r="D35" s="564" t="s">
        <v>284</v>
      </c>
      <c r="E35" s="439">
        <v>36</v>
      </c>
      <c r="F35" s="495">
        <f>E35/176</f>
        <v>0.20454545454545456</v>
      </c>
      <c r="G35" s="505" t="s">
        <v>271</v>
      </c>
      <c r="H35" s="509">
        <v>5.36</v>
      </c>
      <c r="I35" s="509" t="s">
        <v>949</v>
      </c>
      <c r="J35" s="509">
        <v>96.48</v>
      </c>
      <c r="K35" s="495">
        <f t="shared" si="0"/>
        <v>23.24</v>
      </c>
      <c r="L35" s="571">
        <f t="shared" si="1"/>
        <v>119.72</v>
      </c>
      <c r="M35" s="439"/>
      <c r="N35" s="563"/>
      <c r="O35" s="505" t="s">
        <v>271</v>
      </c>
      <c r="P35" s="509">
        <v>5.36</v>
      </c>
      <c r="Q35" s="509"/>
      <c r="R35" s="572"/>
      <c r="S35" s="495">
        <f t="shared" si="2"/>
        <v>0</v>
      </c>
      <c r="T35" s="571">
        <f t="shared" si="3"/>
        <v>0</v>
      </c>
    </row>
    <row r="36" spans="1:20" ht="45" x14ac:dyDescent="0.25">
      <c r="A36" s="573" t="s">
        <v>267</v>
      </c>
      <c r="B36" s="573" t="s">
        <v>268</v>
      </c>
      <c r="C36" s="573" t="s">
        <v>269</v>
      </c>
      <c r="D36" s="564" t="s">
        <v>285</v>
      </c>
      <c r="E36" s="439"/>
      <c r="F36" s="509"/>
      <c r="G36" s="505" t="s">
        <v>271</v>
      </c>
      <c r="H36" s="509">
        <v>5.36</v>
      </c>
      <c r="I36" s="509"/>
      <c r="J36" s="509"/>
      <c r="K36" s="495">
        <f t="shared" si="0"/>
        <v>0</v>
      </c>
      <c r="L36" s="571">
        <f t="shared" si="1"/>
        <v>0</v>
      </c>
      <c r="M36" s="439">
        <v>60</v>
      </c>
      <c r="N36" s="495">
        <f>M36/158</f>
        <v>0.379746835443038</v>
      </c>
      <c r="O36" s="505" t="s">
        <v>271</v>
      </c>
      <c r="P36" s="509">
        <v>5.36</v>
      </c>
      <c r="Q36" s="509" t="s">
        <v>272</v>
      </c>
      <c r="R36" s="572">
        <v>64.319999999999993</v>
      </c>
      <c r="S36" s="495">
        <f t="shared" si="2"/>
        <v>15.49</v>
      </c>
      <c r="T36" s="571">
        <f t="shared" si="3"/>
        <v>79.809999999999988</v>
      </c>
    </row>
    <row r="37" spans="1:20" ht="45" x14ac:dyDescent="0.25">
      <c r="A37" s="573" t="s">
        <v>267</v>
      </c>
      <c r="B37" s="573" t="s">
        <v>268</v>
      </c>
      <c r="C37" s="573" t="s">
        <v>269</v>
      </c>
      <c r="D37" s="564" t="s">
        <v>285</v>
      </c>
      <c r="E37" s="439">
        <v>36</v>
      </c>
      <c r="F37" s="495">
        <f>E37/176</f>
        <v>0.20454545454545456</v>
      </c>
      <c r="G37" s="505" t="s">
        <v>271</v>
      </c>
      <c r="H37" s="509">
        <v>5.36</v>
      </c>
      <c r="I37" s="509" t="s">
        <v>949</v>
      </c>
      <c r="J37" s="509">
        <v>96.48</v>
      </c>
      <c r="K37" s="495">
        <f t="shared" si="0"/>
        <v>23.24</v>
      </c>
      <c r="L37" s="571">
        <f t="shared" si="1"/>
        <v>119.72</v>
      </c>
      <c r="M37" s="439"/>
      <c r="N37" s="563"/>
      <c r="O37" s="505" t="s">
        <v>271</v>
      </c>
      <c r="P37" s="509">
        <v>5.36</v>
      </c>
      <c r="Q37" s="509"/>
      <c r="R37" s="572"/>
      <c r="S37" s="495">
        <f t="shared" si="2"/>
        <v>0</v>
      </c>
      <c r="T37" s="571">
        <f t="shared" si="3"/>
        <v>0</v>
      </c>
    </row>
    <row r="38" spans="1:20" ht="45" x14ac:dyDescent="0.25">
      <c r="A38" s="573" t="s">
        <v>267</v>
      </c>
      <c r="B38" s="573" t="s">
        <v>268</v>
      </c>
      <c r="C38" s="573" t="s">
        <v>286</v>
      </c>
      <c r="D38" s="564" t="s">
        <v>287</v>
      </c>
      <c r="E38" s="439"/>
      <c r="F38" s="509"/>
      <c r="G38" s="505" t="s">
        <v>271</v>
      </c>
      <c r="H38" s="509">
        <v>4.82</v>
      </c>
      <c r="I38" s="509"/>
      <c r="J38" s="509"/>
      <c r="K38" s="495">
        <f t="shared" si="0"/>
        <v>0</v>
      </c>
      <c r="L38" s="571">
        <f t="shared" si="1"/>
        <v>0</v>
      </c>
      <c r="M38" s="439">
        <v>36</v>
      </c>
      <c r="N38" s="495">
        <f>M38/158</f>
        <v>0.22784810126582278</v>
      </c>
      <c r="O38" s="505" t="s">
        <v>271</v>
      </c>
      <c r="P38" s="509">
        <v>4.82</v>
      </c>
      <c r="Q38" s="509" t="s">
        <v>272</v>
      </c>
      <c r="R38" s="572">
        <v>34.700000000000003</v>
      </c>
      <c r="S38" s="495">
        <f t="shared" si="2"/>
        <v>8.36</v>
      </c>
      <c r="T38" s="571">
        <f t="shared" si="3"/>
        <v>43.06</v>
      </c>
    </row>
    <row r="39" spans="1:20" ht="45" x14ac:dyDescent="0.25">
      <c r="A39" s="573" t="s">
        <v>267</v>
      </c>
      <c r="B39" s="573" t="s">
        <v>268</v>
      </c>
      <c r="C39" s="573" t="s">
        <v>286</v>
      </c>
      <c r="D39" s="564" t="s">
        <v>287</v>
      </c>
      <c r="E39" s="439">
        <v>59</v>
      </c>
      <c r="F39" s="495">
        <f>E39/176</f>
        <v>0.33522727272727271</v>
      </c>
      <c r="G39" s="505" t="s">
        <v>271</v>
      </c>
      <c r="H39" s="509">
        <v>4.82</v>
      </c>
      <c r="I39" s="509" t="s">
        <v>949</v>
      </c>
      <c r="J39" s="509">
        <v>142.19</v>
      </c>
      <c r="K39" s="495">
        <f t="shared" si="0"/>
        <v>34.25</v>
      </c>
      <c r="L39" s="571">
        <f t="shared" si="1"/>
        <v>176.44</v>
      </c>
      <c r="M39" s="439"/>
      <c r="N39" s="563"/>
      <c r="O39" s="505" t="s">
        <v>271</v>
      </c>
      <c r="P39" s="509">
        <v>4.82</v>
      </c>
      <c r="Q39" s="509"/>
      <c r="R39" s="572"/>
      <c r="S39" s="495">
        <f t="shared" si="2"/>
        <v>0</v>
      </c>
      <c r="T39" s="571">
        <f t="shared" si="3"/>
        <v>0</v>
      </c>
    </row>
    <row r="40" spans="1:20" ht="45" x14ac:dyDescent="0.25">
      <c r="A40" s="573" t="s">
        <v>267</v>
      </c>
      <c r="B40" s="573" t="s">
        <v>268</v>
      </c>
      <c r="C40" s="573" t="s">
        <v>16</v>
      </c>
      <c r="D40" s="564" t="s">
        <v>288</v>
      </c>
      <c r="E40" s="439"/>
      <c r="F40" s="509"/>
      <c r="G40" s="505" t="s">
        <v>289</v>
      </c>
      <c r="H40" s="509">
        <v>1543.5</v>
      </c>
      <c r="I40" s="509"/>
      <c r="J40" s="509"/>
      <c r="K40" s="495">
        <f t="shared" si="0"/>
        <v>0</v>
      </c>
      <c r="L40" s="571">
        <f t="shared" si="1"/>
        <v>0</v>
      </c>
      <c r="M40" s="439">
        <v>127</v>
      </c>
      <c r="N40" s="495">
        <f>M40/158</f>
        <v>0.80379746835443033</v>
      </c>
      <c r="O40" s="505" t="s">
        <v>289</v>
      </c>
      <c r="P40" s="509">
        <v>1543.5</v>
      </c>
      <c r="Q40" s="509" t="s">
        <v>272</v>
      </c>
      <c r="R40" s="572">
        <v>248.13</v>
      </c>
      <c r="S40" s="495">
        <f t="shared" si="2"/>
        <v>59.77</v>
      </c>
      <c r="T40" s="571">
        <f t="shared" si="3"/>
        <v>307.89999999999998</v>
      </c>
    </row>
    <row r="41" spans="1:20" ht="45" x14ac:dyDescent="0.25">
      <c r="A41" s="573" t="s">
        <v>267</v>
      </c>
      <c r="B41" s="573" t="s">
        <v>268</v>
      </c>
      <c r="C41" s="573" t="s">
        <v>16</v>
      </c>
      <c r="D41" s="564" t="s">
        <v>288</v>
      </c>
      <c r="E41" s="439">
        <v>48</v>
      </c>
      <c r="F41" s="495">
        <f>E41/176</f>
        <v>0.27272727272727271</v>
      </c>
      <c r="G41" s="505" t="s">
        <v>289</v>
      </c>
      <c r="H41" s="509">
        <v>1543.5</v>
      </c>
      <c r="I41" s="509" t="s">
        <v>949</v>
      </c>
      <c r="J41" s="509">
        <v>210.48</v>
      </c>
      <c r="K41" s="495">
        <f t="shared" si="0"/>
        <v>50.7</v>
      </c>
      <c r="L41" s="571">
        <f t="shared" si="1"/>
        <v>261.18</v>
      </c>
      <c r="M41" s="439"/>
      <c r="N41" s="563"/>
      <c r="O41" s="505" t="s">
        <v>289</v>
      </c>
      <c r="P41" s="509">
        <v>1543.5</v>
      </c>
      <c r="Q41" s="509"/>
      <c r="R41" s="572"/>
      <c r="S41" s="495">
        <f t="shared" si="2"/>
        <v>0</v>
      </c>
      <c r="T41" s="571">
        <f t="shared" si="3"/>
        <v>0</v>
      </c>
    </row>
    <row r="42" spans="1:20" ht="45" x14ac:dyDescent="0.25">
      <c r="A42" s="573" t="s">
        <v>267</v>
      </c>
      <c r="B42" s="573" t="s">
        <v>290</v>
      </c>
      <c r="C42" s="573" t="s">
        <v>291</v>
      </c>
      <c r="D42" s="564" t="s">
        <v>292</v>
      </c>
      <c r="E42" s="439"/>
      <c r="F42" s="509"/>
      <c r="G42" s="505" t="s">
        <v>271</v>
      </c>
      <c r="H42" s="509">
        <v>3.21</v>
      </c>
      <c r="I42" s="509"/>
      <c r="J42" s="509"/>
      <c r="K42" s="495">
        <f t="shared" si="0"/>
        <v>0</v>
      </c>
      <c r="L42" s="571">
        <f t="shared" si="1"/>
        <v>0</v>
      </c>
      <c r="M42" s="439">
        <v>24</v>
      </c>
      <c r="N42" s="495">
        <f>M42/158</f>
        <v>0.15189873417721519</v>
      </c>
      <c r="O42" s="505" t="s">
        <v>271</v>
      </c>
      <c r="P42" s="509">
        <v>3.21</v>
      </c>
      <c r="Q42" s="509" t="s">
        <v>272</v>
      </c>
      <c r="R42" s="572">
        <v>15.41</v>
      </c>
      <c r="S42" s="495">
        <f t="shared" si="2"/>
        <v>3.71</v>
      </c>
      <c r="T42" s="571">
        <f t="shared" si="3"/>
        <v>19.12</v>
      </c>
    </row>
    <row r="43" spans="1:20" ht="45" x14ac:dyDescent="0.25">
      <c r="A43" s="573" t="s">
        <v>267</v>
      </c>
      <c r="B43" s="573" t="s">
        <v>290</v>
      </c>
      <c r="C43" s="573" t="s">
        <v>291</v>
      </c>
      <c r="D43" s="564" t="s">
        <v>292</v>
      </c>
      <c r="E43" s="439">
        <v>24</v>
      </c>
      <c r="F43" s="495">
        <f>E43/176</f>
        <v>0.13636363636363635</v>
      </c>
      <c r="G43" s="505" t="s">
        <v>271</v>
      </c>
      <c r="H43" s="509">
        <v>3.21</v>
      </c>
      <c r="I43" s="509" t="s">
        <v>949</v>
      </c>
      <c r="J43" s="509">
        <v>38.520000000000003</v>
      </c>
      <c r="K43" s="495">
        <f t="shared" si="0"/>
        <v>9.2799999999999994</v>
      </c>
      <c r="L43" s="571">
        <f t="shared" si="1"/>
        <v>47.800000000000004</v>
      </c>
      <c r="M43" s="439"/>
      <c r="N43" s="563"/>
      <c r="O43" s="505" t="s">
        <v>271</v>
      </c>
      <c r="P43" s="509">
        <v>3.21</v>
      </c>
      <c r="Q43" s="509"/>
      <c r="R43" s="572"/>
      <c r="S43" s="495">
        <f t="shared" si="2"/>
        <v>0</v>
      </c>
      <c r="T43" s="571">
        <f t="shared" si="3"/>
        <v>0</v>
      </c>
    </row>
    <row r="44" spans="1:20" ht="45" x14ac:dyDescent="0.25">
      <c r="A44" s="573" t="s">
        <v>267</v>
      </c>
      <c r="B44" s="573" t="s">
        <v>290</v>
      </c>
      <c r="C44" s="573" t="s">
        <v>291</v>
      </c>
      <c r="D44" s="564" t="s">
        <v>293</v>
      </c>
      <c r="E44" s="439"/>
      <c r="F44" s="509"/>
      <c r="G44" s="505" t="s">
        <v>271</v>
      </c>
      <c r="H44" s="509">
        <v>3.21</v>
      </c>
      <c r="I44" s="509"/>
      <c r="J44" s="509"/>
      <c r="K44" s="495">
        <f t="shared" si="0"/>
        <v>0</v>
      </c>
      <c r="L44" s="571">
        <f t="shared" si="1"/>
        <v>0</v>
      </c>
      <c r="M44" s="439">
        <v>24</v>
      </c>
      <c r="N44" s="495">
        <f>M44/158</f>
        <v>0.15189873417721519</v>
      </c>
      <c r="O44" s="505" t="s">
        <v>271</v>
      </c>
      <c r="P44" s="509">
        <v>3.21</v>
      </c>
      <c r="Q44" s="509" t="s">
        <v>272</v>
      </c>
      <c r="R44" s="572">
        <v>15.41</v>
      </c>
      <c r="S44" s="495">
        <f t="shared" si="2"/>
        <v>3.71</v>
      </c>
      <c r="T44" s="571">
        <f t="shared" si="3"/>
        <v>19.12</v>
      </c>
    </row>
    <row r="45" spans="1:20" ht="45" x14ac:dyDescent="0.25">
      <c r="A45" s="573" t="s">
        <v>267</v>
      </c>
      <c r="B45" s="573" t="s">
        <v>290</v>
      </c>
      <c r="C45" s="573" t="s">
        <v>291</v>
      </c>
      <c r="D45" s="564" t="s">
        <v>293</v>
      </c>
      <c r="E45" s="439">
        <v>24</v>
      </c>
      <c r="F45" s="495">
        <f>E45/176</f>
        <v>0.13636363636363635</v>
      </c>
      <c r="G45" s="505" t="s">
        <v>271</v>
      </c>
      <c r="H45" s="509">
        <v>3.21</v>
      </c>
      <c r="I45" s="509" t="s">
        <v>949</v>
      </c>
      <c r="J45" s="509">
        <v>38.520000000000003</v>
      </c>
      <c r="K45" s="495">
        <f t="shared" si="0"/>
        <v>9.2799999999999994</v>
      </c>
      <c r="L45" s="571">
        <f t="shared" si="1"/>
        <v>47.800000000000004</v>
      </c>
      <c r="M45" s="439"/>
      <c r="N45" s="563"/>
      <c r="O45" s="505" t="s">
        <v>271</v>
      </c>
      <c r="P45" s="509">
        <v>3.21</v>
      </c>
      <c r="Q45" s="509"/>
      <c r="R45" s="572"/>
      <c r="S45" s="495">
        <f t="shared" si="2"/>
        <v>0</v>
      </c>
      <c r="T45" s="571">
        <f t="shared" si="3"/>
        <v>0</v>
      </c>
    </row>
    <row r="46" spans="1:20" ht="45" x14ac:dyDescent="0.25">
      <c r="A46" s="573" t="s">
        <v>267</v>
      </c>
      <c r="B46" s="573" t="s">
        <v>290</v>
      </c>
      <c r="C46" s="573" t="s">
        <v>156</v>
      </c>
      <c r="D46" s="564" t="s">
        <v>294</v>
      </c>
      <c r="E46" s="439"/>
      <c r="F46" s="509"/>
      <c r="G46" s="505" t="s">
        <v>271</v>
      </c>
      <c r="H46" s="509">
        <v>3.75</v>
      </c>
      <c r="I46" s="509"/>
      <c r="J46" s="509"/>
      <c r="K46" s="495">
        <f t="shared" si="0"/>
        <v>0</v>
      </c>
      <c r="L46" s="571">
        <f t="shared" si="1"/>
        <v>0</v>
      </c>
      <c r="M46" s="439">
        <v>24</v>
      </c>
      <c r="N46" s="495">
        <f>M46/158</f>
        <v>0.15189873417721519</v>
      </c>
      <c r="O46" s="505" t="s">
        <v>271</v>
      </c>
      <c r="P46" s="509">
        <v>3.75</v>
      </c>
      <c r="Q46" s="509" t="s">
        <v>272</v>
      </c>
      <c r="R46" s="572">
        <v>18</v>
      </c>
      <c r="S46" s="495">
        <f t="shared" si="2"/>
        <v>4.34</v>
      </c>
      <c r="T46" s="571">
        <f t="shared" si="3"/>
        <v>22.34</v>
      </c>
    </row>
    <row r="47" spans="1:20" ht="45" x14ac:dyDescent="0.25">
      <c r="A47" s="573" t="s">
        <v>267</v>
      </c>
      <c r="B47" s="573" t="s">
        <v>290</v>
      </c>
      <c r="C47" s="573" t="s">
        <v>156</v>
      </c>
      <c r="D47" s="564" t="s">
        <v>294</v>
      </c>
      <c r="E47" s="439">
        <v>24</v>
      </c>
      <c r="F47" s="495">
        <f>E47/176</f>
        <v>0.13636363636363635</v>
      </c>
      <c r="G47" s="505" t="s">
        <v>271</v>
      </c>
      <c r="H47" s="509">
        <v>3.75</v>
      </c>
      <c r="I47" s="509" t="s">
        <v>949</v>
      </c>
      <c r="J47" s="509">
        <v>45</v>
      </c>
      <c r="K47" s="495">
        <f t="shared" si="0"/>
        <v>10.84</v>
      </c>
      <c r="L47" s="571">
        <f t="shared" si="1"/>
        <v>55.84</v>
      </c>
      <c r="M47" s="439"/>
      <c r="N47" s="563"/>
      <c r="O47" s="505" t="s">
        <v>271</v>
      </c>
      <c r="P47" s="509">
        <v>3.75</v>
      </c>
      <c r="Q47" s="509"/>
      <c r="R47" s="572"/>
      <c r="S47" s="495">
        <f t="shared" si="2"/>
        <v>0</v>
      </c>
      <c r="T47" s="571">
        <f t="shared" si="3"/>
        <v>0</v>
      </c>
    </row>
    <row r="48" spans="1:20" ht="45" x14ac:dyDescent="0.25">
      <c r="A48" s="573" t="s">
        <v>267</v>
      </c>
      <c r="B48" s="573" t="s">
        <v>290</v>
      </c>
      <c r="C48" s="573" t="s">
        <v>156</v>
      </c>
      <c r="D48" s="564" t="s">
        <v>295</v>
      </c>
      <c r="E48" s="439"/>
      <c r="F48" s="509"/>
      <c r="G48" s="505" t="s">
        <v>271</v>
      </c>
      <c r="H48" s="509">
        <v>3.75</v>
      </c>
      <c r="I48" s="509"/>
      <c r="J48" s="509"/>
      <c r="K48" s="495">
        <f t="shared" si="0"/>
        <v>0</v>
      </c>
      <c r="L48" s="571">
        <f t="shared" si="1"/>
        <v>0</v>
      </c>
      <c r="M48" s="439">
        <v>24</v>
      </c>
      <c r="N48" s="495">
        <f>M48/158</f>
        <v>0.15189873417721519</v>
      </c>
      <c r="O48" s="505" t="s">
        <v>271</v>
      </c>
      <c r="P48" s="509">
        <v>3.75</v>
      </c>
      <c r="Q48" s="509" t="s">
        <v>272</v>
      </c>
      <c r="R48" s="572">
        <v>18</v>
      </c>
      <c r="S48" s="495">
        <f t="shared" si="2"/>
        <v>4.34</v>
      </c>
      <c r="T48" s="571">
        <f t="shared" si="3"/>
        <v>22.34</v>
      </c>
    </row>
    <row r="49" spans="1:20" ht="45" x14ac:dyDescent="0.25">
      <c r="A49" s="573" t="s">
        <v>267</v>
      </c>
      <c r="B49" s="573" t="s">
        <v>290</v>
      </c>
      <c r="C49" s="573" t="s">
        <v>156</v>
      </c>
      <c r="D49" s="564" t="s">
        <v>295</v>
      </c>
      <c r="E49" s="439">
        <v>24</v>
      </c>
      <c r="F49" s="495">
        <f>E49/176</f>
        <v>0.13636363636363635</v>
      </c>
      <c r="G49" s="505" t="s">
        <v>271</v>
      </c>
      <c r="H49" s="509">
        <v>3.75</v>
      </c>
      <c r="I49" s="509" t="s">
        <v>949</v>
      </c>
      <c r="J49" s="509">
        <v>45</v>
      </c>
      <c r="K49" s="495">
        <f t="shared" si="0"/>
        <v>10.84</v>
      </c>
      <c r="L49" s="571">
        <f t="shared" si="1"/>
        <v>55.84</v>
      </c>
      <c r="M49" s="439"/>
      <c r="N49" s="563"/>
      <c r="O49" s="505" t="s">
        <v>271</v>
      </c>
      <c r="P49" s="509">
        <v>3.75</v>
      </c>
      <c r="Q49" s="509"/>
      <c r="R49" s="572"/>
      <c r="S49" s="495">
        <f t="shared" si="2"/>
        <v>0</v>
      </c>
      <c r="T49" s="571">
        <f t="shared" si="3"/>
        <v>0</v>
      </c>
    </row>
    <row r="50" spans="1:20" ht="45" x14ac:dyDescent="0.25">
      <c r="A50" s="573" t="s">
        <v>267</v>
      </c>
      <c r="B50" s="573" t="s">
        <v>290</v>
      </c>
      <c r="C50" s="573" t="s">
        <v>156</v>
      </c>
      <c r="D50" s="564" t="s">
        <v>296</v>
      </c>
      <c r="E50" s="439"/>
      <c r="F50" s="509"/>
      <c r="G50" s="505" t="s">
        <v>271</v>
      </c>
      <c r="H50" s="509">
        <v>3.57</v>
      </c>
      <c r="I50" s="509"/>
      <c r="J50" s="509"/>
      <c r="K50" s="495">
        <f t="shared" si="0"/>
        <v>0</v>
      </c>
      <c r="L50" s="571">
        <f t="shared" si="1"/>
        <v>0</v>
      </c>
      <c r="M50" s="439">
        <v>24</v>
      </c>
      <c r="N50" s="495">
        <f>M50/158</f>
        <v>0.15189873417721519</v>
      </c>
      <c r="O50" s="505" t="s">
        <v>271</v>
      </c>
      <c r="P50" s="509">
        <v>3.57</v>
      </c>
      <c r="Q50" s="509" t="s">
        <v>272</v>
      </c>
      <c r="R50" s="572">
        <v>17.14</v>
      </c>
      <c r="S50" s="495">
        <f t="shared" si="2"/>
        <v>4.13</v>
      </c>
      <c r="T50" s="571">
        <f t="shared" si="3"/>
        <v>21.27</v>
      </c>
    </row>
    <row r="51" spans="1:20" ht="45" x14ac:dyDescent="0.25">
      <c r="A51" s="573" t="s">
        <v>267</v>
      </c>
      <c r="B51" s="573" t="s">
        <v>290</v>
      </c>
      <c r="C51" s="573" t="s">
        <v>156</v>
      </c>
      <c r="D51" s="564" t="s">
        <v>296</v>
      </c>
      <c r="E51" s="439">
        <v>24</v>
      </c>
      <c r="F51" s="495">
        <f>E51/176</f>
        <v>0.13636363636363635</v>
      </c>
      <c r="G51" s="505" t="s">
        <v>271</v>
      </c>
      <c r="H51" s="509">
        <v>3.57</v>
      </c>
      <c r="I51" s="509" t="s">
        <v>949</v>
      </c>
      <c r="J51" s="509">
        <v>42.84</v>
      </c>
      <c r="K51" s="495">
        <f t="shared" si="0"/>
        <v>10.32</v>
      </c>
      <c r="L51" s="571">
        <f t="shared" si="1"/>
        <v>53.160000000000004</v>
      </c>
      <c r="M51" s="439"/>
      <c r="N51" s="563"/>
      <c r="O51" s="505" t="s">
        <v>271</v>
      </c>
      <c r="P51" s="509">
        <v>3.57</v>
      </c>
      <c r="Q51" s="509"/>
      <c r="R51" s="572"/>
      <c r="S51" s="495">
        <f t="shared" si="2"/>
        <v>0</v>
      </c>
      <c r="T51" s="571">
        <f t="shared" si="3"/>
        <v>0</v>
      </c>
    </row>
    <row r="52" spans="1:20" ht="45" x14ac:dyDescent="0.25">
      <c r="A52" s="573" t="s">
        <v>267</v>
      </c>
      <c r="B52" s="573" t="s">
        <v>290</v>
      </c>
      <c r="C52" s="573" t="s">
        <v>156</v>
      </c>
      <c r="D52" s="564" t="s">
        <v>297</v>
      </c>
      <c r="E52" s="439"/>
      <c r="F52" s="509"/>
      <c r="G52" s="505" t="s">
        <v>271</v>
      </c>
      <c r="H52" s="509">
        <v>3.57</v>
      </c>
      <c r="I52" s="509"/>
      <c r="J52" s="509"/>
      <c r="K52" s="495">
        <f t="shared" si="0"/>
        <v>0</v>
      </c>
      <c r="L52" s="571">
        <f t="shared" si="1"/>
        <v>0</v>
      </c>
      <c r="M52" s="439">
        <v>24</v>
      </c>
      <c r="N52" s="495">
        <f>M52/158</f>
        <v>0.15189873417721519</v>
      </c>
      <c r="O52" s="505" t="s">
        <v>271</v>
      </c>
      <c r="P52" s="509">
        <v>3.57</v>
      </c>
      <c r="Q52" s="509" t="s">
        <v>272</v>
      </c>
      <c r="R52" s="572">
        <v>17.14</v>
      </c>
      <c r="S52" s="495">
        <f t="shared" si="2"/>
        <v>4.13</v>
      </c>
      <c r="T52" s="571">
        <f t="shared" si="3"/>
        <v>21.27</v>
      </c>
    </row>
    <row r="53" spans="1:20" ht="45" x14ac:dyDescent="0.25">
      <c r="A53" s="573" t="s">
        <v>267</v>
      </c>
      <c r="B53" s="573" t="s">
        <v>290</v>
      </c>
      <c r="C53" s="573" t="s">
        <v>156</v>
      </c>
      <c r="D53" s="564" t="s">
        <v>297</v>
      </c>
      <c r="E53" s="439">
        <v>24</v>
      </c>
      <c r="F53" s="495">
        <f>E53/176</f>
        <v>0.13636363636363635</v>
      </c>
      <c r="G53" s="505" t="s">
        <v>271</v>
      </c>
      <c r="H53" s="509">
        <v>3.57</v>
      </c>
      <c r="I53" s="509" t="s">
        <v>949</v>
      </c>
      <c r="J53" s="509">
        <v>42.84</v>
      </c>
      <c r="K53" s="495">
        <f t="shared" si="0"/>
        <v>10.32</v>
      </c>
      <c r="L53" s="571">
        <f t="shared" si="1"/>
        <v>53.160000000000004</v>
      </c>
      <c r="M53" s="439"/>
      <c r="N53" s="563"/>
      <c r="O53" s="505" t="s">
        <v>271</v>
      </c>
      <c r="P53" s="509">
        <v>3.57</v>
      </c>
      <c r="Q53" s="509"/>
      <c r="R53" s="572"/>
      <c r="S53" s="495">
        <f t="shared" si="2"/>
        <v>0</v>
      </c>
      <c r="T53" s="571">
        <f t="shared" si="3"/>
        <v>0</v>
      </c>
    </row>
    <row r="54" spans="1:20" ht="45" x14ac:dyDescent="0.25">
      <c r="A54" s="573" t="s">
        <v>267</v>
      </c>
      <c r="B54" s="573" t="s">
        <v>290</v>
      </c>
      <c r="C54" s="573" t="s">
        <v>156</v>
      </c>
      <c r="D54" s="564" t="s">
        <v>298</v>
      </c>
      <c r="E54" s="439"/>
      <c r="F54" s="509"/>
      <c r="G54" s="505" t="s">
        <v>271</v>
      </c>
      <c r="H54" s="509">
        <v>3.57</v>
      </c>
      <c r="I54" s="509"/>
      <c r="J54" s="509"/>
      <c r="K54" s="495">
        <f t="shared" si="0"/>
        <v>0</v>
      </c>
      <c r="L54" s="571">
        <f t="shared" si="1"/>
        <v>0</v>
      </c>
      <c r="M54" s="439">
        <v>24</v>
      </c>
      <c r="N54" s="495">
        <f>M54/158</f>
        <v>0.15189873417721519</v>
      </c>
      <c r="O54" s="505" t="s">
        <v>271</v>
      </c>
      <c r="P54" s="509">
        <v>3.57</v>
      </c>
      <c r="Q54" s="509" t="s">
        <v>272</v>
      </c>
      <c r="R54" s="572">
        <v>17.14</v>
      </c>
      <c r="S54" s="495">
        <f t="shared" si="2"/>
        <v>4.13</v>
      </c>
      <c r="T54" s="571">
        <f t="shared" si="3"/>
        <v>21.27</v>
      </c>
    </row>
    <row r="55" spans="1:20" ht="45" x14ac:dyDescent="0.25">
      <c r="A55" s="573" t="s">
        <v>267</v>
      </c>
      <c r="B55" s="573" t="s">
        <v>290</v>
      </c>
      <c r="C55" s="573" t="s">
        <v>156</v>
      </c>
      <c r="D55" s="564" t="s">
        <v>298</v>
      </c>
      <c r="E55" s="439">
        <v>24</v>
      </c>
      <c r="F55" s="495">
        <f>E55/176</f>
        <v>0.13636363636363635</v>
      </c>
      <c r="G55" s="505" t="s">
        <v>271</v>
      </c>
      <c r="H55" s="509">
        <v>3.57</v>
      </c>
      <c r="I55" s="509" t="s">
        <v>949</v>
      </c>
      <c r="J55" s="509">
        <v>42.84</v>
      </c>
      <c r="K55" s="495">
        <f t="shared" si="0"/>
        <v>10.32</v>
      </c>
      <c r="L55" s="571">
        <f t="shared" si="1"/>
        <v>53.160000000000004</v>
      </c>
      <c r="M55" s="439"/>
      <c r="N55" s="563"/>
      <c r="O55" s="505" t="s">
        <v>271</v>
      </c>
      <c r="P55" s="509">
        <v>3.57</v>
      </c>
      <c r="Q55" s="509"/>
      <c r="R55" s="572"/>
      <c r="S55" s="495">
        <f t="shared" si="2"/>
        <v>0</v>
      </c>
      <c r="T55" s="571">
        <f t="shared" si="3"/>
        <v>0</v>
      </c>
    </row>
    <row r="56" spans="1:20" ht="45" x14ac:dyDescent="0.25">
      <c r="A56" s="573" t="s">
        <v>267</v>
      </c>
      <c r="B56" s="573" t="s">
        <v>290</v>
      </c>
      <c r="C56" s="573" t="s">
        <v>156</v>
      </c>
      <c r="D56" s="564" t="s">
        <v>299</v>
      </c>
      <c r="E56" s="439"/>
      <c r="F56" s="509"/>
      <c r="G56" s="505" t="s">
        <v>271</v>
      </c>
      <c r="H56" s="509">
        <v>3.57</v>
      </c>
      <c r="I56" s="509"/>
      <c r="J56" s="509"/>
      <c r="K56" s="495">
        <f t="shared" si="0"/>
        <v>0</v>
      </c>
      <c r="L56" s="571">
        <f t="shared" si="1"/>
        <v>0</v>
      </c>
      <c r="M56" s="439">
        <v>24</v>
      </c>
      <c r="N56" s="495">
        <f t="shared" ref="N56:N58" si="4">M56/158</f>
        <v>0.15189873417721519</v>
      </c>
      <c r="O56" s="505" t="s">
        <v>271</v>
      </c>
      <c r="P56" s="509">
        <v>3.57</v>
      </c>
      <c r="Q56" s="509" t="s">
        <v>272</v>
      </c>
      <c r="R56" s="572">
        <v>17.14</v>
      </c>
      <c r="S56" s="495">
        <f t="shared" si="2"/>
        <v>4.13</v>
      </c>
      <c r="T56" s="571">
        <f t="shared" si="3"/>
        <v>21.27</v>
      </c>
    </row>
    <row r="57" spans="1:20" ht="45" x14ac:dyDescent="0.25">
      <c r="A57" s="573" t="s">
        <v>267</v>
      </c>
      <c r="B57" s="573" t="s">
        <v>290</v>
      </c>
      <c r="C57" s="573" t="s">
        <v>156</v>
      </c>
      <c r="D57" s="564" t="s">
        <v>300</v>
      </c>
      <c r="E57" s="439"/>
      <c r="F57" s="509"/>
      <c r="G57" s="505" t="s">
        <v>271</v>
      </c>
      <c r="H57" s="509">
        <v>3.57</v>
      </c>
      <c r="I57" s="509"/>
      <c r="J57" s="509"/>
      <c r="K57" s="495">
        <f t="shared" si="0"/>
        <v>0</v>
      </c>
      <c r="L57" s="571">
        <f t="shared" si="1"/>
        <v>0</v>
      </c>
      <c r="M57" s="439">
        <v>24</v>
      </c>
      <c r="N57" s="495">
        <f t="shared" si="4"/>
        <v>0.15189873417721519</v>
      </c>
      <c r="O57" s="505" t="s">
        <v>271</v>
      </c>
      <c r="P57" s="509">
        <v>3.57</v>
      </c>
      <c r="Q57" s="509" t="s">
        <v>272</v>
      </c>
      <c r="R57" s="572">
        <v>17.14</v>
      </c>
      <c r="S57" s="495">
        <f t="shared" si="2"/>
        <v>4.13</v>
      </c>
      <c r="T57" s="571">
        <f t="shared" si="3"/>
        <v>21.27</v>
      </c>
    </row>
    <row r="58" spans="1:20" ht="45" x14ac:dyDescent="0.25">
      <c r="A58" s="573" t="s">
        <v>267</v>
      </c>
      <c r="B58" s="573" t="s">
        <v>290</v>
      </c>
      <c r="C58" s="573" t="s">
        <v>156</v>
      </c>
      <c r="D58" s="564" t="s">
        <v>301</v>
      </c>
      <c r="E58" s="439"/>
      <c r="F58" s="509"/>
      <c r="G58" s="505" t="s">
        <v>271</v>
      </c>
      <c r="H58" s="509">
        <v>3.57</v>
      </c>
      <c r="I58" s="509"/>
      <c r="J58" s="509"/>
      <c r="K58" s="495">
        <f t="shared" si="0"/>
        <v>0</v>
      </c>
      <c r="L58" s="571">
        <f t="shared" si="1"/>
        <v>0</v>
      </c>
      <c r="M58" s="439">
        <v>24</v>
      </c>
      <c r="N58" s="495">
        <f t="shared" si="4"/>
        <v>0.15189873417721519</v>
      </c>
      <c r="O58" s="505" t="s">
        <v>271</v>
      </c>
      <c r="P58" s="509">
        <v>3.57</v>
      </c>
      <c r="Q58" s="509" t="s">
        <v>272</v>
      </c>
      <c r="R58" s="572">
        <v>17.14</v>
      </c>
      <c r="S58" s="495">
        <f t="shared" si="2"/>
        <v>4.13</v>
      </c>
      <c r="T58" s="571">
        <f t="shared" si="3"/>
        <v>21.27</v>
      </c>
    </row>
    <row r="59" spans="1:20" ht="45" x14ac:dyDescent="0.25">
      <c r="A59" s="573" t="s">
        <v>267</v>
      </c>
      <c r="B59" s="573" t="s">
        <v>290</v>
      </c>
      <c r="C59" s="573" t="s">
        <v>156</v>
      </c>
      <c r="D59" s="564" t="s">
        <v>301</v>
      </c>
      <c r="E59" s="439">
        <v>24</v>
      </c>
      <c r="F59" s="495">
        <f>E59/176</f>
        <v>0.13636363636363635</v>
      </c>
      <c r="G59" s="505" t="s">
        <v>271</v>
      </c>
      <c r="H59" s="509">
        <v>3.57</v>
      </c>
      <c r="I59" s="509" t="s">
        <v>949</v>
      </c>
      <c r="J59" s="509">
        <v>42.84</v>
      </c>
      <c r="K59" s="495">
        <f t="shared" si="0"/>
        <v>10.32</v>
      </c>
      <c r="L59" s="571">
        <f t="shared" si="1"/>
        <v>53.160000000000004</v>
      </c>
      <c r="M59" s="439"/>
      <c r="N59" s="563"/>
      <c r="O59" s="505" t="s">
        <v>271</v>
      </c>
      <c r="P59" s="509">
        <v>3.57</v>
      </c>
      <c r="Q59" s="509"/>
      <c r="R59" s="572"/>
      <c r="S59" s="495">
        <f t="shared" si="2"/>
        <v>0</v>
      </c>
      <c r="T59" s="571">
        <f t="shared" si="3"/>
        <v>0</v>
      </c>
    </row>
    <row r="60" spans="1:20" ht="45" x14ac:dyDescent="0.25">
      <c r="A60" s="573" t="s">
        <v>267</v>
      </c>
      <c r="B60" s="573" t="s">
        <v>290</v>
      </c>
      <c r="C60" s="573" t="s">
        <v>156</v>
      </c>
      <c r="D60" s="564" t="s">
        <v>302</v>
      </c>
      <c r="E60" s="439"/>
      <c r="F60" s="509"/>
      <c r="G60" s="505" t="s">
        <v>271</v>
      </c>
      <c r="H60" s="509">
        <v>3.57</v>
      </c>
      <c r="I60" s="509"/>
      <c r="J60" s="509"/>
      <c r="K60" s="495">
        <f t="shared" si="0"/>
        <v>0</v>
      </c>
      <c r="L60" s="571">
        <f t="shared" si="1"/>
        <v>0</v>
      </c>
      <c r="M60" s="439">
        <v>24</v>
      </c>
      <c r="N60" s="495">
        <f>M60/158</f>
        <v>0.15189873417721519</v>
      </c>
      <c r="O60" s="505" t="s">
        <v>271</v>
      </c>
      <c r="P60" s="509">
        <v>3.57</v>
      </c>
      <c r="Q60" s="509" t="s">
        <v>272</v>
      </c>
      <c r="R60" s="572">
        <v>17.14</v>
      </c>
      <c r="S60" s="495">
        <f t="shared" si="2"/>
        <v>4.13</v>
      </c>
      <c r="T60" s="571">
        <f t="shared" si="3"/>
        <v>21.27</v>
      </c>
    </row>
    <row r="61" spans="1:20" ht="45.75" thickBot="1" x14ac:dyDescent="0.3">
      <c r="A61" s="574" t="s">
        <v>267</v>
      </c>
      <c r="B61" s="574" t="s">
        <v>290</v>
      </c>
      <c r="C61" s="574" t="s">
        <v>156</v>
      </c>
      <c r="D61" s="575" t="s">
        <v>302</v>
      </c>
      <c r="E61" s="576">
        <v>24</v>
      </c>
      <c r="F61" s="577">
        <f t="shared" ref="F61:F62" si="5">E61/176</f>
        <v>0.13636363636363635</v>
      </c>
      <c r="G61" s="578" t="s">
        <v>271</v>
      </c>
      <c r="H61" s="579">
        <v>3.57</v>
      </c>
      <c r="I61" s="579" t="s">
        <v>949</v>
      </c>
      <c r="J61" s="579">
        <v>42.84</v>
      </c>
      <c r="K61" s="577">
        <f t="shared" si="0"/>
        <v>10.32</v>
      </c>
      <c r="L61" s="580">
        <f t="shared" si="1"/>
        <v>53.160000000000004</v>
      </c>
      <c r="M61" s="576"/>
      <c r="N61" s="581"/>
      <c r="O61" s="578" t="s">
        <v>271</v>
      </c>
      <c r="P61" s="579">
        <v>3.57</v>
      </c>
      <c r="Q61" s="579"/>
      <c r="R61" s="582"/>
      <c r="S61" s="577">
        <f t="shared" si="2"/>
        <v>0</v>
      </c>
      <c r="T61" s="580">
        <f t="shared" si="3"/>
        <v>0</v>
      </c>
    </row>
    <row r="62" spans="1:20" ht="17.25" thickBot="1" x14ac:dyDescent="0.3">
      <c r="A62" s="583" t="s">
        <v>303</v>
      </c>
      <c r="B62" s="584"/>
      <c r="C62" s="584"/>
      <c r="D62" s="585"/>
      <c r="E62" s="586">
        <v>923</v>
      </c>
      <c r="F62" s="587">
        <f t="shared" si="5"/>
        <v>5.2443181818181817</v>
      </c>
      <c r="G62" s="588"/>
      <c r="H62" s="589"/>
      <c r="I62" s="589"/>
      <c r="J62" s="589">
        <v>2386.130000000001</v>
      </c>
      <c r="K62" s="587">
        <f t="shared" si="0"/>
        <v>574.82000000000005</v>
      </c>
      <c r="L62" s="590">
        <f t="shared" si="1"/>
        <v>2960.9500000000012</v>
      </c>
      <c r="M62" s="586">
        <v>1047</v>
      </c>
      <c r="N62" s="587">
        <f t="shared" ref="N62:N63" si="6">M62/158</f>
        <v>6.6265822784810124</v>
      </c>
      <c r="O62" s="588"/>
      <c r="P62" s="589"/>
      <c r="Q62" s="589"/>
      <c r="R62" s="591">
        <v>1149.5300000000004</v>
      </c>
      <c r="S62" s="587">
        <f t="shared" si="2"/>
        <v>276.92</v>
      </c>
      <c r="T62" s="590">
        <f t="shared" si="3"/>
        <v>1426.4500000000005</v>
      </c>
    </row>
    <row r="63" spans="1:20" ht="30" x14ac:dyDescent="0.25">
      <c r="A63" s="592" t="s">
        <v>304</v>
      </c>
      <c r="B63" s="592" t="s">
        <v>305</v>
      </c>
      <c r="C63" s="592" t="s">
        <v>306</v>
      </c>
      <c r="D63" s="593" t="s">
        <v>307</v>
      </c>
      <c r="E63" s="565"/>
      <c r="F63" s="566"/>
      <c r="G63" s="569" t="s">
        <v>289</v>
      </c>
      <c r="H63" s="566">
        <v>2150</v>
      </c>
      <c r="I63" s="566"/>
      <c r="J63" s="566"/>
      <c r="K63" s="567">
        <f t="shared" si="0"/>
        <v>0</v>
      </c>
      <c r="L63" s="568">
        <f t="shared" si="1"/>
        <v>0</v>
      </c>
      <c r="M63" s="565">
        <v>40</v>
      </c>
      <c r="N63" s="567">
        <f t="shared" si="6"/>
        <v>0.25316455696202533</v>
      </c>
      <c r="O63" s="569" t="s">
        <v>289</v>
      </c>
      <c r="P63" s="566">
        <v>2150</v>
      </c>
      <c r="Q63" s="566" t="s">
        <v>272</v>
      </c>
      <c r="R63" s="570">
        <v>108.86</v>
      </c>
      <c r="S63" s="567">
        <f t="shared" si="2"/>
        <v>26.22</v>
      </c>
      <c r="T63" s="568">
        <f t="shared" si="3"/>
        <v>135.07999999999998</v>
      </c>
    </row>
    <row r="64" spans="1:20" ht="30.75" thickBot="1" x14ac:dyDescent="0.3">
      <c r="A64" s="574" t="s">
        <v>304</v>
      </c>
      <c r="B64" s="574" t="s">
        <v>305</v>
      </c>
      <c r="C64" s="574" t="s">
        <v>306</v>
      </c>
      <c r="D64" s="575" t="s">
        <v>307</v>
      </c>
      <c r="E64" s="576">
        <v>10</v>
      </c>
      <c r="F64" s="577">
        <f t="shared" ref="F64:F65" si="7">E64/176</f>
        <v>5.6818181818181816E-2</v>
      </c>
      <c r="G64" s="578" t="s">
        <v>289</v>
      </c>
      <c r="H64" s="579">
        <v>2150</v>
      </c>
      <c r="I64" s="579" t="s">
        <v>950</v>
      </c>
      <c r="J64" s="579">
        <v>36.65</v>
      </c>
      <c r="K64" s="577">
        <f t="shared" si="0"/>
        <v>8.83</v>
      </c>
      <c r="L64" s="580">
        <f t="shared" si="1"/>
        <v>45.48</v>
      </c>
      <c r="M64" s="576"/>
      <c r="N64" s="581"/>
      <c r="O64" s="578" t="s">
        <v>289</v>
      </c>
      <c r="P64" s="579">
        <v>2150</v>
      </c>
      <c r="Q64" s="579"/>
      <c r="R64" s="582"/>
      <c r="S64" s="577">
        <f t="shared" si="2"/>
        <v>0</v>
      </c>
      <c r="T64" s="580">
        <f t="shared" si="3"/>
        <v>0</v>
      </c>
    </row>
    <row r="65" spans="1:20" ht="48" thickBot="1" x14ac:dyDescent="0.3">
      <c r="A65" s="583" t="s">
        <v>308</v>
      </c>
      <c r="B65" s="584"/>
      <c r="C65" s="584"/>
      <c r="D65" s="585"/>
      <c r="E65" s="586">
        <v>10</v>
      </c>
      <c r="F65" s="587">
        <f t="shared" si="7"/>
        <v>5.6818181818181816E-2</v>
      </c>
      <c r="G65" s="588"/>
      <c r="H65" s="589"/>
      <c r="I65" s="589"/>
      <c r="J65" s="589">
        <v>36.65</v>
      </c>
      <c r="K65" s="587">
        <f t="shared" si="0"/>
        <v>8.83</v>
      </c>
      <c r="L65" s="590">
        <f t="shared" si="1"/>
        <v>45.48</v>
      </c>
      <c r="M65" s="586">
        <v>40</v>
      </c>
      <c r="N65" s="587">
        <f t="shared" ref="N65:N66" si="8">M65/158</f>
        <v>0.25316455696202533</v>
      </c>
      <c r="O65" s="588"/>
      <c r="P65" s="589"/>
      <c r="Q65" s="589"/>
      <c r="R65" s="591">
        <v>108.86</v>
      </c>
      <c r="S65" s="587">
        <f t="shared" si="2"/>
        <v>26.22</v>
      </c>
      <c r="T65" s="590">
        <f t="shared" si="3"/>
        <v>135.07999999999998</v>
      </c>
    </row>
    <row r="66" spans="1:20" ht="30" x14ac:dyDescent="0.25">
      <c r="A66" s="592" t="s">
        <v>309</v>
      </c>
      <c r="B66" s="592" t="s">
        <v>305</v>
      </c>
      <c r="C66" s="592" t="s">
        <v>310</v>
      </c>
      <c r="D66" s="593" t="s">
        <v>311</v>
      </c>
      <c r="E66" s="565"/>
      <c r="F66" s="566"/>
      <c r="G66" s="569" t="s">
        <v>289</v>
      </c>
      <c r="H66" s="566">
        <v>1150</v>
      </c>
      <c r="I66" s="566"/>
      <c r="J66" s="566"/>
      <c r="K66" s="567">
        <f t="shared" si="0"/>
        <v>0</v>
      </c>
      <c r="L66" s="568">
        <f t="shared" si="1"/>
        <v>0</v>
      </c>
      <c r="M66" s="565">
        <v>79</v>
      </c>
      <c r="N66" s="567">
        <f t="shared" si="8"/>
        <v>0.5</v>
      </c>
      <c r="O66" s="569" t="s">
        <v>289</v>
      </c>
      <c r="P66" s="566">
        <v>1150</v>
      </c>
      <c r="Q66" s="566" t="s">
        <v>272</v>
      </c>
      <c r="R66" s="570">
        <v>114.99</v>
      </c>
      <c r="S66" s="567">
        <f t="shared" si="2"/>
        <v>27.7</v>
      </c>
      <c r="T66" s="568">
        <f t="shared" si="3"/>
        <v>142.69</v>
      </c>
    </row>
    <row r="67" spans="1:20" ht="30" x14ac:dyDescent="0.25">
      <c r="A67" s="573" t="s">
        <v>309</v>
      </c>
      <c r="B67" s="573" t="s">
        <v>305</v>
      </c>
      <c r="C67" s="573" t="s">
        <v>310</v>
      </c>
      <c r="D67" s="564" t="s">
        <v>311</v>
      </c>
      <c r="E67" s="439">
        <v>20</v>
      </c>
      <c r="F67" s="495">
        <f>E67/176</f>
        <v>0.11363636363636363</v>
      </c>
      <c r="G67" s="505" t="s">
        <v>289</v>
      </c>
      <c r="H67" s="509">
        <v>1150</v>
      </c>
      <c r="I67" s="509" t="s">
        <v>950</v>
      </c>
      <c r="J67" s="509">
        <v>39.21</v>
      </c>
      <c r="K67" s="495">
        <f t="shared" si="0"/>
        <v>9.4499999999999993</v>
      </c>
      <c r="L67" s="571">
        <f t="shared" si="1"/>
        <v>48.66</v>
      </c>
      <c r="M67" s="439"/>
      <c r="N67" s="563"/>
      <c r="O67" s="505" t="s">
        <v>289</v>
      </c>
      <c r="P67" s="509">
        <v>1150</v>
      </c>
      <c r="Q67" s="509"/>
      <c r="R67" s="572"/>
      <c r="S67" s="495">
        <f t="shared" si="2"/>
        <v>0</v>
      </c>
      <c r="T67" s="571">
        <f t="shared" si="3"/>
        <v>0</v>
      </c>
    </row>
    <row r="68" spans="1:20" ht="45" x14ac:dyDescent="0.25">
      <c r="A68" s="573" t="s">
        <v>309</v>
      </c>
      <c r="B68" s="573" t="s">
        <v>305</v>
      </c>
      <c r="C68" s="573" t="s">
        <v>312</v>
      </c>
      <c r="D68" s="564" t="s">
        <v>313</v>
      </c>
      <c r="E68" s="439"/>
      <c r="F68" s="509"/>
      <c r="G68" s="505" t="s">
        <v>289</v>
      </c>
      <c r="H68" s="509">
        <v>700</v>
      </c>
      <c r="I68" s="509"/>
      <c r="J68" s="509"/>
      <c r="K68" s="495">
        <f t="shared" si="0"/>
        <v>0</v>
      </c>
      <c r="L68" s="571">
        <f t="shared" si="1"/>
        <v>0</v>
      </c>
      <c r="M68" s="439">
        <v>79</v>
      </c>
      <c r="N68" s="495">
        <f>M68/158</f>
        <v>0.5</v>
      </c>
      <c r="O68" s="505" t="s">
        <v>289</v>
      </c>
      <c r="P68" s="509">
        <v>700</v>
      </c>
      <c r="Q68" s="509" t="s">
        <v>272</v>
      </c>
      <c r="R68" s="572">
        <v>69.989999999999995</v>
      </c>
      <c r="S68" s="495">
        <f t="shared" si="2"/>
        <v>16.86</v>
      </c>
      <c r="T68" s="571">
        <f t="shared" si="3"/>
        <v>86.85</v>
      </c>
    </row>
    <row r="69" spans="1:20" ht="45" x14ac:dyDescent="0.25">
      <c r="A69" s="573" t="s">
        <v>309</v>
      </c>
      <c r="B69" s="573" t="s">
        <v>305</v>
      </c>
      <c r="C69" s="573" t="s">
        <v>312</v>
      </c>
      <c r="D69" s="564" t="s">
        <v>313</v>
      </c>
      <c r="E69" s="439">
        <v>20</v>
      </c>
      <c r="F69" s="495">
        <f>E69/176</f>
        <v>0.11363636363636363</v>
      </c>
      <c r="G69" s="505" t="s">
        <v>289</v>
      </c>
      <c r="H69" s="509">
        <v>700</v>
      </c>
      <c r="I69" s="509" t="s">
        <v>950</v>
      </c>
      <c r="J69" s="509">
        <v>23.86</v>
      </c>
      <c r="K69" s="495">
        <f t="shared" si="0"/>
        <v>5.75</v>
      </c>
      <c r="L69" s="571">
        <f t="shared" si="1"/>
        <v>29.61</v>
      </c>
      <c r="M69" s="439"/>
      <c r="N69" s="563"/>
      <c r="O69" s="505" t="s">
        <v>289</v>
      </c>
      <c r="P69" s="509">
        <v>700</v>
      </c>
      <c r="Q69" s="509"/>
      <c r="R69" s="572"/>
      <c r="S69" s="495">
        <f t="shared" si="2"/>
        <v>0</v>
      </c>
      <c r="T69" s="571">
        <f t="shared" si="3"/>
        <v>0</v>
      </c>
    </row>
    <row r="70" spans="1:20" ht="45" x14ac:dyDescent="0.25">
      <c r="A70" s="573" t="s">
        <v>309</v>
      </c>
      <c r="B70" s="573" t="s">
        <v>305</v>
      </c>
      <c r="C70" s="573" t="s">
        <v>312</v>
      </c>
      <c r="D70" s="564" t="s">
        <v>314</v>
      </c>
      <c r="E70" s="439"/>
      <c r="F70" s="509"/>
      <c r="G70" s="505" t="s">
        <v>289</v>
      </c>
      <c r="H70" s="509">
        <v>700</v>
      </c>
      <c r="I70" s="509"/>
      <c r="J70" s="509"/>
      <c r="K70" s="495">
        <f t="shared" si="0"/>
        <v>0</v>
      </c>
      <c r="L70" s="571">
        <f t="shared" si="1"/>
        <v>0</v>
      </c>
      <c r="M70" s="439">
        <v>79</v>
      </c>
      <c r="N70" s="495">
        <f>M70/158</f>
        <v>0.5</v>
      </c>
      <c r="O70" s="505" t="s">
        <v>289</v>
      </c>
      <c r="P70" s="509">
        <v>700</v>
      </c>
      <c r="Q70" s="509" t="s">
        <v>272</v>
      </c>
      <c r="R70" s="572">
        <v>69.989999999999995</v>
      </c>
      <c r="S70" s="495">
        <f t="shared" si="2"/>
        <v>16.86</v>
      </c>
      <c r="T70" s="571">
        <f t="shared" si="3"/>
        <v>86.85</v>
      </c>
    </row>
    <row r="71" spans="1:20" ht="45" x14ac:dyDescent="0.25">
      <c r="A71" s="573" t="s">
        <v>309</v>
      </c>
      <c r="B71" s="573" t="s">
        <v>305</v>
      </c>
      <c r="C71" s="573" t="s">
        <v>312</v>
      </c>
      <c r="D71" s="564" t="s">
        <v>314</v>
      </c>
      <c r="E71" s="439">
        <v>20</v>
      </c>
      <c r="F71" s="495">
        <f>E71/176</f>
        <v>0.11363636363636363</v>
      </c>
      <c r="G71" s="505" t="s">
        <v>289</v>
      </c>
      <c r="H71" s="509">
        <v>700</v>
      </c>
      <c r="I71" s="509" t="s">
        <v>950</v>
      </c>
      <c r="J71" s="509">
        <v>23.86</v>
      </c>
      <c r="K71" s="495">
        <f t="shared" si="0"/>
        <v>5.75</v>
      </c>
      <c r="L71" s="571">
        <f t="shared" si="1"/>
        <v>29.61</v>
      </c>
      <c r="M71" s="439"/>
      <c r="N71" s="563"/>
      <c r="O71" s="505" t="s">
        <v>289</v>
      </c>
      <c r="P71" s="509">
        <v>700</v>
      </c>
      <c r="Q71" s="509"/>
      <c r="R71" s="572"/>
      <c r="S71" s="495">
        <f t="shared" si="2"/>
        <v>0</v>
      </c>
      <c r="T71" s="571">
        <f t="shared" si="3"/>
        <v>0</v>
      </c>
    </row>
    <row r="72" spans="1:20" ht="30" x14ac:dyDescent="0.25">
      <c r="A72" s="573" t="s">
        <v>309</v>
      </c>
      <c r="B72" s="573" t="s">
        <v>305</v>
      </c>
      <c r="C72" s="573" t="s">
        <v>315</v>
      </c>
      <c r="D72" s="564" t="s">
        <v>316</v>
      </c>
      <c r="E72" s="439"/>
      <c r="F72" s="509"/>
      <c r="G72" s="505" t="s">
        <v>289</v>
      </c>
      <c r="H72" s="509">
        <v>950</v>
      </c>
      <c r="I72" s="509"/>
      <c r="J72" s="509"/>
      <c r="K72" s="495">
        <f t="shared" si="0"/>
        <v>0</v>
      </c>
      <c r="L72" s="571">
        <f t="shared" si="1"/>
        <v>0</v>
      </c>
      <c r="M72" s="439">
        <v>60</v>
      </c>
      <c r="N72" s="495">
        <f>M72/158</f>
        <v>0.379746835443038</v>
      </c>
      <c r="O72" s="505" t="s">
        <v>289</v>
      </c>
      <c r="P72" s="509">
        <v>950</v>
      </c>
      <c r="Q72" s="509" t="s">
        <v>272</v>
      </c>
      <c r="R72" s="572">
        <v>72.16</v>
      </c>
      <c r="S72" s="495">
        <f t="shared" si="2"/>
        <v>17.38</v>
      </c>
      <c r="T72" s="571">
        <f t="shared" si="3"/>
        <v>89.539999999999992</v>
      </c>
    </row>
    <row r="73" spans="1:20" ht="30.75" thickBot="1" x14ac:dyDescent="0.3">
      <c r="A73" s="574" t="s">
        <v>309</v>
      </c>
      <c r="B73" s="574" t="s">
        <v>305</v>
      </c>
      <c r="C73" s="574" t="s">
        <v>315</v>
      </c>
      <c r="D73" s="575" t="s">
        <v>316</v>
      </c>
      <c r="E73" s="576">
        <v>20</v>
      </c>
      <c r="F73" s="577">
        <f t="shared" ref="F73:F74" si="9">E73/176</f>
        <v>0.11363636363636363</v>
      </c>
      <c r="G73" s="578" t="s">
        <v>289</v>
      </c>
      <c r="H73" s="579">
        <v>950</v>
      </c>
      <c r="I73" s="579" t="s">
        <v>950</v>
      </c>
      <c r="J73" s="579">
        <v>32.39</v>
      </c>
      <c r="K73" s="577">
        <f t="shared" si="0"/>
        <v>7.8</v>
      </c>
      <c r="L73" s="580">
        <f t="shared" si="1"/>
        <v>40.19</v>
      </c>
      <c r="M73" s="576"/>
      <c r="N73" s="581"/>
      <c r="O73" s="578" t="s">
        <v>289</v>
      </c>
      <c r="P73" s="579">
        <v>950</v>
      </c>
      <c r="Q73" s="579"/>
      <c r="R73" s="582"/>
      <c r="S73" s="577">
        <f t="shared" si="2"/>
        <v>0</v>
      </c>
      <c r="T73" s="580">
        <f t="shared" si="3"/>
        <v>0</v>
      </c>
    </row>
    <row r="74" spans="1:20" ht="48" thickBot="1" x14ac:dyDescent="0.3">
      <c r="A74" s="583" t="s">
        <v>317</v>
      </c>
      <c r="B74" s="584"/>
      <c r="C74" s="584"/>
      <c r="D74" s="585"/>
      <c r="E74" s="586">
        <v>80</v>
      </c>
      <c r="F74" s="587">
        <f t="shared" si="9"/>
        <v>0.45454545454545453</v>
      </c>
      <c r="G74" s="588"/>
      <c r="H74" s="589"/>
      <c r="I74" s="589"/>
      <c r="J74" s="589">
        <v>119.32000000000001</v>
      </c>
      <c r="K74" s="587">
        <f t="shared" si="0"/>
        <v>28.74</v>
      </c>
      <c r="L74" s="590">
        <f t="shared" si="1"/>
        <v>148.06</v>
      </c>
      <c r="M74" s="586">
        <v>297</v>
      </c>
      <c r="N74" s="587">
        <f t="shared" ref="N74:N75" si="10">M74/158</f>
        <v>1.879746835443038</v>
      </c>
      <c r="O74" s="588"/>
      <c r="P74" s="589"/>
      <c r="Q74" s="589"/>
      <c r="R74" s="591">
        <v>327.13</v>
      </c>
      <c r="S74" s="587">
        <f t="shared" si="2"/>
        <v>78.81</v>
      </c>
      <c r="T74" s="590">
        <f t="shared" si="3"/>
        <v>405.94</v>
      </c>
    </row>
    <row r="75" spans="1:20" ht="45" x14ac:dyDescent="0.25">
      <c r="A75" s="592" t="s">
        <v>318</v>
      </c>
      <c r="B75" s="592" t="s">
        <v>305</v>
      </c>
      <c r="C75" s="592" t="s">
        <v>319</v>
      </c>
      <c r="D75" s="593" t="s">
        <v>320</v>
      </c>
      <c r="E75" s="565"/>
      <c r="F75" s="566"/>
      <c r="G75" s="569" t="s">
        <v>289</v>
      </c>
      <c r="H75" s="566">
        <v>2100</v>
      </c>
      <c r="I75" s="566"/>
      <c r="J75" s="566"/>
      <c r="K75" s="567">
        <f t="shared" ref="K75:K138" si="11">ROUND(J75*0.2409,2)</f>
        <v>0</v>
      </c>
      <c r="L75" s="568">
        <f t="shared" ref="L75:L138" si="12">K75+J75</f>
        <v>0</v>
      </c>
      <c r="M75" s="565">
        <v>27</v>
      </c>
      <c r="N75" s="567">
        <f t="shared" si="10"/>
        <v>0.17088607594936708</v>
      </c>
      <c r="O75" s="569" t="s">
        <v>289</v>
      </c>
      <c r="P75" s="566">
        <v>2100</v>
      </c>
      <c r="Q75" s="566" t="s">
        <v>272</v>
      </c>
      <c r="R75" s="570">
        <v>71.77</v>
      </c>
      <c r="S75" s="567">
        <f t="shared" ref="S75:S138" si="13">ROUND(R75*0.2409,2)</f>
        <v>17.29</v>
      </c>
      <c r="T75" s="568">
        <f t="shared" ref="T75:T138" si="14">S75+R75</f>
        <v>89.06</v>
      </c>
    </row>
    <row r="76" spans="1:20" ht="45" x14ac:dyDescent="0.25">
      <c r="A76" s="573" t="s">
        <v>318</v>
      </c>
      <c r="B76" s="573" t="s">
        <v>305</v>
      </c>
      <c r="C76" s="573" t="s">
        <v>319</v>
      </c>
      <c r="D76" s="564" t="s">
        <v>320</v>
      </c>
      <c r="E76" s="439">
        <v>9</v>
      </c>
      <c r="F76" s="495">
        <f>E76/176</f>
        <v>5.113636363636364E-2</v>
      </c>
      <c r="G76" s="505" t="s">
        <v>289</v>
      </c>
      <c r="H76" s="509">
        <v>2100</v>
      </c>
      <c r="I76" s="509" t="s">
        <v>950</v>
      </c>
      <c r="J76" s="509">
        <v>32.22</v>
      </c>
      <c r="K76" s="495">
        <f t="shared" si="11"/>
        <v>7.76</v>
      </c>
      <c r="L76" s="571">
        <f t="shared" si="12"/>
        <v>39.979999999999997</v>
      </c>
      <c r="M76" s="439"/>
      <c r="N76" s="563"/>
      <c r="O76" s="505" t="s">
        <v>289</v>
      </c>
      <c r="P76" s="509">
        <v>2100</v>
      </c>
      <c r="Q76" s="509"/>
      <c r="R76" s="572"/>
      <c r="S76" s="495">
        <f t="shared" si="13"/>
        <v>0</v>
      </c>
      <c r="T76" s="571">
        <f t="shared" si="14"/>
        <v>0</v>
      </c>
    </row>
    <row r="77" spans="1:20" ht="45" x14ac:dyDescent="0.25">
      <c r="A77" s="573" t="s">
        <v>318</v>
      </c>
      <c r="B77" s="573" t="s">
        <v>305</v>
      </c>
      <c r="C77" s="573" t="s">
        <v>321</v>
      </c>
      <c r="D77" s="564" t="s">
        <v>322</v>
      </c>
      <c r="E77" s="439"/>
      <c r="F77" s="509"/>
      <c r="G77" s="505" t="s">
        <v>289</v>
      </c>
      <c r="H77" s="509">
        <v>2300</v>
      </c>
      <c r="I77" s="509"/>
      <c r="J77" s="509"/>
      <c r="K77" s="495">
        <f t="shared" si="11"/>
        <v>0</v>
      </c>
      <c r="L77" s="571">
        <f t="shared" si="12"/>
        <v>0</v>
      </c>
      <c r="M77" s="439">
        <v>71</v>
      </c>
      <c r="N77" s="495">
        <f>M77/158</f>
        <v>0.44936708860759494</v>
      </c>
      <c r="O77" s="505" t="s">
        <v>289</v>
      </c>
      <c r="P77" s="509">
        <v>2300</v>
      </c>
      <c r="Q77" s="509" t="s">
        <v>272</v>
      </c>
      <c r="R77" s="572">
        <v>206.71</v>
      </c>
      <c r="S77" s="495">
        <f t="shared" si="13"/>
        <v>49.8</v>
      </c>
      <c r="T77" s="571">
        <f t="shared" si="14"/>
        <v>256.51</v>
      </c>
    </row>
    <row r="78" spans="1:20" ht="45.75" thickBot="1" x14ac:dyDescent="0.3">
      <c r="A78" s="574" t="s">
        <v>318</v>
      </c>
      <c r="B78" s="574" t="s">
        <v>305</v>
      </c>
      <c r="C78" s="574" t="s">
        <v>321</v>
      </c>
      <c r="D78" s="575" t="s">
        <v>322</v>
      </c>
      <c r="E78" s="576">
        <v>18</v>
      </c>
      <c r="F78" s="577">
        <f t="shared" ref="F78:F79" si="15">E78/176</f>
        <v>0.10227272727272728</v>
      </c>
      <c r="G78" s="578" t="s">
        <v>289</v>
      </c>
      <c r="H78" s="579">
        <v>2300</v>
      </c>
      <c r="I78" s="579" t="s">
        <v>950</v>
      </c>
      <c r="J78" s="579">
        <v>70.56</v>
      </c>
      <c r="K78" s="577">
        <f t="shared" si="11"/>
        <v>17</v>
      </c>
      <c r="L78" s="580">
        <f t="shared" si="12"/>
        <v>87.56</v>
      </c>
      <c r="M78" s="576"/>
      <c r="N78" s="581"/>
      <c r="O78" s="578" t="s">
        <v>289</v>
      </c>
      <c r="P78" s="579">
        <v>2300</v>
      </c>
      <c r="Q78" s="579"/>
      <c r="R78" s="582"/>
      <c r="S78" s="577">
        <f t="shared" si="13"/>
        <v>0</v>
      </c>
      <c r="T78" s="580">
        <f t="shared" si="14"/>
        <v>0</v>
      </c>
    </row>
    <row r="79" spans="1:20" ht="48" thickBot="1" x14ac:dyDescent="0.3">
      <c r="A79" s="583" t="s">
        <v>323</v>
      </c>
      <c r="B79" s="584"/>
      <c r="C79" s="584"/>
      <c r="D79" s="585"/>
      <c r="E79" s="586">
        <v>27</v>
      </c>
      <c r="F79" s="587">
        <f t="shared" si="15"/>
        <v>0.15340909090909091</v>
      </c>
      <c r="G79" s="588"/>
      <c r="H79" s="589"/>
      <c r="I79" s="589"/>
      <c r="J79" s="589">
        <v>102.78</v>
      </c>
      <c r="K79" s="587">
        <f t="shared" si="11"/>
        <v>24.76</v>
      </c>
      <c r="L79" s="590">
        <f t="shared" si="12"/>
        <v>127.54</v>
      </c>
      <c r="M79" s="586">
        <v>98</v>
      </c>
      <c r="N79" s="587">
        <f t="shared" ref="N79:N80" si="16">M79/158</f>
        <v>0.620253164556962</v>
      </c>
      <c r="O79" s="588"/>
      <c r="P79" s="589"/>
      <c r="Q79" s="589"/>
      <c r="R79" s="591">
        <v>278.48</v>
      </c>
      <c r="S79" s="587">
        <f t="shared" si="13"/>
        <v>67.09</v>
      </c>
      <c r="T79" s="590">
        <f t="shared" si="14"/>
        <v>345.57000000000005</v>
      </c>
    </row>
    <row r="80" spans="1:20" ht="45" x14ac:dyDescent="0.25">
      <c r="A80" s="592" t="s">
        <v>324</v>
      </c>
      <c r="B80" s="592" t="s">
        <v>305</v>
      </c>
      <c r="C80" s="592" t="s">
        <v>325</v>
      </c>
      <c r="D80" s="593" t="s">
        <v>326</v>
      </c>
      <c r="E80" s="565"/>
      <c r="F80" s="566"/>
      <c r="G80" s="569" t="s">
        <v>289</v>
      </c>
      <c r="H80" s="566">
        <v>1650</v>
      </c>
      <c r="I80" s="566"/>
      <c r="J80" s="566"/>
      <c r="K80" s="567">
        <f t="shared" si="11"/>
        <v>0</v>
      </c>
      <c r="L80" s="568">
        <f t="shared" si="12"/>
        <v>0</v>
      </c>
      <c r="M80" s="565">
        <v>79</v>
      </c>
      <c r="N80" s="567">
        <f t="shared" si="16"/>
        <v>0.5</v>
      </c>
      <c r="O80" s="569" t="s">
        <v>289</v>
      </c>
      <c r="P80" s="566">
        <v>1650</v>
      </c>
      <c r="Q80" s="566" t="s">
        <v>272</v>
      </c>
      <c r="R80" s="570">
        <v>165</v>
      </c>
      <c r="S80" s="567">
        <f t="shared" si="13"/>
        <v>39.75</v>
      </c>
      <c r="T80" s="568">
        <f t="shared" si="14"/>
        <v>204.75</v>
      </c>
    </row>
    <row r="81" spans="1:20" ht="45.75" thickBot="1" x14ac:dyDescent="0.3">
      <c r="A81" s="574" t="s">
        <v>324</v>
      </c>
      <c r="B81" s="574" t="s">
        <v>305</v>
      </c>
      <c r="C81" s="574" t="s">
        <v>325</v>
      </c>
      <c r="D81" s="575" t="s">
        <v>326</v>
      </c>
      <c r="E81" s="576">
        <v>20</v>
      </c>
      <c r="F81" s="577">
        <f t="shared" ref="F81:F82" si="17">E81/176</f>
        <v>0.11363636363636363</v>
      </c>
      <c r="G81" s="578" t="s">
        <v>289</v>
      </c>
      <c r="H81" s="579">
        <v>1650</v>
      </c>
      <c r="I81" s="579" t="s">
        <v>950</v>
      </c>
      <c r="J81" s="579">
        <v>56.25</v>
      </c>
      <c r="K81" s="577">
        <f t="shared" si="11"/>
        <v>13.55</v>
      </c>
      <c r="L81" s="580">
        <f t="shared" si="12"/>
        <v>69.8</v>
      </c>
      <c r="M81" s="576"/>
      <c r="N81" s="581"/>
      <c r="O81" s="578" t="s">
        <v>289</v>
      </c>
      <c r="P81" s="579">
        <v>1650</v>
      </c>
      <c r="Q81" s="579"/>
      <c r="R81" s="582"/>
      <c r="S81" s="577">
        <f t="shared" si="13"/>
        <v>0</v>
      </c>
      <c r="T81" s="580">
        <f t="shared" si="14"/>
        <v>0</v>
      </c>
    </row>
    <row r="82" spans="1:20" ht="17.25" thickBot="1" x14ac:dyDescent="0.3">
      <c r="A82" s="583" t="s">
        <v>327</v>
      </c>
      <c r="B82" s="584"/>
      <c r="C82" s="584"/>
      <c r="D82" s="585"/>
      <c r="E82" s="586">
        <v>20</v>
      </c>
      <c r="F82" s="587">
        <f t="shared" si="17"/>
        <v>0.11363636363636363</v>
      </c>
      <c r="G82" s="588"/>
      <c r="H82" s="589"/>
      <c r="I82" s="589"/>
      <c r="J82" s="589">
        <v>56.25</v>
      </c>
      <c r="K82" s="587">
        <f t="shared" si="11"/>
        <v>13.55</v>
      </c>
      <c r="L82" s="590">
        <f t="shared" si="12"/>
        <v>69.8</v>
      </c>
      <c r="M82" s="586">
        <v>79</v>
      </c>
      <c r="N82" s="587">
        <f t="shared" ref="N82:N83" si="18">M82/158</f>
        <v>0.5</v>
      </c>
      <c r="O82" s="588"/>
      <c r="P82" s="589"/>
      <c r="Q82" s="589"/>
      <c r="R82" s="591">
        <v>165</v>
      </c>
      <c r="S82" s="587">
        <f t="shared" si="13"/>
        <v>39.75</v>
      </c>
      <c r="T82" s="590">
        <f t="shared" si="14"/>
        <v>204.75</v>
      </c>
    </row>
    <row r="83" spans="1:20" ht="45" x14ac:dyDescent="0.25">
      <c r="A83" s="592" t="s">
        <v>328</v>
      </c>
      <c r="B83" s="592" t="s">
        <v>305</v>
      </c>
      <c r="C83" s="592" t="s">
        <v>329</v>
      </c>
      <c r="D83" s="593" t="s">
        <v>330</v>
      </c>
      <c r="E83" s="565"/>
      <c r="F83" s="566"/>
      <c r="G83" s="569" t="s">
        <v>289</v>
      </c>
      <c r="H83" s="566">
        <v>3000</v>
      </c>
      <c r="I83" s="566"/>
      <c r="J83" s="566"/>
      <c r="K83" s="567">
        <f t="shared" si="11"/>
        <v>0</v>
      </c>
      <c r="L83" s="568">
        <f t="shared" si="12"/>
        <v>0</v>
      </c>
      <c r="M83" s="565">
        <v>79</v>
      </c>
      <c r="N83" s="567">
        <f t="shared" si="18"/>
        <v>0.5</v>
      </c>
      <c r="O83" s="569" t="s">
        <v>289</v>
      </c>
      <c r="P83" s="566">
        <v>3000</v>
      </c>
      <c r="Q83" s="566" t="s">
        <v>272</v>
      </c>
      <c r="R83" s="570">
        <v>299.99</v>
      </c>
      <c r="S83" s="567">
        <f t="shared" si="13"/>
        <v>72.27</v>
      </c>
      <c r="T83" s="568">
        <f t="shared" si="14"/>
        <v>372.26</v>
      </c>
    </row>
    <row r="84" spans="1:20" ht="45" x14ac:dyDescent="0.25">
      <c r="A84" s="573" t="s">
        <v>328</v>
      </c>
      <c r="B84" s="573" t="s">
        <v>305</v>
      </c>
      <c r="C84" s="573" t="s">
        <v>329</v>
      </c>
      <c r="D84" s="564" t="s">
        <v>330</v>
      </c>
      <c r="E84" s="439">
        <v>20</v>
      </c>
      <c r="F84" s="495">
        <f>E84/176</f>
        <v>0.11363636363636363</v>
      </c>
      <c r="G84" s="505" t="s">
        <v>289</v>
      </c>
      <c r="H84" s="509">
        <v>3000</v>
      </c>
      <c r="I84" s="509" t="s">
        <v>950</v>
      </c>
      <c r="J84" s="509">
        <v>102.27000000000001</v>
      </c>
      <c r="K84" s="495">
        <f t="shared" si="11"/>
        <v>24.64</v>
      </c>
      <c r="L84" s="571">
        <f t="shared" si="12"/>
        <v>126.91000000000001</v>
      </c>
      <c r="M84" s="439"/>
      <c r="N84" s="563"/>
      <c r="O84" s="505" t="s">
        <v>289</v>
      </c>
      <c r="P84" s="509">
        <v>3000</v>
      </c>
      <c r="Q84" s="509"/>
      <c r="R84" s="572"/>
      <c r="S84" s="495">
        <f t="shared" si="13"/>
        <v>0</v>
      </c>
      <c r="T84" s="571">
        <f t="shared" si="14"/>
        <v>0</v>
      </c>
    </row>
    <row r="85" spans="1:20" ht="45" x14ac:dyDescent="0.25">
      <c r="A85" s="573" t="s">
        <v>328</v>
      </c>
      <c r="B85" s="573" t="s">
        <v>305</v>
      </c>
      <c r="C85" s="573" t="s">
        <v>329</v>
      </c>
      <c r="D85" s="564" t="s">
        <v>331</v>
      </c>
      <c r="E85" s="439"/>
      <c r="F85" s="509"/>
      <c r="G85" s="505" t="s">
        <v>289</v>
      </c>
      <c r="H85" s="509">
        <v>3000</v>
      </c>
      <c r="I85" s="509"/>
      <c r="J85" s="509"/>
      <c r="K85" s="495">
        <f t="shared" si="11"/>
        <v>0</v>
      </c>
      <c r="L85" s="571">
        <f t="shared" si="12"/>
        <v>0</v>
      </c>
      <c r="M85" s="439">
        <v>79</v>
      </c>
      <c r="N85" s="495">
        <f>M85/158</f>
        <v>0.5</v>
      </c>
      <c r="O85" s="505" t="s">
        <v>289</v>
      </c>
      <c r="P85" s="509">
        <v>3000</v>
      </c>
      <c r="Q85" s="509" t="s">
        <v>272</v>
      </c>
      <c r="R85" s="572">
        <v>299.99</v>
      </c>
      <c r="S85" s="495">
        <f t="shared" si="13"/>
        <v>72.27</v>
      </c>
      <c r="T85" s="571">
        <f t="shared" si="14"/>
        <v>372.26</v>
      </c>
    </row>
    <row r="86" spans="1:20" ht="45.75" thickBot="1" x14ac:dyDescent="0.3">
      <c r="A86" s="574" t="s">
        <v>328</v>
      </c>
      <c r="B86" s="574" t="s">
        <v>305</v>
      </c>
      <c r="C86" s="574" t="s">
        <v>329</v>
      </c>
      <c r="D86" s="575" t="s">
        <v>331</v>
      </c>
      <c r="E86" s="576">
        <v>20</v>
      </c>
      <c r="F86" s="577">
        <f t="shared" ref="F86:F87" si="19">E86/176</f>
        <v>0.11363636363636363</v>
      </c>
      <c r="G86" s="578" t="s">
        <v>289</v>
      </c>
      <c r="H86" s="579">
        <v>3000</v>
      </c>
      <c r="I86" s="579" t="s">
        <v>950</v>
      </c>
      <c r="J86" s="579">
        <v>102.27000000000001</v>
      </c>
      <c r="K86" s="577">
        <f t="shared" si="11"/>
        <v>24.64</v>
      </c>
      <c r="L86" s="580">
        <f t="shared" si="12"/>
        <v>126.91000000000001</v>
      </c>
      <c r="M86" s="576"/>
      <c r="N86" s="581"/>
      <c r="O86" s="578" t="s">
        <v>289</v>
      </c>
      <c r="P86" s="579">
        <v>3000</v>
      </c>
      <c r="Q86" s="579"/>
      <c r="R86" s="582"/>
      <c r="S86" s="577">
        <f t="shared" si="13"/>
        <v>0</v>
      </c>
      <c r="T86" s="580">
        <f t="shared" si="14"/>
        <v>0</v>
      </c>
    </row>
    <row r="87" spans="1:20" ht="48" thickBot="1" x14ac:dyDescent="0.3">
      <c r="A87" s="583" t="s">
        <v>332</v>
      </c>
      <c r="B87" s="584"/>
      <c r="C87" s="584"/>
      <c r="D87" s="585"/>
      <c r="E87" s="586">
        <v>40</v>
      </c>
      <c r="F87" s="587">
        <f t="shared" si="19"/>
        <v>0.22727272727272727</v>
      </c>
      <c r="G87" s="588"/>
      <c r="H87" s="589"/>
      <c r="I87" s="589"/>
      <c r="J87" s="589">
        <v>204.54000000000002</v>
      </c>
      <c r="K87" s="587">
        <f t="shared" si="11"/>
        <v>49.27</v>
      </c>
      <c r="L87" s="590">
        <f t="shared" si="12"/>
        <v>253.81000000000003</v>
      </c>
      <c r="M87" s="586">
        <v>158</v>
      </c>
      <c r="N87" s="587">
        <f t="shared" ref="N87:N88" si="20">M87/158</f>
        <v>1</v>
      </c>
      <c r="O87" s="588"/>
      <c r="P87" s="589"/>
      <c r="Q87" s="589"/>
      <c r="R87" s="591">
        <v>599.98</v>
      </c>
      <c r="S87" s="587">
        <f t="shared" si="13"/>
        <v>144.54</v>
      </c>
      <c r="T87" s="590">
        <f t="shared" si="14"/>
        <v>744.52</v>
      </c>
    </row>
    <row r="88" spans="1:20" ht="30" x14ac:dyDescent="0.25">
      <c r="A88" s="592" t="s">
        <v>333</v>
      </c>
      <c r="B88" s="592" t="s">
        <v>305</v>
      </c>
      <c r="C88" s="592" t="s">
        <v>334</v>
      </c>
      <c r="D88" s="593" t="s">
        <v>335</v>
      </c>
      <c r="E88" s="565"/>
      <c r="F88" s="566"/>
      <c r="G88" s="569" t="s">
        <v>289</v>
      </c>
      <c r="H88" s="566">
        <v>1750</v>
      </c>
      <c r="I88" s="566"/>
      <c r="J88" s="566"/>
      <c r="K88" s="567">
        <f t="shared" si="11"/>
        <v>0</v>
      </c>
      <c r="L88" s="568">
        <f t="shared" si="12"/>
        <v>0</v>
      </c>
      <c r="M88" s="565">
        <v>80</v>
      </c>
      <c r="N88" s="567">
        <f t="shared" si="20"/>
        <v>0.50632911392405067</v>
      </c>
      <c r="O88" s="569" t="s">
        <v>289</v>
      </c>
      <c r="P88" s="566">
        <v>1750</v>
      </c>
      <c r="Q88" s="566" t="s">
        <v>272</v>
      </c>
      <c r="R88" s="570">
        <v>177.22</v>
      </c>
      <c r="S88" s="567">
        <f t="shared" si="13"/>
        <v>42.69</v>
      </c>
      <c r="T88" s="568">
        <f t="shared" si="14"/>
        <v>219.91</v>
      </c>
    </row>
    <row r="89" spans="1:20" ht="30" x14ac:dyDescent="0.25">
      <c r="A89" s="573" t="s">
        <v>333</v>
      </c>
      <c r="B89" s="573" t="s">
        <v>305</v>
      </c>
      <c r="C89" s="573" t="s">
        <v>334</v>
      </c>
      <c r="D89" s="564" t="s">
        <v>335</v>
      </c>
      <c r="E89" s="439">
        <v>20</v>
      </c>
      <c r="F89" s="495">
        <f t="shared" ref="F89:F91" si="21">E89/176</f>
        <v>0.11363636363636363</v>
      </c>
      <c r="G89" s="505" t="s">
        <v>289</v>
      </c>
      <c r="H89" s="509">
        <v>1750</v>
      </c>
      <c r="I89" s="509" t="s">
        <v>950</v>
      </c>
      <c r="J89" s="509">
        <v>59.660000000000004</v>
      </c>
      <c r="K89" s="495">
        <f t="shared" si="11"/>
        <v>14.37</v>
      </c>
      <c r="L89" s="571">
        <f t="shared" si="12"/>
        <v>74.03</v>
      </c>
      <c r="M89" s="439"/>
      <c r="N89" s="563"/>
      <c r="O89" s="505" t="s">
        <v>289</v>
      </c>
      <c r="P89" s="509">
        <v>1750</v>
      </c>
      <c r="Q89" s="509"/>
      <c r="R89" s="572"/>
      <c r="S89" s="495">
        <f t="shared" si="13"/>
        <v>0</v>
      </c>
      <c r="T89" s="571">
        <f t="shared" si="14"/>
        <v>0</v>
      </c>
    </row>
    <row r="90" spans="1:20" ht="30" x14ac:dyDescent="0.25">
      <c r="A90" s="573" t="s">
        <v>333</v>
      </c>
      <c r="B90" s="573" t="s">
        <v>305</v>
      </c>
      <c r="C90" s="573" t="s">
        <v>336</v>
      </c>
      <c r="D90" s="564" t="s">
        <v>921</v>
      </c>
      <c r="E90" s="439">
        <v>48</v>
      </c>
      <c r="F90" s="495">
        <f t="shared" si="21"/>
        <v>0.27272727272727271</v>
      </c>
      <c r="G90" s="505" t="s">
        <v>271</v>
      </c>
      <c r="H90" s="509">
        <v>4.17</v>
      </c>
      <c r="I90" s="509" t="s">
        <v>950</v>
      </c>
      <c r="J90" s="509">
        <v>60.05</v>
      </c>
      <c r="K90" s="495">
        <f t="shared" si="11"/>
        <v>14.47</v>
      </c>
      <c r="L90" s="571">
        <f t="shared" si="12"/>
        <v>74.52</v>
      </c>
      <c r="M90" s="439"/>
      <c r="N90" s="563"/>
      <c r="O90" s="505" t="s">
        <v>271</v>
      </c>
      <c r="P90" s="509">
        <v>4.17</v>
      </c>
      <c r="Q90" s="509"/>
      <c r="R90" s="572"/>
      <c r="S90" s="495">
        <f t="shared" si="13"/>
        <v>0</v>
      </c>
      <c r="T90" s="571">
        <f t="shared" si="14"/>
        <v>0</v>
      </c>
    </row>
    <row r="91" spans="1:20" ht="30" x14ac:dyDescent="0.25">
      <c r="A91" s="573" t="s">
        <v>333</v>
      </c>
      <c r="B91" s="573" t="s">
        <v>305</v>
      </c>
      <c r="C91" s="573" t="s">
        <v>336</v>
      </c>
      <c r="D91" s="564" t="s">
        <v>922</v>
      </c>
      <c r="E91" s="439">
        <v>26</v>
      </c>
      <c r="F91" s="495">
        <f t="shared" si="21"/>
        <v>0.14772727272727273</v>
      </c>
      <c r="G91" s="505" t="s">
        <v>271</v>
      </c>
      <c r="H91" s="509">
        <v>4.17</v>
      </c>
      <c r="I91" s="509" t="s">
        <v>950</v>
      </c>
      <c r="J91" s="509">
        <v>32.519999999999996</v>
      </c>
      <c r="K91" s="495">
        <f t="shared" si="11"/>
        <v>7.83</v>
      </c>
      <c r="L91" s="571">
        <f t="shared" si="12"/>
        <v>40.349999999999994</v>
      </c>
      <c r="M91" s="439"/>
      <c r="N91" s="563"/>
      <c r="O91" s="505" t="s">
        <v>271</v>
      </c>
      <c r="P91" s="509">
        <v>4.17</v>
      </c>
      <c r="Q91" s="509"/>
      <c r="R91" s="572"/>
      <c r="S91" s="495">
        <f t="shared" si="13"/>
        <v>0</v>
      </c>
      <c r="T91" s="571">
        <f t="shared" si="14"/>
        <v>0</v>
      </c>
    </row>
    <row r="92" spans="1:20" ht="30" x14ac:dyDescent="0.25">
      <c r="A92" s="573" t="s">
        <v>333</v>
      </c>
      <c r="B92" s="573" t="s">
        <v>305</v>
      </c>
      <c r="C92" s="573" t="s">
        <v>336</v>
      </c>
      <c r="D92" s="564" t="s">
        <v>337</v>
      </c>
      <c r="E92" s="439"/>
      <c r="F92" s="509"/>
      <c r="G92" s="505" t="s">
        <v>271</v>
      </c>
      <c r="H92" s="509">
        <v>3.57</v>
      </c>
      <c r="I92" s="509"/>
      <c r="J92" s="509"/>
      <c r="K92" s="495">
        <f t="shared" si="11"/>
        <v>0</v>
      </c>
      <c r="L92" s="571">
        <f t="shared" si="12"/>
        <v>0</v>
      </c>
      <c r="M92" s="439">
        <v>40</v>
      </c>
      <c r="N92" s="495">
        <f>M92/158</f>
        <v>0.25316455696202533</v>
      </c>
      <c r="O92" s="505" t="s">
        <v>271</v>
      </c>
      <c r="P92" s="509">
        <v>3.57</v>
      </c>
      <c r="Q92" s="509" t="s">
        <v>272</v>
      </c>
      <c r="R92" s="572">
        <v>28.56</v>
      </c>
      <c r="S92" s="495">
        <f t="shared" si="13"/>
        <v>6.88</v>
      </c>
      <c r="T92" s="571">
        <f t="shared" si="14"/>
        <v>35.44</v>
      </c>
    </row>
    <row r="93" spans="1:20" ht="30" x14ac:dyDescent="0.25">
      <c r="A93" s="573" t="s">
        <v>333</v>
      </c>
      <c r="B93" s="573" t="s">
        <v>305</v>
      </c>
      <c r="C93" s="573" t="s">
        <v>336</v>
      </c>
      <c r="D93" s="564" t="s">
        <v>337</v>
      </c>
      <c r="E93" s="439">
        <v>24</v>
      </c>
      <c r="F93" s="495">
        <f>E93/176</f>
        <v>0.13636363636363635</v>
      </c>
      <c r="G93" s="505" t="s">
        <v>271</v>
      </c>
      <c r="H93" s="509">
        <v>3.57</v>
      </c>
      <c r="I93" s="509" t="s">
        <v>950</v>
      </c>
      <c r="J93" s="509">
        <v>25.71</v>
      </c>
      <c r="K93" s="495">
        <f t="shared" si="11"/>
        <v>6.19</v>
      </c>
      <c r="L93" s="571">
        <f t="shared" si="12"/>
        <v>31.900000000000002</v>
      </c>
      <c r="M93" s="439"/>
      <c r="N93" s="563"/>
      <c r="O93" s="505" t="s">
        <v>271</v>
      </c>
      <c r="P93" s="509">
        <v>3.57</v>
      </c>
      <c r="Q93" s="509"/>
      <c r="R93" s="572"/>
      <c r="S93" s="495">
        <f t="shared" si="13"/>
        <v>0</v>
      </c>
      <c r="T93" s="571">
        <f t="shared" si="14"/>
        <v>0</v>
      </c>
    </row>
    <row r="94" spans="1:20" ht="30" x14ac:dyDescent="0.25">
      <c r="A94" s="573" t="s">
        <v>333</v>
      </c>
      <c r="B94" s="573" t="s">
        <v>305</v>
      </c>
      <c r="C94" s="573" t="s">
        <v>336</v>
      </c>
      <c r="D94" s="564" t="s">
        <v>338</v>
      </c>
      <c r="E94" s="439"/>
      <c r="F94" s="509"/>
      <c r="G94" s="505" t="s">
        <v>271</v>
      </c>
      <c r="H94" s="509">
        <v>4.17</v>
      </c>
      <c r="I94" s="509"/>
      <c r="J94" s="509"/>
      <c r="K94" s="495">
        <f t="shared" si="11"/>
        <v>0</v>
      </c>
      <c r="L94" s="571">
        <f t="shared" si="12"/>
        <v>0</v>
      </c>
      <c r="M94" s="439">
        <v>55</v>
      </c>
      <c r="N94" s="495">
        <f t="shared" ref="N94:N95" si="22">M94/158</f>
        <v>0.34810126582278483</v>
      </c>
      <c r="O94" s="505" t="s">
        <v>271</v>
      </c>
      <c r="P94" s="509">
        <v>4.17</v>
      </c>
      <c r="Q94" s="509" t="s">
        <v>272</v>
      </c>
      <c r="R94" s="572">
        <v>45.87</v>
      </c>
      <c r="S94" s="495">
        <f t="shared" si="13"/>
        <v>11.05</v>
      </c>
      <c r="T94" s="571">
        <f t="shared" si="14"/>
        <v>56.92</v>
      </c>
    </row>
    <row r="95" spans="1:20" ht="30" x14ac:dyDescent="0.25">
      <c r="A95" s="573" t="s">
        <v>333</v>
      </c>
      <c r="B95" s="573" t="s">
        <v>305</v>
      </c>
      <c r="C95" s="573" t="s">
        <v>336</v>
      </c>
      <c r="D95" s="564" t="s">
        <v>339</v>
      </c>
      <c r="E95" s="439"/>
      <c r="F95" s="509"/>
      <c r="G95" s="505" t="s">
        <v>271</v>
      </c>
      <c r="H95" s="509">
        <v>4.17</v>
      </c>
      <c r="I95" s="509"/>
      <c r="J95" s="509"/>
      <c r="K95" s="495">
        <f t="shared" si="11"/>
        <v>0</v>
      </c>
      <c r="L95" s="571">
        <f t="shared" si="12"/>
        <v>0</v>
      </c>
      <c r="M95" s="439">
        <v>40</v>
      </c>
      <c r="N95" s="495">
        <f t="shared" si="22"/>
        <v>0.25316455696202533</v>
      </c>
      <c r="O95" s="505" t="s">
        <v>271</v>
      </c>
      <c r="P95" s="509">
        <v>4.17</v>
      </c>
      <c r="Q95" s="509" t="s">
        <v>272</v>
      </c>
      <c r="R95" s="572">
        <v>33.36</v>
      </c>
      <c r="S95" s="495">
        <f t="shared" si="13"/>
        <v>8.0399999999999991</v>
      </c>
      <c r="T95" s="571">
        <f t="shared" si="14"/>
        <v>41.4</v>
      </c>
    </row>
    <row r="96" spans="1:20" ht="30.75" thickBot="1" x14ac:dyDescent="0.3">
      <c r="A96" s="574" t="s">
        <v>333</v>
      </c>
      <c r="B96" s="574" t="s">
        <v>305</v>
      </c>
      <c r="C96" s="574" t="s">
        <v>336</v>
      </c>
      <c r="D96" s="575" t="s">
        <v>339</v>
      </c>
      <c r="E96" s="576">
        <v>40</v>
      </c>
      <c r="F96" s="577">
        <f t="shared" ref="F96:F97" si="23">E96/176</f>
        <v>0.22727272727272727</v>
      </c>
      <c r="G96" s="578" t="s">
        <v>271</v>
      </c>
      <c r="H96" s="579">
        <v>4.17</v>
      </c>
      <c r="I96" s="579" t="s">
        <v>950</v>
      </c>
      <c r="J96" s="579">
        <v>50.04</v>
      </c>
      <c r="K96" s="577">
        <f t="shared" si="11"/>
        <v>12.05</v>
      </c>
      <c r="L96" s="580">
        <f t="shared" si="12"/>
        <v>62.09</v>
      </c>
      <c r="M96" s="576"/>
      <c r="N96" s="581"/>
      <c r="O96" s="578" t="s">
        <v>271</v>
      </c>
      <c r="P96" s="579">
        <v>4.17</v>
      </c>
      <c r="Q96" s="579"/>
      <c r="R96" s="582"/>
      <c r="S96" s="577">
        <f t="shared" si="13"/>
        <v>0</v>
      </c>
      <c r="T96" s="580">
        <f t="shared" si="14"/>
        <v>0</v>
      </c>
    </row>
    <row r="97" spans="1:20" ht="48" thickBot="1" x14ac:dyDescent="0.3">
      <c r="A97" s="583" t="s">
        <v>340</v>
      </c>
      <c r="B97" s="584"/>
      <c r="C97" s="584"/>
      <c r="D97" s="585"/>
      <c r="E97" s="586">
        <v>158</v>
      </c>
      <c r="F97" s="587">
        <f t="shared" si="23"/>
        <v>0.89772727272727271</v>
      </c>
      <c r="G97" s="588"/>
      <c r="H97" s="589"/>
      <c r="I97" s="589"/>
      <c r="J97" s="589">
        <v>227.98000000000002</v>
      </c>
      <c r="K97" s="587">
        <f t="shared" si="11"/>
        <v>54.92</v>
      </c>
      <c r="L97" s="590">
        <f t="shared" si="12"/>
        <v>282.90000000000003</v>
      </c>
      <c r="M97" s="586">
        <v>215</v>
      </c>
      <c r="N97" s="587">
        <f t="shared" ref="N97:N98" si="24">M97/158</f>
        <v>1.360759493670886</v>
      </c>
      <c r="O97" s="588"/>
      <c r="P97" s="589"/>
      <c r="Q97" s="589"/>
      <c r="R97" s="591">
        <v>285.01</v>
      </c>
      <c r="S97" s="587">
        <f t="shared" si="13"/>
        <v>68.66</v>
      </c>
      <c r="T97" s="590">
        <f t="shared" si="14"/>
        <v>353.66999999999996</v>
      </c>
    </row>
    <row r="98" spans="1:20" ht="45" x14ac:dyDescent="0.25">
      <c r="A98" s="592" t="s">
        <v>341</v>
      </c>
      <c r="B98" s="592" t="s">
        <v>268</v>
      </c>
      <c r="C98" s="592" t="s">
        <v>231</v>
      </c>
      <c r="D98" s="593" t="s">
        <v>342</v>
      </c>
      <c r="E98" s="565"/>
      <c r="F98" s="566"/>
      <c r="G98" s="569" t="s">
        <v>271</v>
      </c>
      <c r="H98" s="566">
        <v>6.16</v>
      </c>
      <c r="I98" s="566"/>
      <c r="J98" s="566"/>
      <c r="K98" s="567">
        <f t="shared" si="11"/>
        <v>0</v>
      </c>
      <c r="L98" s="568">
        <f t="shared" si="12"/>
        <v>0</v>
      </c>
      <c r="M98" s="565">
        <v>34</v>
      </c>
      <c r="N98" s="567">
        <f t="shared" si="24"/>
        <v>0.21518987341772153</v>
      </c>
      <c r="O98" s="569" t="s">
        <v>271</v>
      </c>
      <c r="P98" s="566">
        <v>6.16</v>
      </c>
      <c r="Q98" s="566" t="s">
        <v>272</v>
      </c>
      <c r="R98" s="570">
        <v>41.89</v>
      </c>
      <c r="S98" s="567">
        <f t="shared" si="13"/>
        <v>10.09</v>
      </c>
      <c r="T98" s="568">
        <f t="shared" si="14"/>
        <v>51.980000000000004</v>
      </c>
    </row>
    <row r="99" spans="1:20" ht="45" x14ac:dyDescent="0.25">
      <c r="A99" s="573" t="s">
        <v>341</v>
      </c>
      <c r="B99" s="573" t="s">
        <v>268</v>
      </c>
      <c r="C99" s="573" t="s">
        <v>231</v>
      </c>
      <c r="D99" s="564" t="s">
        <v>923</v>
      </c>
      <c r="E99" s="439">
        <v>24</v>
      </c>
      <c r="F99" s="495">
        <f>E99/176</f>
        <v>0.13636363636363635</v>
      </c>
      <c r="G99" s="505" t="s">
        <v>271</v>
      </c>
      <c r="H99" s="509">
        <v>5.63</v>
      </c>
      <c r="I99" s="509" t="s">
        <v>949</v>
      </c>
      <c r="J99" s="509">
        <v>67.56</v>
      </c>
      <c r="K99" s="495">
        <f t="shared" si="11"/>
        <v>16.28</v>
      </c>
      <c r="L99" s="571">
        <f t="shared" si="12"/>
        <v>83.84</v>
      </c>
      <c r="M99" s="439"/>
      <c r="N99" s="563"/>
      <c r="O99" s="505" t="s">
        <v>271</v>
      </c>
      <c r="P99" s="509">
        <v>5.63</v>
      </c>
      <c r="Q99" s="509"/>
      <c r="R99" s="572"/>
      <c r="S99" s="495">
        <f t="shared" si="13"/>
        <v>0</v>
      </c>
      <c r="T99" s="571">
        <f t="shared" si="14"/>
        <v>0</v>
      </c>
    </row>
    <row r="100" spans="1:20" ht="45" x14ac:dyDescent="0.25">
      <c r="A100" s="573" t="s">
        <v>341</v>
      </c>
      <c r="B100" s="573" t="s">
        <v>268</v>
      </c>
      <c r="C100" s="573" t="s">
        <v>231</v>
      </c>
      <c r="D100" s="564" t="s">
        <v>343</v>
      </c>
      <c r="E100" s="439"/>
      <c r="F100" s="509"/>
      <c r="G100" s="505" t="s">
        <v>271</v>
      </c>
      <c r="H100" s="509">
        <v>5.85</v>
      </c>
      <c r="I100" s="509"/>
      <c r="J100" s="509"/>
      <c r="K100" s="495">
        <f t="shared" si="11"/>
        <v>0</v>
      </c>
      <c r="L100" s="571">
        <f t="shared" si="12"/>
        <v>0</v>
      </c>
      <c r="M100" s="439">
        <v>12</v>
      </c>
      <c r="N100" s="495">
        <f>M100/158</f>
        <v>7.5949367088607597E-2</v>
      </c>
      <c r="O100" s="505" t="s">
        <v>271</v>
      </c>
      <c r="P100" s="509">
        <v>5.85</v>
      </c>
      <c r="Q100" s="509" t="s">
        <v>272</v>
      </c>
      <c r="R100" s="572">
        <v>14.04</v>
      </c>
      <c r="S100" s="495">
        <f t="shared" si="13"/>
        <v>3.38</v>
      </c>
      <c r="T100" s="571">
        <f t="shared" si="14"/>
        <v>17.419999999999998</v>
      </c>
    </row>
    <row r="101" spans="1:20" ht="45" x14ac:dyDescent="0.25">
      <c r="A101" s="573" t="s">
        <v>341</v>
      </c>
      <c r="B101" s="573" t="s">
        <v>268</v>
      </c>
      <c r="C101" s="573" t="s">
        <v>231</v>
      </c>
      <c r="D101" s="564" t="s">
        <v>343</v>
      </c>
      <c r="E101" s="439">
        <v>24</v>
      </c>
      <c r="F101" s="495">
        <f t="shared" ref="F101:F102" si="25">E101/176</f>
        <v>0.13636363636363635</v>
      </c>
      <c r="G101" s="505" t="s">
        <v>271</v>
      </c>
      <c r="H101" s="509">
        <v>5.85</v>
      </c>
      <c r="I101" s="509" t="s">
        <v>949</v>
      </c>
      <c r="J101" s="509">
        <v>70.2</v>
      </c>
      <c r="K101" s="495">
        <f t="shared" si="11"/>
        <v>16.91</v>
      </c>
      <c r="L101" s="571">
        <f t="shared" si="12"/>
        <v>87.11</v>
      </c>
      <c r="M101" s="439"/>
      <c r="N101" s="563"/>
      <c r="O101" s="505" t="s">
        <v>271</v>
      </c>
      <c r="P101" s="509">
        <v>5.85</v>
      </c>
      <c r="Q101" s="509"/>
      <c r="R101" s="572"/>
      <c r="S101" s="495">
        <f t="shared" si="13"/>
        <v>0</v>
      </c>
      <c r="T101" s="571">
        <f t="shared" si="14"/>
        <v>0</v>
      </c>
    </row>
    <row r="102" spans="1:20" ht="45" x14ac:dyDescent="0.25">
      <c r="A102" s="573" t="s">
        <v>341</v>
      </c>
      <c r="B102" s="573" t="s">
        <v>268</v>
      </c>
      <c r="C102" s="573" t="s">
        <v>231</v>
      </c>
      <c r="D102" s="564" t="s">
        <v>924</v>
      </c>
      <c r="E102" s="439">
        <v>23</v>
      </c>
      <c r="F102" s="495">
        <f t="shared" si="25"/>
        <v>0.13068181818181818</v>
      </c>
      <c r="G102" s="505" t="s">
        <v>271</v>
      </c>
      <c r="H102" s="509">
        <v>5.94</v>
      </c>
      <c r="I102" s="509" t="s">
        <v>949</v>
      </c>
      <c r="J102" s="509">
        <v>68.31</v>
      </c>
      <c r="K102" s="495">
        <f t="shared" si="11"/>
        <v>16.46</v>
      </c>
      <c r="L102" s="571">
        <f t="shared" si="12"/>
        <v>84.77000000000001</v>
      </c>
      <c r="M102" s="439"/>
      <c r="N102" s="563"/>
      <c r="O102" s="505" t="s">
        <v>271</v>
      </c>
      <c r="P102" s="509">
        <v>5.94</v>
      </c>
      <c r="Q102" s="509"/>
      <c r="R102" s="572"/>
      <c r="S102" s="495">
        <f t="shared" si="13"/>
        <v>0</v>
      </c>
      <c r="T102" s="571">
        <f t="shared" si="14"/>
        <v>0</v>
      </c>
    </row>
    <row r="103" spans="1:20" ht="45" x14ac:dyDescent="0.25">
      <c r="A103" s="573" t="s">
        <v>341</v>
      </c>
      <c r="B103" s="573" t="s">
        <v>268</v>
      </c>
      <c r="C103" s="573" t="s">
        <v>231</v>
      </c>
      <c r="D103" s="564" t="s">
        <v>344</v>
      </c>
      <c r="E103" s="439"/>
      <c r="F103" s="509"/>
      <c r="G103" s="505" t="s">
        <v>271</v>
      </c>
      <c r="H103" s="509">
        <v>5.95</v>
      </c>
      <c r="I103" s="509"/>
      <c r="J103" s="509"/>
      <c r="K103" s="495">
        <f t="shared" si="11"/>
        <v>0</v>
      </c>
      <c r="L103" s="571">
        <f t="shared" si="12"/>
        <v>0</v>
      </c>
      <c r="M103" s="439">
        <v>24</v>
      </c>
      <c r="N103" s="495">
        <f t="shared" ref="N103:N104" si="26">M103/158</f>
        <v>0.15189873417721519</v>
      </c>
      <c r="O103" s="505" t="s">
        <v>271</v>
      </c>
      <c r="P103" s="509">
        <v>5.95</v>
      </c>
      <c r="Q103" s="509" t="s">
        <v>272</v>
      </c>
      <c r="R103" s="572">
        <v>28.56</v>
      </c>
      <c r="S103" s="495">
        <f t="shared" si="13"/>
        <v>6.88</v>
      </c>
      <c r="T103" s="571">
        <f t="shared" si="14"/>
        <v>35.44</v>
      </c>
    </row>
    <row r="104" spans="1:20" ht="45" x14ac:dyDescent="0.25">
      <c r="A104" s="573" t="s">
        <v>341</v>
      </c>
      <c r="B104" s="573" t="s">
        <v>268</v>
      </c>
      <c r="C104" s="573" t="s">
        <v>231</v>
      </c>
      <c r="D104" s="564" t="s">
        <v>345</v>
      </c>
      <c r="E104" s="439"/>
      <c r="F104" s="509"/>
      <c r="G104" s="505" t="s">
        <v>271</v>
      </c>
      <c r="H104" s="509">
        <v>5.36</v>
      </c>
      <c r="I104" s="509"/>
      <c r="J104" s="509"/>
      <c r="K104" s="495">
        <f t="shared" si="11"/>
        <v>0</v>
      </c>
      <c r="L104" s="571">
        <f t="shared" si="12"/>
        <v>0</v>
      </c>
      <c r="M104" s="439">
        <v>12</v>
      </c>
      <c r="N104" s="495">
        <f t="shared" si="26"/>
        <v>7.5949367088607597E-2</v>
      </c>
      <c r="O104" s="505" t="s">
        <v>271</v>
      </c>
      <c r="P104" s="509">
        <v>5.36</v>
      </c>
      <c r="Q104" s="509" t="s">
        <v>272</v>
      </c>
      <c r="R104" s="572">
        <v>12.86</v>
      </c>
      <c r="S104" s="495">
        <f t="shared" si="13"/>
        <v>3.1</v>
      </c>
      <c r="T104" s="571">
        <f t="shared" si="14"/>
        <v>15.959999999999999</v>
      </c>
    </row>
    <row r="105" spans="1:20" ht="45" x14ac:dyDescent="0.25">
      <c r="A105" s="573" t="s">
        <v>341</v>
      </c>
      <c r="B105" s="573" t="s">
        <v>268</v>
      </c>
      <c r="C105" s="573" t="s">
        <v>231</v>
      </c>
      <c r="D105" s="564" t="s">
        <v>345</v>
      </c>
      <c r="E105" s="439">
        <v>12</v>
      </c>
      <c r="F105" s="495">
        <f>E105/176</f>
        <v>6.8181818181818177E-2</v>
      </c>
      <c r="G105" s="505" t="s">
        <v>271</v>
      </c>
      <c r="H105" s="509">
        <v>5.36</v>
      </c>
      <c r="I105" s="509" t="s">
        <v>949</v>
      </c>
      <c r="J105" s="509">
        <v>32.159999999999997</v>
      </c>
      <c r="K105" s="495">
        <f t="shared" si="11"/>
        <v>7.75</v>
      </c>
      <c r="L105" s="571">
        <f t="shared" si="12"/>
        <v>39.909999999999997</v>
      </c>
      <c r="M105" s="439"/>
      <c r="N105" s="563"/>
      <c r="O105" s="505" t="s">
        <v>271</v>
      </c>
      <c r="P105" s="509">
        <v>5.36</v>
      </c>
      <c r="Q105" s="509"/>
      <c r="R105" s="572"/>
      <c r="S105" s="495">
        <f t="shared" si="13"/>
        <v>0</v>
      </c>
      <c r="T105" s="571">
        <f t="shared" si="14"/>
        <v>0</v>
      </c>
    </row>
    <row r="106" spans="1:20" ht="45" x14ac:dyDescent="0.25">
      <c r="A106" s="573" t="s">
        <v>341</v>
      </c>
      <c r="B106" s="573" t="s">
        <v>268</v>
      </c>
      <c r="C106" s="573" t="s">
        <v>231</v>
      </c>
      <c r="D106" s="564" t="s">
        <v>346</v>
      </c>
      <c r="E106" s="439"/>
      <c r="F106" s="509"/>
      <c r="G106" s="505" t="s">
        <v>271</v>
      </c>
      <c r="H106" s="509">
        <v>5.65</v>
      </c>
      <c r="I106" s="509"/>
      <c r="J106" s="509"/>
      <c r="K106" s="495">
        <f t="shared" si="11"/>
        <v>0</v>
      </c>
      <c r="L106" s="571">
        <f t="shared" si="12"/>
        <v>0</v>
      </c>
      <c r="M106" s="439">
        <v>24</v>
      </c>
      <c r="N106" s="495">
        <f>M106/158</f>
        <v>0.15189873417721519</v>
      </c>
      <c r="O106" s="505" t="s">
        <v>271</v>
      </c>
      <c r="P106" s="509">
        <v>5.65</v>
      </c>
      <c r="Q106" s="509" t="s">
        <v>272</v>
      </c>
      <c r="R106" s="572">
        <v>27.12</v>
      </c>
      <c r="S106" s="495">
        <f t="shared" si="13"/>
        <v>6.53</v>
      </c>
      <c r="T106" s="571">
        <f t="shared" si="14"/>
        <v>33.65</v>
      </c>
    </row>
    <row r="107" spans="1:20" ht="45" x14ac:dyDescent="0.25">
      <c r="A107" s="573" t="s">
        <v>341</v>
      </c>
      <c r="B107" s="573" t="s">
        <v>268</v>
      </c>
      <c r="C107" s="573" t="s">
        <v>231</v>
      </c>
      <c r="D107" s="564" t="s">
        <v>925</v>
      </c>
      <c r="E107" s="439">
        <v>24</v>
      </c>
      <c r="F107" s="495">
        <f>E107/176</f>
        <v>0.13636363636363635</v>
      </c>
      <c r="G107" s="505" t="s">
        <v>271</v>
      </c>
      <c r="H107" s="509">
        <v>5.8</v>
      </c>
      <c r="I107" s="509" t="s">
        <v>949</v>
      </c>
      <c r="J107" s="509">
        <v>69.599999999999994</v>
      </c>
      <c r="K107" s="495">
        <f t="shared" si="11"/>
        <v>16.77</v>
      </c>
      <c r="L107" s="571">
        <f t="shared" si="12"/>
        <v>86.36999999999999</v>
      </c>
      <c r="M107" s="439"/>
      <c r="N107" s="563"/>
      <c r="O107" s="505" t="s">
        <v>271</v>
      </c>
      <c r="P107" s="509">
        <v>5.8</v>
      </c>
      <c r="Q107" s="509"/>
      <c r="R107" s="572"/>
      <c r="S107" s="495">
        <f t="shared" si="13"/>
        <v>0</v>
      </c>
      <c r="T107" s="571">
        <f t="shared" si="14"/>
        <v>0</v>
      </c>
    </row>
    <row r="108" spans="1:20" ht="45" x14ac:dyDescent="0.25">
      <c r="A108" s="573" t="s">
        <v>341</v>
      </c>
      <c r="B108" s="573" t="s">
        <v>268</v>
      </c>
      <c r="C108" s="573" t="s">
        <v>231</v>
      </c>
      <c r="D108" s="564" t="s">
        <v>347</v>
      </c>
      <c r="E108" s="439"/>
      <c r="F108" s="509"/>
      <c r="G108" s="505" t="s">
        <v>271</v>
      </c>
      <c r="H108" s="509">
        <v>4.82</v>
      </c>
      <c r="I108" s="509"/>
      <c r="J108" s="509"/>
      <c r="K108" s="495">
        <f t="shared" si="11"/>
        <v>0</v>
      </c>
      <c r="L108" s="571">
        <f t="shared" si="12"/>
        <v>0</v>
      </c>
      <c r="M108" s="439">
        <v>24</v>
      </c>
      <c r="N108" s="495">
        <f>M108/158</f>
        <v>0.15189873417721519</v>
      </c>
      <c r="O108" s="505" t="s">
        <v>271</v>
      </c>
      <c r="P108" s="509">
        <v>4.82</v>
      </c>
      <c r="Q108" s="509" t="s">
        <v>272</v>
      </c>
      <c r="R108" s="572">
        <v>23.14</v>
      </c>
      <c r="S108" s="495">
        <f t="shared" si="13"/>
        <v>5.57</v>
      </c>
      <c r="T108" s="571">
        <f t="shared" si="14"/>
        <v>28.71</v>
      </c>
    </row>
    <row r="109" spans="1:20" ht="45.75" thickBot="1" x14ac:dyDescent="0.3">
      <c r="A109" s="574" t="s">
        <v>341</v>
      </c>
      <c r="B109" s="574" t="s">
        <v>268</v>
      </c>
      <c r="C109" s="574" t="s">
        <v>231</v>
      </c>
      <c r="D109" s="575" t="s">
        <v>347</v>
      </c>
      <c r="E109" s="576">
        <v>24</v>
      </c>
      <c r="F109" s="577">
        <f t="shared" ref="F109:F110" si="27">E109/176</f>
        <v>0.13636363636363635</v>
      </c>
      <c r="G109" s="578" t="s">
        <v>271</v>
      </c>
      <c r="H109" s="579">
        <v>4.82</v>
      </c>
      <c r="I109" s="579" t="s">
        <v>949</v>
      </c>
      <c r="J109" s="579">
        <v>57.84</v>
      </c>
      <c r="K109" s="577">
        <f t="shared" si="11"/>
        <v>13.93</v>
      </c>
      <c r="L109" s="580">
        <f t="shared" si="12"/>
        <v>71.77000000000001</v>
      </c>
      <c r="M109" s="576"/>
      <c r="N109" s="581"/>
      <c r="O109" s="578" t="s">
        <v>271</v>
      </c>
      <c r="P109" s="579">
        <v>4.82</v>
      </c>
      <c r="Q109" s="579"/>
      <c r="R109" s="582"/>
      <c r="S109" s="577">
        <f t="shared" si="13"/>
        <v>0</v>
      </c>
      <c r="T109" s="580">
        <f t="shared" si="14"/>
        <v>0</v>
      </c>
    </row>
    <row r="110" spans="1:20" ht="63.75" thickBot="1" x14ac:dyDescent="0.3">
      <c r="A110" s="583" t="s">
        <v>348</v>
      </c>
      <c r="B110" s="584"/>
      <c r="C110" s="584"/>
      <c r="D110" s="585"/>
      <c r="E110" s="586">
        <v>131</v>
      </c>
      <c r="F110" s="587">
        <f t="shared" si="27"/>
        <v>0.74431818181818177</v>
      </c>
      <c r="G110" s="588"/>
      <c r="H110" s="589"/>
      <c r="I110" s="589"/>
      <c r="J110" s="589">
        <v>365.66999999999996</v>
      </c>
      <c r="K110" s="587">
        <f t="shared" si="11"/>
        <v>88.09</v>
      </c>
      <c r="L110" s="590">
        <f t="shared" si="12"/>
        <v>453.76</v>
      </c>
      <c r="M110" s="586">
        <v>130</v>
      </c>
      <c r="N110" s="587">
        <f t="shared" ref="N110:N111" si="28">M110/158</f>
        <v>0.82278481012658233</v>
      </c>
      <c r="O110" s="588"/>
      <c r="P110" s="589"/>
      <c r="Q110" s="589"/>
      <c r="R110" s="591">
        <v>147.61000000000001</v>
      </c>
      <c r="S110" s="587">
        <f t="shared" si="13"/>
        <v>35.56</v>
      </c>
      <c r="T110" s="590">
        <f t="shared" si="14"/>
        <v>183.17000000000002</v>
      </c>
    </row>
    <row r="111" spans="1:20" ht="30" x14ac:dyDescent="0.25">
      <c r="A111" s="592" t="s">
        <v>349</v>
      </c>
      <c r="B111" s="592" t="s">
        <v>305</v>
      </c>
      <c r="C111" s="592" t="s">
        <v>350</v>
      </c>
      <c r="D111" s="593" t="s">
        <v>351</v>
      </c>
      <c r="E111" s="565"/>
      <c r="F111" s="566"/>
      <c r="G111" s="569" t="s">
        <v>289</v>
      </c>
      <c r="H111" s="566">
        <v>1700</v>
      </c>
      <c r="I111" s="566"/>
      <c r="J111" s="566"/>
      <c r="K111" s="567">
        <f t="shared" si="11"/>
        <v>0</v>
      </c>
      <c r="L111" s="568">
        <f t="shared" si="12"/>
        <v>0</v>
      </c>
      <c r="M111" s="565">
        <v>40</v>
      </c>
      <c r="N111" s="567">
        <f t="shared" si="28"/>
        <v>0.25316455696202533</v>
      </c>
      <c r="O111" s="569" t="s">
        <v>289</v>
      </c>
      <c r="P111" s="566">
        <v>1700</v>
      </c>
      <c r="Q111" s="566" t="s">
        <v>272</v>
      </c>
      <c r="R111" s="570">
        <v>86.07</v>
      </c>
      <c r="S111" s="567">
        <f t="shared" si="13"/>
        <v>20.73</v>
      </c>
      <c r="T111" s="568">
        <f t="shared" si="14"/>
        <v>106.8</v>
      </c>
    </row>
    <row r="112" spans="1:20" ht="30.75" thickBot="1" x14ac:dyDescent="0.3">
      <c r="A112" s="574" t="s">
        <v>349</v>
      </c>
      <c r="B112" s="574" t="s">
        <v>305</v>
      </c>
      <c r="C112" s="574" t="s">
        <v>350</v>
      </c>
      <c r="D112" s="575" t="s">
        <v>351</v>
      </c>
      <c r="E112" s="576">
        <v>10</v>
      </c>
      <c r="F112" s="577">
        <f t="shared" ref="F112:F113" si="29">E112/176</f>
        <v>5.6818181818181816E-2</v>
      </c>
      <c r="G112" s="578" t="s">
        <v>289</v>
      </c>
      <c r="H112" s="579">
        <v>1700</v>
      </c>
      <c r="I112" s="579" t="s">
        <v>950</v>
      </c>
      <c r="J112" s="579">
        <v>28.98</v>
      </c>
      <c r="K112" s="577">
        <f t="shared" si="11"/>
        <v>6.98</v>
      </c>
      <c r="L112" s="580">
        <f t="shared" si="12"/>
        <v>35.96</v>
      </c>
      <c r="M112" s="576"/>
      <c r="N112" s="581"/>
      <c r="O112" s="578" t="s">
        <v>289</v>
      </c>
      <c r="P112" s="579">
        <v>1700</v>
      </c>
      <c r="Q112" s="579"/>
      <c r="R112" s="582"/>
      <c r="S112" s="577">
        <f t="shared" si="13"/>
        <v>0</v>
      </c>
      <c r="T112" s="580">
        <f t="shared" si="14"/>
        <v>0</v>
      </c>
    </row>
    <row r="113" spans="1:20" ht="32.25" thickBot="1" x14ac:dyDescent="0.3">
      <c r="A113" s="583" t="s">
        <v>352</v>
      </c>
      <c r="B113" s="584"/>
      <c r="C113" s="584"/>
      <c r="D113" s="585"/>
      <c r="E113" s="586">
        <v>10</v>
      </c>
      <c r="F113" s="587">
        <f t="shared" si="29"/>
        <v>5.6818181818181816E-2</v>
      </c>
      <c r="G113" s="588"/>
      <c r="H113" s="589"/>
      <c r="I113" s="589"/>
      <c r="J113" s="589">
        <v>28.98</v>
      </c>
      <c r="K113" s="587">
        <f t="shared" si="11"/>
        <v>6.98</v>
      </c>
      <c r="L113" s="590">
        <f t="shared" si="12"/>
        <v>35.96</v>
      </c>
      <c r="M113" s="586">
        <v>40</v>
      </c>
      <c r="N113" s="587">
        <f t="shared" ref="N113:N114" si="30">M113/158</f>
        <v>0.25316455696202533</v>
      </c>
      <c r="O113" s="588"/>
      <c r="P113" s="589"/>
      <c r="Q113" s="589"/>
      <c r="R113" s="591">
        <v>86.07</v>
      </c>
      <c r="S113" s="587">
        <f t="shared" si="13"/>
        <v>20.73</v>
      </c>
      <c r="T113" s="590">
        <f t="shared" si="14"/>
        <v>106.8</v>
      </c>
    </row>
    <row r="114" spans="1:20" ht="45" x14ac:dyDescent="0.25">
      <c r="A114" s="592" t="s">
        <v>353</v>
      </c>
      <c r="B114" s="592" t="s">
        <v>268</v>
      </c>
      <c r="C114" s="592" t="s">
        <v>354</v>
      </c>
      <c r="D114" s="593" t="s">
        <v>355</v>
      </c>
      <c r="E114" s="565"/>
      <c r="F114" s="566"/>
      <c r="G114" s="569" t="s">
        <v>289</v>
      </c>
      <c r="H114" s="566">
        <v>840</v>
      </c>
      <c r="I114" s="566"/>
      <c r="J114" s="566"/>
      <c r="K114" s="567">
        <f t="shared" si="11"/>
        <v>0</v>
      </c>
      <c r="L114" s="568">
        <f t="shared" si="12"/>
        <v>0</v>
      </c>
      <c r="M114" s="565">
        <v>55</v>
      </c>
      <c r="N114" s="567">
        <f t="shared" si="30"/>
        <v>0.34810126582278483</v>
      </c>
      <c r="O114" s="569" t="s">
        <v>289</v>
      </c>
      <c r="P114" s="566">
        <v>840</v>
      </c>
      <c r="Q114" s="566" t="s">
        <v>272</v>
      </c>
      <c r="R114" s="570">
        <v>58.48</v>
      </c>
      <c r="S114" s="567">
        <f t="shared" si="13"/>
        <v>14.09</v>
      </c>
      <c r="T114" s="568">
        <f t="shared" si="14"/>
        <v>72.569999999999993</v>
      </c>
    </row>
    <row r="115" spans="1:20" ht="45.75" thickBot="1" x14ac:dyDescent="0.3">
      <c r="A115" s="574" t="s">
        <v>353</v>
      </c>
      <c r="B115" s="574" t="s">
        <v>268</v>
      </c>
      <c r="C115" s="574" t="s">
        <v>354</v>
      </c>
      <c r="D115" s="575" t="s">
        <v>355</v>
      </c>
      <c r="E115" s="576">
        <v>40</v>
      </c>
      <c r="F115" s="577">
        <f t="shared" ref="F115:F116" si="31">E115/176</f>
        <v>0.22727272727272727</v>
      </c>
      <c r="G115" s="578" t="s">
        <v>289</v>
      </c>
      <c r="H115" s="579">
        <v>840</v>
      </c>
      <c r="I115" s="579" t="s">
        <v>950</v>
      </c>
      <c r="J115" s="579">
        <v>57.269999999999996</v>
      </c>
      <c r="K115" s="577">
        <f t="shared" si="11"/>
        <v>13.8</v>
      </c>
      <c r="L115" s="580">
        <f t="shared" si="12"/>
        <v>71.069999999999993</v>
      </c>
      <c r="M115" s="576"/>
      <c r="N115" s="581"/>
      <c r="O115" s="578" t="s">
        <v>289</v>
      </c>
      <c r="P115" s="579">
        <v>840</v>
      </c>
      <c r="Q115" s="579"/>
      <c r="R115" s="582"/>
      <c r="S115" s="577">
        <f t="shared" si="13"/>
        <v>0</v>
      </c>
      <c r="T115" s="580">
        <f t="shared" si="14"/>
        <v>0</v>
      </c>
    </row>
    <row r="116" spans="1:20" ht="32.25" thickBot="1" x14ac:dyDescent="0.3">
      <c r="A116" s="583" t="s">
        <v>356</v>
      </c>
      <c r="B116" s="584"/>
      <c r="C116" s="584"/>
      <c r="D116" s="585"/>
      <c r="E116" s="586">
        <v>40</v>
      </c>
      <c r="F116" s="587">
        <f t="shared" si="31"/>
        <v>0.22727272727272727</v>
      </c>
      <c r="G116" s="588"/>
      <c r="H116" s="589"/>
      <c r="I116" s="589"/>
      <c r="J116" s="589">
        <v>57.269999999999996</v>
      </c>
      <c r="K116" s="587">
        <f t="shared" si="11"/>
        <v>13.8</v>
      </c>
      <c r="L116" s="590">
        <f t="shared" si="12"/>
        <v>71.069999999999993</v>
      </c>
      <c r="M116" s="586">
        <v>55</v>
      </c>
      <c r="N116" s="587">
        <f t="shared" ref="N116:N117" si="32">M116/158</f>
        <v>0.34810126582278483</v>
      </c>
      <c r="O116" s="588"/>
      <c r="P116" s="589"/>
      <c r="Q116" s="589"/>
      <c r="R116" s="591">
        <v>58.48</v>
      </c>
      <c r="S116" s="587">
        <f t="shared" si="13"/>
        <v>14.09</v>
      </c>
      <c r="T116" s="590">
        <f t="shared" si="14"/>
        <v>72.569999999999993</v>
      </c>
    </row>
    <row r="117" spans="1:20" ht="30" x14ac:dyDescent="0.25">
      <c r="A117" s="592" t="s">
        <v>357</v>
      </c>
      <c r="B117" s="592" t="s">
        <v>305</v>
      </c>
      <c r="C117" s="592" t="s">
        <v>358</v>
      </c>
      <c r="D117" s="593" t="s">
        <v>359</v>
      </c>
      <c r="E117" s="565"/>
      <c r="F117" s="566"/>
      <c r="G117" s="569" t="s">
        <v>289</v>
      </c>
      <c r="H117" s="566">
        <v>1900</v>
      </c>
      <c r="I117" s="566"/>
      <c r="J117" s="566"/>
      <c r="K117" s="567">
        <f t="shared" si="11"/>
        <v>0</v>
      </c>
      <c r="L117" s="568">
        <f t="shared" si="12"/>
        <v>0</v>
      </c>
      <c r="M117" s="565">
        <v>40</v>
      </c>
      <c r="N117" s="567">
        <f t="shared" si="32"/>
        <v>0.25316455696202533</v>
      </c>
      <c r="O117" s="569" t="s">
        <v>289</v>
      </c>
      <c r="P117" s="566">
        <v>1900</v>
      </c>
      <c r="Q117" s="566" t="s">
        <v>272</v>
      </c>
      <c r="R117" s="570">
        <v>96.2</v>
      </c>
      <c r="S117" s="567">
        <f t="shared" si="13"/>
        <v>23.17</v>
      </c>
      <c r="T117" s="568">
        <f t="shared" si="14"/>
        <v>119.37</v>
      </c>
    </row>
    <row r="118" spans="1:20" ht="30.75" thickBot="1" x14ac:dyDescent="0.3">
      <c r="A118" s="574" t="s">
        <v>357</v>
      </c>
      <c r="B118" s="574" t="s">
        <v>305</v>
      </c>
      <c r="C118" s="574" t="s">
        <v>358</v>
      </c>
      <c r="D118" s="575" t="s">
        <v>359</v>
      </c>
      <c r="E118" s="576">
        <v>10</v>
      </c>
      <c r="F118" s="577">
        <f t="shared" ref="F118:F119" si="33">E118/176</f>
        <v>5.6818181818181816E-2</v>
      </c>
      <c r="G118" s="578" t="s">
        <v>289</v>
      </c>
      <c r="H118" s="579">
        <v>1900</v>
      </c>
      <c r="I118" s="579" t="s">
        <v>950</v>
      </c>
      <c r="J118" s="579">
        <v>32.39</v>
      </c>
      <c r="K118" s="577">
        <f t="shared" si="11"/>
        <v>7.8</v>
      </c>
      <c r="L118" s="580">
        <f t="shared" si="12"/>
        <v>40.19</v>
      </c>
      <c r="M118" s="576"/>
      <c r="N118" s="581"/>
      <c r="O118" s="578" t="s">
        <v>289</v>
      </c>
      <c r="P118" s="579">
        <v>1900</v>
      </c>
      <c r="Q118" s="579"/>
      <c r="R118" s="582"/>
      <c r="S118" s="577">
        <f t="shared" si="13"/>
        <v>0</v>
      </c>
      <c r="T118" s="580">
        <f t="shared" si="14"/>
        <v>0</v>
      </c>
    </row>
    <row r="119" spans="1:20" ht="32.25" thickBot="1" x14ac:dyDescent="0.3">
      <c r="A119" s="583" t="s">
        <v>360</v>
      </c>
      <c r="B119" s="584"/>
      <c r="C119" s="584"/>
      <c r="D119" s="585"/>
      <c r="E119" s="586">
        <v>10</v>
      </c>
      <c r="F119" s="587">
        <f t="shared" si="33"/>
        <v>5.6818181818181816E-2</v>
      </c>
      <c r="G119" s="588"/>
      <c r="H119" s="589"/>
      <c r="I119" s="589"/>
      <c r="J119" s="589">
        <v>32.39</v>
      </c>
      <c r="K119" s="587">
        <f t="shared" si="11"/>
        <v>7.8</v>
      </c>
      <c r="L119" s="590">
        <f t="shared" si="12"/>
        <v>40.19</v>
      </c>
      <c r="M119" s="586">
        <v>40</v>
      </c>
      <c r="N119" s="587">
        <f t="shared" ref="N119:N121" si="34">M119/158</f>
        <v>0.25316455696202533</v>
      </c>
      <c r="O119" s="588"/>
      <c r="P119" s="589"/>
      <c r="Q119" s="589"/>
      <c r="R119" s="591">
        <v>96.2</v>
      </c>
      <c r="S119" s="587">
        <f t="shared" si="13"/>
        <v>23.17</v>
      </c>
      <c r="T119" s="590">
        <f t="shared" si="14"/>
        <v>119.37</v>
      </c>
    </row>
    <row r="120" spans="1:20" ht="30" x14ac:dyDescent="0.25">
      <c r="A120" s="592" t="s">
        <v>361</v>
      </c>
      <c r="B120" s="592" t="s">
        <v>362</v>
      </c>
      <c r="C120" s="592" t="s">
        <v>363</v>
      </c>
      <c r="D120" s="593" t="s">
        <v>364</v>
      </c>
      <c r="E120" s="565"/>
      <c r="F120" s="566"/>
      <c r="G120" s="569" t="s">
        <v>289</v>
      </c>
      <c r="H120" s="566">
        <v>1150</v>
      </c>
      <c r="I120" s="566"/>
      <c r="J120" s="566"/>
      <c r="K120" s="567">
        <f t="shared" si="11"/>
        <v>0</v>
      </c>
      <c r="L120" s="568">
        <f t="shared" si="12"/>
        <v>0</v>
      </c>
      <c r="M120" s="565">
        <v>47</v>
      </c>
      <c r="N120" s="567">
        <f t="shared" si="34"/>
        <v>0.29746835443037972</v>
      </c>
      <c r="O120" s="569" t="s">
        <v>289</v>
      </c>
      <c r="P120" s="566">
        <v>1150</v>
      </c>
      <c r="Q120" s="566" t="s">
        <v>272</v>
      </c>
      <c r="R120" s="570">
        <v>68.41</v>
      </c>
      <c r="S120" s="567">
        <f t="shared" si="13"/>
        <v>16.48</v>
      </c>
      <c r="T120" s="568">
        <f t="shared" si="14"/>
        <v>84.89</v>
      </c>
    </row>
    <row r="121" spans="1:20" ht="30" x14ac:dyDescent="0.25">
      <c r="A121" s="573" t="s">
        <v>361</v>
      </c>
      <c r="B121" s="573" t="s">
        <v>305</v>
      </c>
      <c r="C121" s="573" t="s">
        <v>365</v>
      </c>
      <c r="D121" s="564" t="s">
        <v>366</v>
      </c>
      <c r="E121" s="439"/>
      <c r="F121" s="509"/>
      <c r="G121" s="505" t="s">
        <v>289</v>
      </c>
      <c r="H121" s="509">
        <v>1260</v>
      </c>
      <c r="I121" s="509"/>
      <c r="J121" s="509"/>
      <c r="K121" s="495">
        <f t="shared" si="11"/>
        <v>0</v>
      </c>
      <c r="L121" s="571">
        <f t="shared" si="12"/>
        <v>0</v>
      </c>
      <c r="M121" s="439">
        <v>118.5</v>
      </c>
      <c r="N121" s="495">
        <f t="shared" si="34"/>
        <v>0.75</v>
      </c>
      <c r="O121" s="505" t="s">
        <v>289</v>
      </c>
      <c r="P121" s="509">
        <v>1260</v>
      </c>
      <c r="Q121" s="509" t="s">
        <v>272</v>
      </c>
      <c r="R121" s="572">
        <v>189.01</v>
      </c>
      <c r="S121" s="495">
        <f t="shared" si="13"/>
        <v>45.53</v>
      </c>
      <c r="T121" s="571">
        <f t="shared" si="14"/>
        <v>234.54</v>
      </c>
    </row>
    <row r="122" spans="1:20" ht="30.75" thickBot="1" x14ac:dyDescent="0.3">
      <c r="A122" s="574" t="s">
        <v>361</v>
      </c>
      <c r="B122" s="574" t="s">
        <v>305</v>
      </c>
      <c r="C122" s="574" t="s">
        <v>365</v>
      </c>
      <c r="D122" s="575" t="s">
        <v>366</v>
      </c>
      <c r="E122" s="576">
        <v>30</v>
      </c>
      <c r="F122" s="577">
        <f t="shared" ref="F122:F124" si="35">E122/176</f>
        <v>0.17045454545454544</v>
      </c>
      <c r="G122" s="578" t="s">
        <v>289</v>
      </c>
      <c r="H122" s="579">
        <v>1260</v>
      </c>
      <c r="I122" s="579" t="s">
        <v>950</v>
      </c>
      <c r="J122" s="579">
        <v>64.430000000000007</v>
      </c>
      <c r="K122" s="577">
        <f t="shared" si="11"/>
        <v>15.52</v>
      </c>
      <c r="L122" s="580">
        <f t="shared" si="12"/>
        <v>79.95</v>
      </c>
      <c r="M122" s="576"/>
      <c r="N122" s="581"/>
      <c r="O122" s="578" t="s">
        <v>289</v>
      </c>
      <c r="P122" s="579">
        <v>1260</v>
      </c>
      <c r="Q122" s="579"/>
      <c r="R122" s="582"/>
      <c r="S122" s="577">
        <f t="shared" si="13"/>
        <v>0</v>
      </c>
      <c r="T122" s="580">
        <f t="shared" si="14"/>
        <v>0</v>
      </c>
    </row>
    <row r="123" spans="1:20" ht="32.25" thickBot="1" x14ac:dyDescent="0.3">
      <c r="A123" s="583" t="s">
        <v>367</v>
      </c>
      <c r="B123" s="584"/>
      <c r="C123" s="584"/>
      <c r="D123" s="585"/>
      <c r="E123" s="586">
        <v>30</v>
      </c>
      <c r="F123" s="587">
        <f t="shared" si="35"/>
        <v>0.17045454545454544</v>
      </c>
      <c r="G123" s="588"/>
      <c r="H123" s="589"/>
      <c r="I123" s="589"/>
      <c r="J123" s="589">
        <v>64.430000000000007</v>
      </c>
      <c r="K123" s="587">
        <f t="shared" si="11"/>
        <v>15.52</v>
      </c>
      <c r="L123" s="590">
        <f t="shared" si="12"/>
        <v>79.95</v>
      </c>
      <c r="M123" s="586">
        <v>165.5</v>
      </c>
      <c r="N123" s="587">
        <f>M123/158</f>
        <v>1.0474683544303798</v>
      </c>
      <c r="O123" s="588"/>
      <c r="P123" s="589"/>
      <c r="Q123" s="589"/>
      <c r="R123" s="591">
        <v>257.41999999999996</v>
      </c>
      <c r="S123" s="587">
        <f t="shared" si="13"/>
        <v>62.01</v>
      </c>
      <c r="T123" s="590">
        <f t="shared" si="14"/>
        <v>319.42999999999995</v>
      </c>
    </row>
    <row r="124" spans="1:20" ht="30" x14ac:dyDescent="0.25">
      <c r="A124" s="592" t="s">
        <v>368</v>
      </c>
      <c r="B124" s="592" t="s">
        <v>362</v>
      </c>
      <c r="C124" s="592" t="s">
        <v>363</v>
      </c>
      <c r="D124" s="593" t="s">
        <v>926</v>
      </c>
      <c r="E124" s="565">
        <v>32</v>
      </c>
      <c r="F124" s="567">
        <f t="shared" si="35"/>
        <v>0.18181818181818182</v>
      </c>
      <c r="G124" s="569" t="s">
        <v>271</v>
      </c>
      <c r="H124" s="566">
        <v>6.85</v>
      </c>
      <c r="I124" s="566" t="s">
        <v>949</v>
      </c>
      <c r="J124" s="566">
        <v>109.6</v>
      </c>
      <c r="K124" s="567">
        <f t="shared" si="11"/>
        <v>26.4</v>
      </c>
      <c r="L124" s="568">
        <f t="shared" si="12"/>
        <v>136</v>
      </c>
      <c r="M124" s="565"/>
      <c r="N124" s="594"/>
      <c r="O124" s="569" t="s">
        <v>271</v>
      </c>
      <c r="P124" s="566">
        <v>6.85</v>
      </c>
      <c r="Q124" s="566"/>
      <c r="R124" s="570"/>
      <c r="S124" s="567">
        <f t="shared" si="13"/>
        <v>0</v>
      </c>
      <c r="T124" s="568">
        <f t="shared" si="14"/>
        <v>0</v>
      </c>
    </row>
    <row r="125" spans="1:20" ht="30" x14ac:dyDescent="0.25">
      <c r="A125" s="573" t="s">
        <v>368</v>
      </c>
      <c r="B125" s="573" t="s">
        <v>362</v>
      </c>
      <c r="C125" s="573" t="s">
        <v>363</v>
      </c>
      <c r="D125" s="564" t="s">
        <v>369</v>
      </c>
      <c r="E125" s="439"/>
      <c r="F125" s="509"/>
      <c r="G125" s="505" t="s">
        <v>271</v>
      </c>
      <c r="H125" s="509">
        <v>6.85</v>
      </c>
      <c r="I125" s="509"/>
      <c r="J125" s="509"/>
      <c r="K125" s="495">
        <f t="shared" si="11"/>
        <v>0</v>
      </c>
      <c r="L125" s="571">
        <f t="shared" si="12"/>
        <v>0</v>
      </c>
      <c r="M125" s="439">
        <v>79</v>
      </c>
      <c r="N125" s="495">
        <f>M125/158</f>
        <v>0.5</v>
      </c>
      <c r="O125" s="505" t="s">
        <v>271</v>
      </c>
      <c r="P125" s="509">
        <v>6.85</v>
      </c>
      <c r="Q125" s="509" t="s">
        <v>272</v>
      </c>
      <c r="R125" s="572">
        <v>108.23</v>
      </c>
      <c r="S125" s="495">
        <f t="shared" si="13"/>
        <v>26.07</v>
      </c>
      <c r="T125" s="571">
        <f t="shared" si="14"/>
        <v>134.30000000000001</v>
      </c>
    </row>
    <row r="126" spans="1:20" ht="30" x14ac:dyDescent="0.25">
      <c r="A126" s="573" t="s">
        <v>368</v>
      </c>
      <c r="B126" s="573" t="s">
        <v>362</v>
      </c>
      <c r="C126" s="573" t="s">
        <v>363</v>
      </c>
      <c r="D126" s="564" t="s">
        <v>369</v>
      </c>
      <c r="E126" s="439">
        <v>88</v>
      </c>
      <c r="F126" s="495">
        <f>E126/176</f>
        <v>0.5</v>
      </c>
      <c r="G126" s="505" t="s">
        <v>271</v>
      </c>
      <c r="H126" s="509">
        <v>6.85</v>
      </c>
      <c r="I126" s="509" t="s">
        <v>949</v>
      </c>
      <c r="J126" s="509">
        <v>301.39999999999998</v>
      </c>
      <c r="K126" s="495">
        <f t="shared" si="11"/>
        <v>72.61</v>
      </c>
      <c r="L126" s="571">
        <f t="shared" si="12"/>
        <v>374.01</v>
      </c>
      <c r="M126" s="439"/>
      <c r="N126" s="563"/>
      <c r="O126" s="505" t="s">
        <v>271</v>
      </c>
      <c r="P126" s="509">
        <v>6.85</v>
      </c>
      <c r="Q126" s="509"/>
      <c r="R126" s="572"/>
      <c r="S126" s="495">
        <f t="shared" si="13"/>
        <v>0</v>
      </c>
      <c r="T126" s="571">
        <f t="shared" si="14"/>
        <v>0</v>
      </c>
    </row>
    <row r="127" spans="1:20" ht="30" x14ac:dyDescent="0.25">
      <c r="A127" s="573" t="s">
        <v>368</v>
      </c>
      <c r="B127" s="573" t="s">
        <v>362</v>
      </c>
      <c r="C127" s="573" t="s">
        <v>370</v>
      </c>
      <c r="D127" s="564" t="s">
        <v>371</v>
      </c>
      <c r="E127" s="439"/>
      <c r="F127" s="509"/>
      <c r="G127" s="505" t="s">
        <v>271</v>
      </c>
      <c r="H127" s="509">
        <v>10.17</v>
      </c>
      <c r="I127" s="509"/>
      <c r="J127" s="509"/>
      <c r="K127" s="495">
        <f t="shared" si="11"/>
        <v>0</v>
      </c>
      <c r="L127" s="571">
        <f t="shared" si="12"/>
        <v>0</v>
      </c>
      <c r="M127" s="439">
        <v>48</v>
      </c>
      <c r="N127" s="495">
        <f>M127/158</f>
        <v>0.30379746835443039</v>
      </c>
      <c r="O127" s="505" t="s">
        <v>271</v>
      </c>
      <c r="P127" s="509">
        <v>10.17</v>
      </c>
      <c r="Q127" s="509" t="s">
        <v>272</v>
      </c>
      <c r="R127" s="572">
        <v>97.63</v>
      </c>
      <c r="S127" s="495">
        <f t="shared" si="13"/>
        <v>23.52</v>
      </c>
      <c r="T127" s="571">
        <f t="shared" si="14"/>
        <v>121.14999999999999</v>
      </c>
    </row>
    <row r="128" spans="1:20" ht="30" x14ac:dyDescent="0.25">
      <c r="A128" s="573" t="s">
        <v>368</v>
      </c>
      <c r="B128" s="573" t="s">
        <v>362</v>
      </c>
      <c r="C128" s="573" t="s">
        <v>370</v>
      </c>
      <c r="D128" s="564" t="s">
        <v>371</v>
      </c>
      <c r="E128" s="439">
        <v>40</v>
      </c>
      <c r="F128" s="495">
        <f>E128/176</f>
        <v>0.22727272727272727</v>
      </c>
      <c r="G128" s="505" t="s">
        <v>271</v>
      </c>
      <c r="H128" s="509">
        <v>10.17</v>
      </c>
      <c r="I128" s="509" t="s">
        <v>949</v>
      </c>
      <c r="J128" s="509">
        <v>203.4</v>
      </c>
      <c r="K128" s="495">
        <f t="shared" si="11"/>
        <v>49</v>
      </c>
      <c r="L128" s="571">
        <f t="shared" si="12"/>
        <v>252.4</v>
      </c>
      <c r="M128" s="439"/>
      <c r="N128" s="563"/>
      <c r="O128" s="505" t="s">
        <v>271</v>
      </c>
      <c r="P128" s="509">
        <v>10.17</v>
      </c>
      <c r="Q128" s="509"/>
      <c r="R128" s="572"/>
      <c r="S128" s="495">
        <f t="shared" si="13"/>
        <v>0</v>
      </c>
      <c r="T128" s="571">
        <f t="shared" si="14"/>
        <v>0</v>
      </c>
    </row>
    <row r="129" spans="1:20" ht="30" x14ac:dyDescent="0.25">
      <c r="A129" s="573" t="s">
        <v>368</v>
      </c>
      <c r="B129" s="573" t="s">
        <v>362</v>
      </c>
      <c r="C129" s="573" t="s">
        <v>370</v>
      </c>
      <c r="D129" s="564" t="s">
        <v>372</v>
      </c>
      <c r="E129" s="439"/>
      <c r="F129" s="509"/>
      <c r="G129" s="505" t="s">
        <v>271</v>
      </c>
      <c r="H129" s="509">
        <v>10.17</v>
      </c>
      <c r="I129" s="509"/>
      <c r="J129" s="509"/>
      <c r="K129" s="495">
        <f t="shared" si="11"/>
        <v>0</v>
      </c>
      <c r="L129" s="571">
        <f t="shared" si="12"/>
        <v>0</v>
      </c>
      <c r="M129" s="439">
        <v>80</v>
      </c>
      <c r="N129" s="495">
        <f t="shared" ref="N129:N130" si="36">M129/158</f>
        <v>0.50632911392405067</v>
      </c>
      <c r="O129" s="505" t="s">
        <v>271</v>
      </c>
      <c r="P129" s="509">
        <v>10.17</v>
      </c>
      <c r="Q129" s="509" t="s">
        <v>272</v>
      </c>
      <c r="R129" s="572">
        <v>162.72</v>
      </c>
      <c r="S129" s="495">
        <f t="shared" si="13"/>
        <v>39.200000000000003</v>
      </c>
      <c r="T129" s="571">
        <f t="shared" si="14"/>
        <v>201.92000000000002</v>
      </c>
    </row>
    <row r="130" spans="1:20" ht="30" x14ac:dyDescent="0.25">
      <c r="A130" s="573" t="s">
        <v>368</v>
      </c>
      <c r="B130" s="573" t="s">
        <v>362</v>
      </c>
      <c r="C130" s="573" t="s">
        <v>370</v>
      </c>
      <c r="D130" s="564" t="s">
        <v>373</v>
      </c>
      <c r="E130" s="439"/>
      <c r="F130" s="509"/>
      <c r="G130" s="505" t="s">
        <v>271</v>
      </c>
      <c r="H130" s="509">
        <v>8.11</v>
      </c>
      <c r="I130" s="509"/>
      <c r="J130" s="509"/>
      <c r="K130" s="495">
        <f t="shared" si="11"/>
        <v>0</v>
      </c>
      <c r="L130" s="571">
        <f t="shared" si="12"/>
        <v>0</v>
      </c>
      <c r="M130" s="439">
        <v>88</v>
      </c>
      <c r="N130" s="495">
        <f t="shared" si="36"/>
        <v>0.55696202531645567</v>
      </c>
      <c r="O130" s="505" t="s">
        <v>271</v>
      </c>
      <c r="P130" s="509">
        <v>8.11</v>
      </c>
      <c r="Q130" s="509" t="s">
        <v>272</v>
      </c>
      <c r="R130" s="572">
        <v>142.74</v>
      </c>
      <c r="S130" s="495">
        <f t="shared" si="13"/>
        <v>34.39</v>
      </c>
      <c r="T130" s="571">
        <f t="shared" si="14"/>
        <v>177.13</v>
      </c>
    </row>
    <row r="131" spans="1:20" ht="30" x14ac:dyDescent="0.25">
      <c r="A131" s="573" t="s">
        <v>368</v>
      </c>
      <c r="B131" s="573" t="s">
        <v>362</v>
      </c>
      <c r="C131" s="573" t="s">
        <v>370</v>
      </c>
      <c r="D131" s="564" t="s">
        <v>373</v>
      </c>
      <c r="E131" s="439">
        <v>72</v>
      </c>
      <c r="F131" s="495">
        <f>E131/176</f>
        <v>0.40909090909090912</v>
      </c>
      <c r="G131" s="505" t="s">
        <v>271</v>
      </c>
      <c r="H131" s="509">
        <v>8.11</v>
      </c>
      <c r="I131" s="509" t="s">
        <v>949</v>
      </c>
      <c r="J131" s="509">
        <v>291.95999999999998</v>
      </c>
      <c r="K131" s="495">
        <f t="shared" si="11"/>
        <v>70.33</v>
      </c>
      <c r="L131" s="571">
        <f t="shared" si="12"/>
        <v>362.28999999999996</v>
      </c>
      <c r="M131" s="439"/>
      <c r="N131" s="563"/>
      <c r="O131" s="505" t="s">
        <v>271</v>
      </c>
      <c r="P131" s="509">
        <v>8.11</v>
      </c>
      <c r="Q131" s="509"/>
      <c r="R131" s="572"/>
      <c r="S131" s="495">
        <f t="shared" si="13"/>
        <v>0</v>
      </c>
      <c r="T131" s="571">
        <f t="shared" si="14"/>
        <v>0</v>
      </c>
    </row>
    <row r="132" spans="1:20" ht="30" x14ac:dyDescent="0.25">
      <c r="A132" s="573" t="s">
        <v>368</v>
      </c>
      <c r="B132" s="573" t="s">
        <v>362</v>
      </c>
      <c r="C132" s="573" t="s">
        <v>374</v>
      </c>
      <c r="D132" s="564" t="s">
        <v>375</v>
      </c>
      <c r="E132" s="439"/>
      <c r="F132" s="509"/>
      <c r="G132" s="505" t="s">
        <v>271</v>
      </c>
      <c r="H132" s="509">
        <v>7.92</v>
      </c>
      <c r="I132" s="509"/>
      <c r="J132" s="509"/>
      <c r="K132" s="495">
        <f t="shared" si="11"/>
        <v>0</v>
      </c>
      <c r="L132" s="571">
        <f t="shared" si="12"/>
        <v>0</v>
      </c>
      <c r="M132" s="439">
        <v>79</v>
      </c>
      <c r="N132" s="495">
        <f>M132/158</f>
        <v>0.5</v>
      </c>
      <c r="O132" s="505" t="s">
        <v>271</v>
      </c>
      <c r="P132" s="509">
        <v>7.92</v>
      </c>
      <c r="Q132" s="509" t="s">
        <v>272</v>
      </c>
      <c r="R132" s="572">
        <v>125.14</v>
      </c>
      <c r="S132" s="495">
        <f t="shared" si="13"/>
        <v>30.15</v>
      </c>
      <c r="T132" s="571">
        <f t="shared" si="14"/>
        <v>155.29</v>
      </c>
    </row>
    <row r="133" spans="1:20" ht="30" x14ac:dyDescent="0.25">
      <c r="A133" s="573" t="s">
        <v>368</v>
      </c>
      <c r="B133" s="573" t="s">
        <v>362</v>
      </c>
      <c r="C133" s="573" t="s">
        <v>374</v>
      </c>
      <c r="D133" s="564" t="s">
        <v>375</v>
      </c>
      <c r="E133" s="439">
        <v>16</v>
      </c>
      <c r="F133" s="495">
        <f>E133/176</f>
        <v>9.0909090909090912E-2</v>
      </c>
      <c r="G133" s="505" t="s">
        <v>271</v>
      </c>
      <c r="H133" s="509">
        <v>7.92</v>
      </c>
      <c r="I133" s="509" t="s">
        <v>949</v>
      </c>
      <c r="J133" s="509">
        <v>63.36</v>
      </c>
      <c r="K133" s="495">
        <f t="shared" si="11"/>
        <v>15.26</v>
      </c>
      <c r="L133" s="571">
        <f t="shared" si="12"/>
        <v>78.62</v>
      </c>
      <c r="M133" s="439"/>
      <c r="N133" s="563"/>
      <c r="O133" s="505" t="s">
        <v>271</v>
      </c>
      <c r="P133" s="509">
        <v>7.92</v>
      </c>
      <c r="Q133" s="509"/>
      <c r="R133" s="572"/>
      <c r="S133" s="495">
        <f t="shared" si="13"/>
        <v>0</v>
      </c>
      <c r="T133" s="571">
        <f t="shared" si="14"/>
        <v>0</v>
      </c>
    </row>
    <row r="134" spans="1:20" ht="30" x14ac:dyDescent="0.25">
      <c r="A134" s="573" t="s">
        <v>368</v>
      </c>
      <c r="B134" s="573" t="s">
        <v>362</v>
      </c>
      <c r="C134" s="573" t="s">
        <v>376</v>
      </c>
      <c r="D134" s="564" t="s">
        <v>377</v>
      </c>
      <c r="E134" s="439"/>
      <c r="F134" s="509"/>
      <c r="G134" s="505" t="s">
        <v>289</v>
      </c>
      <c r="H134" s="509">
        <v>1800</v>
      </c>
      <c r="I134" s="509"/>
      <c r="J134" s="509"/>
      <c r="K134" s="495">
        <f t="shared" si="11"/>
        <v>0</v>
      </c>
      <c r="L134" s="571">
        <f t="shared" si="12"/>
        <v>0</v>
      </c>
      <c r="M134" s="439">
        <v>79</v>
      </c>
      <c r="N134" s="495">
        <f>M134/158</f>
        <v>0.5</v>
      </c>
      <c r="O134" s="505" t="s">
        <v>289</v>
      </c>
      <c r="P134" s="509">
        <v>1800</v>
      </c>
      <c r="Q134" s="509" t="s">
        <v>272</v>
      </c>
      <c r="R134" s="572">
        <v>179.99</v>
      </c>
      <c r="S134" s="495">
        <f t="shared" si="13"/>
        <v>43.36</v>
      </c>
      <c r="T134" s="571">
        <f t="shared" si="14"/>
        <v>223.35000000000002</v>
      </c>
    </row>
    <row r="135" spans="1:20" ht="30.75" thickBot="1" x14ac:dyDescent="0.3">
      <c r="A135" s="574" t="s">
        <v>368</v>
      </c>
      <c r="B135" s="574" t="s">
        <v>362</v>
      </c>
      <c r="C135" s="574" t="s">
        <v>376</v>
      </c>
      <c r="D135" s="575" t="s">
        <v>377</v>
      </c>
      <c r="E135" s="576">
        <v>80</v>
      </c>
      <c r="F135" s="577">
        <f t="shared" ref="F135:F138" si="37">E135/176</f>
        <v>0.45454545454545453</v>
      </c>
      <c r="G135" s="578" t="s">
        <v>289</v>
      </c>
      <c r="H135" s="579">
        <v>1800</v>
      </c>
      <c r="I135" s="579" t="s">
        <v>949</v>
      </c>
      <c r="J135" s="579">
        <v>409.08</v>
      </c>
      <c r="K135" s="577">
        <f t="shared" si="11"/>
        <v>98.55</v>
      </c>
      <c r="L135" s="580">
        <f t="shared" si="12"/>
        <v>507.63</v>
      </c>
      <c r="M135" s="576"/>
      <c r="N135" s="581"/>
      <c r="O135" s="578" t="s">
        <v>289</v>
      </c>
      <c r="P135" s="579">
        <v>1800</v>
      </c>
      <c r="Q135" s="579"/>
      <c r="R135" s="582"/>
      <c r="S135" s="577">
        <f t="shared" si="13"/>
        <v>0</v>
      </c>
      <c r="T135" s="580">
        <f t="shared" si="14"/>
        <v>0</v>
      </c>
    </row>
    <row r="136" spans="1:20" ht="36" customHeight="1" thickBot="1" x14ac:dyDescent="0.3">
      <c r="A136" s="583" t="s">
        <v>378</v>
      </c>
      <c r="B136" s="584"/>
      <c r="C136" s="584"/>
      <c r="D136" s="585"/>
      <c r="E136" s="586">
        <v>328</v>
      </c>
      <c r="F136" s="587">
        <f t="shared" si="37"/>
        <v>1.8636363636363635</v>
      </c>
      <c r="G136" s="588"/>
      <c r="H136" s="589"/>
      <c r="I136" s="589"/>
      <c r="J136" s="589">
        <v>1378.8</v>
      </c>
      <c r="K136" s="587">
        <f t="shared" si="11"/>
        <v>332.15</v>
      </c>
      <c r="L136" s="590">
        <f t="shared" si="12"/>
        <v>1710.9499999999998</v>
      </c>
      <c r="M136" s="586">
        <v>453</v>
      </c>
      <c r="N136" s="587">
        <f>M136/158</f>
        <v>2.8670886075949369</v>
      </c>
      <c r="O136" s="588"/>
      <c r="P136" s="589"/>
      <c r="Q136" s="589"/>
      <c r="R136" s="591">
        <v>816.45</v>
      </c>
      <c r="S136" s="587">
        <f t="shared" si="13"/>
        <v>196.68</v>
      </c>
      <c r="T136" s="590">
        <f t="shared" si="14"/>
        <v>1013.1300000000001</v>
      </c>
    </row>
    <row r="137" spans="1:20" ht="30.75" thickBot="1" x14ac:dyDescent="0.3">
      <c r="A137" s="595" t="s">
        <v>941</v>
      </c>
      <c r="B137" s="595" t="s">
        <v>362</v>
      </c>
      <c r="C137" s="595" t="s">
        <v>363</v>
      </c>
      <c r="D137" s="596" t="s">
        <v>927</v>
      </c>
      <c r="E137" s="597">
        <v>24</v>
      </c>
      <c r="F137" s="598">
        <f t="shared" si="37"/>
        <v>0.13636363636363635</v>
      </c>
      <c r="G137" s="599" t="s">
        <v>271</v>
      </c>
      <c r="H137" s="600">
        <v>6.85</v>
      </c>
      <c r="I137" s="600" t="s">
        <v>949</v>
      </c>
      <c r="J137" s="600">
        <v>82.2</v>
      </c>
      <c r="K137" s="598">
        <f t="shared" si="11"/>
        <v>19.8</v>
      </c>
      <c r="L137" s="601">
        <f t="shared" si="12"/>
        <v>102</v>
      </c>
      <c r="M137" s="597"/>
      <c r="N137" s="602"/>
      <c r="O137" s="599" t="s">
        <v>271</v>
      </c>
      <c r="P137" s="600">
        <v>6.85</v>
      </c>
      <c r="Q137" s="600"/>
      <c r="R137" s="603"/>
      <c r="S137" s="598">
        <f t="shared" si="13"/>
        <v>0</v>
      </c>
      <c r="T137" s="601">
        <f t="shared" si="14"/>
        <v>0</v>
      </c>
    </row>
    <row r="138" spans="1:20" ht="37.5" customHeight="1" thickBot="1" x14ac:dyDescent="0.3">
      <c r="A138" s="583" t="s">
        <v>942</v>
      </c>
      <c r="B138" s="584"/>
      <c r="C138" s="584"/>
      <c r="D138" s="585"/>
      <c r="E138" s="586">
        <v>24</v>
      </c>
      <c r="F138" s="587">
        <f t="shared" si="37"/>
        <v>0.13636363636363635</v>
      </c>
      <c r="G138" s="588"/>
      <c r="H138" s="589"/>
      <c r="I138" s="589"/>
      <c r="J138" s="589">
        <v>82.2</v>
      </c>
      <c r="K138" s="587">
        <f t="shared" si="11"/>
        <v>19.8</v>
      </c>
      <c r="L138" s="590">
        <f t="shared" si="12"/>
        <v>102</v>
      </c>
      <c r="M138" s="586"/>
      <c r="N138" s="588"/>
      <c r="O138" s="588"/>
      <c r="P138" s="589"/>
      <c r="Q138" s="589"/>
      <c r="R138" s="591"/>
      <c r="S138" s="587">
        <f t="shared" si="13"/>
        <v>0</v>
      </c>
      <c r="T138" s="590">
        <f t="shared" si="14"/>
        <v>0</v>
      </c>
    </row>
    <row r="139" spans="1:20" ht="45" x14ac:dyDescent="0.25">
      <c r="A139" s="592" t="s">
        <v>379</v>
      </c>
      <c r="B139" s="592" t="s">
        <v>305</v>
      </c>
      <c r="C139" s="592" t="s">
        <v>380</v>
      </c>
      <c r="D139" s="593" t="s">
        <v>381</v>
      </c>
      <c r="E139" s="565"/>
      <c r="F139" s="566"/>
      <c r="G139" s="569" t="s">
        <v>289</v>
      </c>
      <c r="H139" s="566">
        <v>2400</v>
      </c>
      <c r="I139" s="566"/>
      <c r="J139" s="566"/>
      <c r="K139" s="567">
        <f t="shared" ref="K139:K202" si="38">ROUND(J139*0.2409,2)</f>
        <v>0</v>
      </c>
      <c r="L139" s="568">
        <f t="shared" ref="L139:L202" si="39">K139+J139</f>
        <v>0</v>
      </c>
      <c r="M139" s="565">
        <v>79</v>
      </c>
      <c r="N139" s="567">
        <f>M139/158</f>
        <v>0.5</v>
      </c>
      <c r="O139" s="569" t="s">
        <v>289</v>
      </c>
      <c r="P139" s="566">
        <v>2400</v>
      </c>
      <c r="Q139" s="566" t="s">
        <v>272</v>
      </c>
      <c r="R139" s="570">
        <v>240</v>
      </c>
      <c r="S139" s="567">
        <f t="shared" ref="S139:S202" si="40">ROUND(R139*0.2409,2)</f>
        <v>57.82</v>
      </c>
      <c r="T139" s="568">
        <f t="shared" ref="T139:T202" si="41">S139+R139</f>
        <v>297.82</v>
      </c>
    </row>
    <row r="140" spans="1:20" ht="45" x14ac:dyDescent="0.25">
      <c r="A140" s="573" t="s">
        <v>379</v>
      </c>
      <c r="B140" s="573" t="s">
        <v>305</v>
      </c>
      <c r="C140" s="573" t="s">
        <v>380</v>
      </c>
      <c r="D140" s="564" t="s">
        <v>381</v>
      </c>
      <c r="E140" s="439">
        <v>20</v>
      </c>
      <c r="F140" s="495">
        <f t="shared" ref="F140:F142" si="42">E140/176</f>
        <v>0.11363636363636363</v>
      </c>
      <c r="G140" s="505" t="s">
        <v>289</v>
      </c>
      <c r="H140" s="509">
        <v>2400</v>
      </c>
      <c r="I140" s="509" t="s">
        <v>950</v>
      </c>
      <c r="J140" s="509">
        <v>81.819999999999993</v>
      </c>
      <c r="K140" s="495">
        <f t="shared" si="38"/>
        <v>19.71</v>
      </c>
      <c r="L140" s="571">
        <f t="shared" si="39"/>
        <v>101.53</v>
      </c>
      <c r="M140" s="439"/>
      <c r="N140" s="563"/>
      <c r="O140" s="505" t="s">
        <v>289</v>
      </c>
      <c r="P140" s="509">
        <v>2400</v>
      </c>
      <c r="Q140" s="509"/>
      <c r="R140" s="572"/>
      <c r="S140" s="495">
        <f t="shared" si="40"/>
        <v>0</v>
      </c>
      <c r="T140" s="571">
        <f t="shared" si="41"/>
        <v>0</v>
      </c>
    </row>
    <row r="141" spans="1:20" ht="45.75" thickBot="1" x14ac:dyDescent="0.3">
      <c r="A141" s="574" t="s">
        <v>379</v>
      </c>
      <c r="B141" s="574" t="s">
        <v>305</v>
      </c>
      <c r="C141" s="574" t="s">
        <v>380</v>
      </c>
      <c r="D141" s="575" t="s">
        <v>381</v>
      </c>
      <c r="E141" s="576">
        <v>8</v>
      </c>
      <c r="F141" s="577">
        <f t="shared" si="42"/>
        <v>4.5454545454545456E-2</v>
      </c>
      <c r="G141" s="578" t="s">
        <v>289</v>
      </c>
      <c r="H141" s="579">
        <v>2400</v>
      </c>
      <c r="I141" s="579" t="s">
        <v>949</v>
      </c>
      <c r="J141" s="579">
        <v>54.54</v>
      </c>
      <c r="K141" s="577">
        <f t="shared" si="38"/>
        <v>13.14</v>
      </c>
      <c r="L141" s="580">
        <f t="shared" si="39"/>
        <v>67.680000000000007</v>
      </c>
      <c r="M141" s="576"/>
      <c r="N141" s="581"/>
      <c r="O141" s="578" t="s">
        <v>289</v>
      </c>
      <c r="P141" s="579">
        <v>2400</v>
      </c>
      <c r="Q141" s="579"/>
      <c r="R141" s="582"/>
      <c r="S141" s="577">
        <f t="shared" si="40"/>
        <v>0</v>
      </c>
      <c r="T141" s="580">
        <f t="shared" si="41"/>
        <v>0</v>
      </c>
    </row>
    <row r="142" spans="1:20" ht="48" thickBot="1" x14ac:dyDescent="0.3">
      <c r="A142" s="583" t="s">
        <v>382</v>
      </c>
      <c r="B142" s="584"/>
      <c r="C142" s="584"/>
      <c r="D142" s="585"/>
      <c r="E142" s="586">
        <v>28</v>
      </c>
      <c r="F142" s="587">
        <f t="shared" si="42"/>
        <v>0.15909090909090909</v>
      </c>
      <c r="G142" s="588"/>
      <c r="H142" s="589"/>
      <c r="I142" s="589"/>
      <c r="J142" s="589">
        <v>136.35999999999999</v>
      </c>
      <c r="K142" s="587">
        <f t="shared" si="38"/>
        <v>32.85</v>
      </c>
      <c r="L142" s="590">
        <f t="shared" si="39"/>
        <v>169.20999999999998</v>
      </c>
      <c r="M142" s="586">
        <v>79</v>
      </c>
      <c r="N142" s="587">
        <f t="shared" ref="N142:N143" si="43">M142/158</f>
        <v>0.5</v>
      </c>
      <c r="O142" s="588"/>
      <c r="P142" s="589"/>
      <c r="Q142" s="589"/>
      <c r="R142" s="591">
        <v>240</v>
      </c>
      <c r="S142" s="587">
        <f t="shared" si="40"/>
        <v>57.82</v>
      </c>
      <c r="T142" s="590">
        <f t="shared" si="41"/>
        <v>297.82</v>
      </c>
    </row>
    <row r="143" spans="1:20" ht="30" x14ac:dyDescent="0.25">
      <c r="A143" s="592" t="s">
        <v>383</v>
      </c>
      <c r="B143" s="592" t="s">
        <v>305</v>
      </c>
      <c r="C143" s="592" t="s">
        <v>384</v>
      </c>
      <c r="D143" s="593" t="s">
        <v>385</v>
      </c>
      <c r="E143" s="565"/>
      <c r="F143" s="566"/>
      <c r="G143" s="569" t="s">
        <v>289</v>
      </c>
      <c r="H143" s="566">
        <v>2250</v>
      </c>
      <c r="I143" s="566"/>
      <c r="J143" s="566"/>
      <c r="K143" s="567">
        <f t="shared" si="38"/>
        <v>0</v>
      </c>
      <c r="L143" s="568">
        <f t="shared" si="39"/>
        <v>0</v>
      </c>
      <c r="M143" s="565">
        <v>79</v>
      </c>
      <c r="N143" s="567">
        <f t="shared" si="43"/>
        <v>0.5</v>
      </c>
      <c r="O143" s="569" t="s">
        <v>289</v>
      </c>
      <c r="P143" s="566">
        <v>2250</v>
      </c>
      <c r="Q143" s="566" t="s">
        <v>272</v>
      </c>
      <c r="R143" s="570">
        <v>225.01</v>
      </c>
      <c r="S143" s="567">
        <f t="shared" si="40"/>
        <v>54.2</v>
      </c>
      <c r="T143" s="568">
        <f t="shared" si="41"/>
        <v>279.20999999999998</v>
      </c>
    </row>
    <row r="144" spans="1:20" ht="30.75" thickBot="1" x14ac:dyDescent="0.3">
      <c r="A144" s="574" t="s">
        <v>383</v>
      </c>
      <c r="B144" s="574" t="s">
        <v>305</v>
      </c>
      <c r="C144" s="574" t="s">
        <v>384</v>
      </c>
      <c r="D144" s="575" t="s">
        <v>385</v>
      </c>
      <c r="E144" s="576">
        <v>20</v>
      </c>
      <c r="F144" s="577">
        <f t="shared" ref="F144:F145" si="44">E144/176</f>
        <v>0.11363636363636363</v>
      </c>
      <c r="G144" s="578" t="s">
        <v>289</v>
      </c>
      <c r="H144" s="579">
        <v>2250</v>
      </c>
      <c r="I144" s="579" t="s">
        <v>950</v>
      </c>
      <c r="J144" s="579">
        <v>76.710000000000008</v>
      </c>
      <c r="K144" s="577">
        <f t="shared" si="38"/>
        <v>18.48</v>
      </c>
      <c r="L144" s="580">
        <f t="shared" si="39"/>
        <v>95.190000000000012</v>
      </c>
      <c r="M144" s="576"/>
      <c r="N144" s="581"/>
      <c r="O144" s="578" t="s">
        <v>289</v>
      </c>
      <c r="P144" s="579">
        <v>2250</v>
      </c>
      <c r="Q144" s="579"/>
      <c r="R144" s="582"/>
      <c r="S144" s="577">
        <f t="shared" si="40"/>
        <v>0</v>
      </c>
      <c r="T144" s="580">
        <f t="shared" si="41"/>
        <v>0</v>
      </c>
    </row>
    <row r="145" spans="1:20" ht="39" customHeight="1" thickBot="1" x14ac:dyDescent="0.3">
      <c r="A145" s="583" t="s">
        <v>386</v>
      </c>
      <c r="B145" s="584"/>
      <c r="C145" s="584"/>
      <c r="D145" s="585"/>
      <c r="E145" s="586">
        <v>20</v>
      </c>
      <c r="F145" s="587">
        <f t="shared" si="44"/>
        <v>0.11363636363636363</v>
      </c>
      <c r="G145" s="588"/>
      <c r="H145" s="589"/>
      <c r="I145" s="589"/>
      <c r="J145" s="589">
        <v>76.710000000000008</v>
      </c>
      <c r="K145" s="587">
        <f t="shared" si="38"/>
        <v>18.48</v>
      </c>
      <c r="L145" s="590">
        <f t="shared" si="39"/>
        <v>95.190000000000012</v>
      </c>
      <c r="M145" s="586">
        <v>79</v>
      </c>
      <c r="N145" s="587">
        <f t="shared" ref="N145:N146" si="45">M145/158</f>
        <v>0.5</v>
      </c>
      <c r="O145" s="588"/>
      <c r="P145" s="589"/>
      <c r="Q145" s="589"/>
      <c r="R145" s="591">
        <v>225.01</v>
      </c>
      <c r="S145" s="587">
        <f t="shared" si="40"/>
        <v>54.2</v>
      </c>
      <c r="T145" s="590">
        <f t="shared" si="41"/>
        <v>279.20999999999998</v>
      </c>
    </row>
    <row r="146" spans="1:20" ht="30" x14ac:dyDescent="0.25">
      <c r="A146" s="592" t="s">
        <v>387</v>
      </c>
      <c r="B146" s="592" t="s">
        <v>305</v>
      </c>
      <c r="C146" s="592" t="s">
        <v>388</v>
      </c>
      <c r="D146" s="593" t="s">
        <v>389</v>
      </c>
      <c r="E146" s="565"/>
      <c r="F146" s="566"/>
      <c r="G146" s="569" t="s">
        <v>289</v>
      </c>
      <c r="H146" s="566">
        <v>2000</v>
      </c>
      <c r="I146" s="566"/>
      <c r="J146" s="566"/>
      <c r="K146" s="567">
        <f t="shared" si="38"/>
        <v>0</v>
      </c>
      <c r="L146" s="568">
        <f t="shared" si="39"/>
        <v>0</v>
      </c>
      <c r="M146" s="565">
        <v>79</v>
      </c>
      <c r="N146" s="567">
        <f t="shared" si="45"/>
        <v>0.5</v>
      </c>
      <c r="O146" s="569" t="s">
        <v>289</v>
      </c>
      <c r="P146" s="566">
        <v>2000</v>
      </c>
      <c r="Q146" s="566" t="s">
        <v>272</v>
      </c>
      <c r="R146" s="570">
        <v>200</v>
      </c>
      <c r="S146" s="567">
        <f t="shared" si="40"/>
        <v>48.18</v>
      </c>
      <c r="T146" s="568">
        <f t="shared" si="41"/>
        <v>248.18</v>
      </c>
    </row>
    <row r="147" spans="1:20" ht="30.75" thickBot="1" x14ac:dyDescent="0.3">
      <c r="A147" s="574" t="s">
        <v>387</v>
      </c>
      <c r="B147" s="574" t="s">
        <v>305</v>
      </c>
      <c r="C147" s="574" t="s">
        <v>388</v>
      </c>
      <c r="D147" s="575" t="s">
        <v>389</v>
      </c>
      <c r="E147" s="576">
        <v>20</v>
      </c>
      <c r="F147" s="577">
        <f t="shared" ref="F147:F149" si="46">E147/176</f>
        <v>0.11363636363636363</v>
      </c>
      <c r="G147" s="578" t="s">
        <v>289</v>
      </c>
      <c r="H147" s="579">
        <v>2000</v>
      </c>
      <c r="I147" s="579" t="s">
        <v>950</v>
      </c>
      <c r="J147" s="579">
        <v>68.19</v>
      </c>
      <c r="K147" s="577">
        <f t="shared" si="38"/>
        <v>16.43</v>
      </c>
      <c r="L147" s="580">
        <f t="shared" si="39"/>
        <v>84.62</v>
      </c>
      <c r="M147" s="576"/>
      <c r="N147" s="581"/>
      <c r="O147" s="578" t="s">
        <v>289</v>
      </c>
      <c r="P147" s="579">
        <v>2000</v>
      </c>
      <c r="Q147" s="579"/>
      <c r="R147" s="582"/>
      <c r="S147" s="577">
        <f t="shared" si="40"/>
        <v>0</v>
      </c>
      <c r="T147" s="580">
        <f t="shared" si="41"/>
        <v>0</v>
      </c>
    </row>
    <row r="148" spans="1:20" ht="35.25" customHeight="1" thickBot="1" x14ac:dyDescent="0.3">
      <c r="A148" s="583" t="s">
        <v>390</v>
      </c>
      <c r="B148" s="584"/>
      <c r="C148" s="584"/>
      <c r="D148" s="585"/>
      <c r="E148" s="586">
        <v>20</v>
      </c>
      <c r="F148" s="587">
        <f t="shared" si="46"/>
        <v>0.11363636363636363</v>
      </c>
      <c r="G148" s="588"/>
      <c r="H148" s="589"/>
      <c r="I148" s="589"/>
      <c r="J148" s="589">
        <v>68.19</v>
      </c>
      <c r="K148" s="587">
        <f t="shared" si="38"/>
        <v>16.43</v>
      </c>
      <c r="L148" s="590">
        <f t="shared" si="39"/>
        <v>84.62</v>
      </c>
      <c r="M148" s="586">
        <v>79</v>
      </c>
      <c r="N148" s="587">
        <f>M148/158</f>
        <v>0.5</v>
      </c>
      <c r="O148" s="588"/>
      <c r="P148" s="589"/>
      <c r="Q148" s="589"/>
      <c r="R148" s="591">
        <v>200</v>
      </c>
      <c r="S148" s="587">
        <f t="shared" si="40"/>
        <v>48.18</v>
      </c>
      <c r="T148" s="590">
        <f t="shared" si="41"/>
        <v>248.18</v>
      </c>
    </row>
    <row r="149" spans="1:20" ht="30" x14ac:dyDescent="0.25">
      <c r="A149" s="592" t="s">
        <v>391</v>
      </c>
      <c r="B149" s="592" t="s">
        <v>362</v>
      </c>
      <c r="C149" s="592" t="s">
        <v>392</v>
      </c>
      <c r="D149" s="593" t="s">
        <v>393</v>
      </c>
      <c r="E149" s="565">
        <v>8</v>
      </c>
      <c r="F149" s="567">
        <f t="shared" si="46"/>
        <v>4.5454545454545456E-2</v>
      </c>
      <c r="G149" s="569" t="s">
        <v>289</v>
      </c>
      <c r="H149" s="566">
        <v>1732.5</v>
      </c>
      <c r="I149" s="566" t="s">
        <v>949</v>
      </c>
      <c r="J149" s="566">
        <v>39.380000000000003</v>
      </c>
      <c r="K149" s="567">
        <f t="shared" si="38"/>
        <v>9.49</v>
      </c>
      <c r="L149" s="568">
        <f t="shared" si="39"/>
        <v>48.870000000000005</v>
      </c>
      <c r="M149" s="565"/>
      <c r="N149" s="594"/>
      <c r="O149" s="569" t="s">
        <v>289</v>
      </c>
      <c r="P149" s="566">
        <v>1732.5</v>
      </c>
      <c r="Q149" s="566"/>
      <c r="R149" s="570"/>
      <c r="S149" s="567">
        <f t="shared" si="40"/>
        <v>0</v>
      </c>
      <c r="T149" s="568">
        <f t="shared" si="41"/>
        <v>0</v>
      </c>
    </row>
    <row r="150" spans="1:20" ht="30" x14ac:dyDescent="0.25">
      <c r="A150" s="573" t="s">
        <v>391</v>
      </c>
      <c r="B150" s="573" t="s">
        <v>362</v>
      </c>
      <c r="C150" s="573" t="s">
        <v>392</v>
      </c>
      <c r="D150" s="564" t="s">
        <v>393</v>
      </c>
      <c r="E150" s="439"/>
      <c r="F150" s="509"/>
      <c r="G150" s="505" t="s">
        <v>289</v>
      </c>
      <c r="H150" s="509">
        <v>2500</v>
      </c>
      <c r="I150" s="509"/>
      <c r="J150" s="509"/>
      <c r="K150" s="495">
        <f t="shared" si="38"/>
        <v>0</v>
      </c>
      <c r="L150" s="571">
        <f t="shared" si="39"/>
        <v>0</v>
      </c>
      <c r="M150" s="439">
        <v>8</v>
      </c>
      <c r="N150" s="495">
        <f t="shared" ref="N150:N151" si="47">M150/158</f>
        <v>5.0632911392405063E-2</v>
      </c>
      <c r="O150" s="505" t="s">
        <v>289</v>
      </c>
      <c r="P150" s="509">
        <v>2500</v>
      </c>
      <c r="Q150" s="509" t="s">
        <v>272</v>
      </c>
      <c r="R150" s="572">
        <v>25.32</v>
      </c>
      <c r="S150" s="495">
        <f t="shared" si="40"/>
        <v>6.1</v>
      </c>
      <c r="T150" s="571">
        <f t="shared" si="41"/>
        <v>31.42</v>
      </c>
    </row>
    <row r="151" spans="1:20" ht="30" x14ac:dyDescent="0.25">
      <c r="A151" s="573" t="s">
        <v>391</v>
      </c>
      <c r="B151" s="573" t="s">
        <v>362</v>
      </c>
      <c r="C151" s="573" t="s">
        <v>392</v>
      </c>
      <c r="D151" s="564" t="s">
        <v>394</v>
      </c>
      <c r="E151" s="439"/>
      <c r="F151" s="509"/>
      <c r="G151" s="505" t="s">
        <v>289</v>
      </c>
      <c r="H151" s="509">
        <v>1732.5</v>
      </c>
      <c r="I151" s="509"/>
      <c r="J151" s="509"/>
      <c r="K151" s="495">
        <f t="shared" si="38"/>
        <v>0</v>
      </c>
      <c r="L151" s="571">
        <f t="shared" si="39"/>
        <v>0</v>
      </c>
      <c r="M151" s="439">
        <v>8</v>
      </c>
      <c r="N151" s="495">
        <f t="shared" si="47"/>
        <v>5.0632911392405063E-2</v>
      </c>
      <c r="O151" s="505" t="s">
        <v>289</v>
      </c>
      <c r="P151" s="509">
        <v>1732.5</v>
      </c>
      <c r="Q151" s="509" t="s">
        <v>272</v>
      </c>
      <c r="R151" s="572">
        <v>17.54</v>
      </c>
      <c r="S151" s="495">
        <f t="shared" si="40"/>
        <v>4.2300000000000004</v>
      </c>
      <c r="T151" s="571">
        <f t="shared" si="41"/>
        <v>21.77</v>
      </c>
    </row>
    <row r="152" spans="1:20" ht="30" x14ac:dyDescent="0.25">
      <c r="A152" s="573" t="s">
        <v>391</v>
      </c>
      <c r="B152" s="573" t="s">
        <v>362</v>
      </c>
      <c r="C152" s="573" t="s">
        <v>392</v>
      </c>
      <c r="D152" s="564" t="s">
        <v>394</v>
      </c>
      <c r="E152" s="439">
        <v>8</v>
      </c>
      <c r="F152" s="495">
        <f t="shared" ref="F152:F153" si="48">E152/176</f>
        <v>4.5454545454545456E-2</v>
      </c>
      <c r="G152" s="505" t="s">
        <v>289</v>
      </c>
      <c r="H152" s="509">
        <v>1732.5</v>
      </c>
      <c r="I152" s="509" t="s">
        <v>949</v>
      </c>
      <c r="J152" s="509">
        <v>39.380000000000003</v>
      </c>
      <c r="K152" s="495">
        <f t="shared" si="38"/>
        <v>9.49</v>
      </c>
      <c r="L152" s="571">
        <f t="shared" si="39"/>
        <v>48.870000000000005</v>
      </c>
      <c r="M152" s="439"/>
      <c r="N152" s="563"/>
      <c r="O152" s="505" t="s">
        <v>289</v>
      </c>
      <c r="P152" s="509">
        <v>1732.5</v>
      </c>
      <c r="Q152" s="509"/>
      <c r="R152" s="572"/>
      <c r="S152" s="495">
        <f t="shared" si="40"/>
        <v>0</v>
      </c>
      <c r="T152" s="571">
        <f t="shared" si="41"/>
        <v>0</v>
      </c>
    </row>
    <row r="153" spans="1:20" ht="30" x14ac:dyDescent="0.25">
      <c r="A153" s="573" t="s">
        <v>391</v>
      </c>
      <c r="B153" s="573" t="s">
        <v>362</v>
      </c>
      <c r="C153" s="573" t="s">
        <v>392</v>
      </c>
      <c r="D153" s="564" t="s">
        <v>395</v>
      </c>
      <c r="E153" s="439">
        <v>8</v>
      </c>
      <c r="F153" s="495">
        <f t="shared" si="48"/>
        <v>4.5454545454545456E-2</v>
      </c>
      <c r="G153" s="505" t="s">
        <v>289</v>
      </c>
      <c r="H153" s="509">
        <v>1650</v>
      </c>
      <c r="I153" s="509" t="s">
        <v>949</v>
      </c>
      <c r="J153" s="509">
        <v>37.5</v>
      </c>
      <c r="K153" s="495">
        <f t="shared" si="38"/>
        <v>9.0299999999999994</v>
      </c>
      <c r="L153" s="571">
        <f t="shared" si="39"/>
        <v>46.53</v>
      </c>
      <c r="M153" s="439"/>
      <c r="N153" s="563"/>
      <c r="O153" s="505" t="s">
        <v>289</v>
      </c>
      <c r="P153" s="509">
        <v>1650</v>
      </c>
      <c r="Q153" s="509"/>
      <c r="R153" s="572"/>
      <c r="S153" s="495">
        <f t="shared" si="40"/>
        <v>0</v>
      </c>
      <c r="T153" s="571">
        <f t="shared" si="41"/>
        <v>0</v>
      </c>
    </row>
    <row r="154" spans="1:20" ht="30" x14ac:dyDescent="0.25">
      <c r="A154" s="573" t="s">
        <v>391</v>
      </c>
      <c r="B154" s="573" t="s">
        <v>362</v>
      </c>
      <c r="C154" s="573" t="s">
        <v>392</v>
      </c>
      <c r="D154" s="564" t="s">
        <v>395</v>
      </c>
      <c r="E154" s="439"/>
      <c r="F154" s="509"/>
      <c r="G154" s="505" t="s">
        <v>289</v>
      </c>
      <c r="H154" s="509">
        <v>2500</v>
      </c>
      <c r="I154" s="509"/>
      <c r="J154" s="509"/>
      <c r="K154" s="495">
        <f t="shared" si="38"/>
        <v>0</v>
      </c>
      <c r="L154" s="571">
        <f t="shared" si="39"/>
        <v>0</v>
      </c>
      <c r="M154" s="439">
        <v>8</v>
      </c>
      <c r="N154" s="495">
        <f t="shared" ref="N154:N155" si="49">M154/158</f>
        <v>5.0632911392405063E-2</v>
      </c>
      <c r="O154" s="505" t="s">
        <v>289</v>
      </c>
      <c r="P154" s="509">
        <v>2500</v>
      </c>
      <c r="Q154" s="509" t="s">
        <v>272</v>
      </c>
      <c r="R154" s="572">
        <v>25.32</v>
      </c>
      <c r="S154" s="495">
        <f t="shared" si="40"/>
        <v>6.1</v>
      </c>
      <c r="T154" s="571">
        <f t="shared" si="41"/>
        <v>31.42</v>
      </c>
    </row>
    <row r="155" spans="1:20" ht="45" x14ac:dyDescent="0.25">
      <c r="A155" s="573" t="s">
        <v>391</v>
      </c>
      <c r="B155" s="573" t="s">
        <v>268</v>
      </c>
      <c r="C155" s="573" t="s">
        <v>396</v>
      </c>
      <c r="D155" s="564" t="s">
        <v>397</v>
      </c>
      <c r="E155" s="439"/>
      <c r="F155" s="509"/>
      <c r="G155" s="505" t="s">
        <v>289</v>
      </c>
      <c r="H155" s="509">
        <v>1212.75</v>
      </c>
      <c r="I155" s="509"/>
      <c r="J155" s="509"/>
      <c r="K155" s="495">
        <f t="shared" si="38"/>
        <v>0</v>
      </c>
      <c r="L155" s="571">
        <f t="shared" si="39"/>
        <v>0</v>
      </c>
      <c r="M155" s="439">
        <v>8</v>
      </c>
      <c r="N155" s="495">
        <f t="shared" si="49"/>
        <v>5.0632911392405063E-2</v>
      </c>
      <c r="O155" s="505" t="s">
        <v>289</v>
      </c>
      <c r="P155" s="509">
        <v>1212.75</v>
      </c>
      <c r="Q155" s="509" t="s">
        <v>272</v>
      </c>
      <c r="R155" s="572">
        <v>12.28</v>
      </c>
      <c r="S155" s="495">
        <f t="shared" si="40"/>
        <v>2.96</v>
      </c>
      <c r="T155" s="571">
        <f t="shared" si="41"/>
        <v>15.239999999999998</v>
      </c>
    </row>
    <row r="156" spans="1:20" ht="45" x14ac:dyDescent="0.25">
      <c r="A156" s="573" t="s">
        <v>391</v>
      </c>
      <c r="B156" s="573" t="s">
        <v>268</v>
      </c>
      <c r="C156" s="573" t="s">
        <v>396</v>
      </c>
      <c r="D156" s="564" t="s">
        <v>397</v>
      </c>
      <c r="E156" s="439">
        <v>8</v>
      </c>
      <c r="F156" s="495">
        <f>E156/176</f>
        <v>4.5454545454545456E-2</v>
      </c>
      <c r="G156" s="505" t="s">
        <v>289</v>
      </c>
      <c r="H156" s="509">
        <v>1212.75</v>
      </c>
      <c r="I156" s="509" t="s">
        <v>949</v>
      </c>
      <c r="J156" s="509">
        <v>27.56</v>
      </c>
      <c r="K156" s="495">
        <f t="shared" si="38"/>
        <v>6.64</v>
      </c>
      <c r="L156" s="571">
        <f t="shared" si="39"/>
        <v>34.199999999999996</v>
      </c>
      <c r="M156" s="439"/>
      <c r="N156" s="563"/>
      <c r="O156" s="505" t="s">
        <v>289</v>
      </c>
      <c r="P156" s="509">
        <v>1212.75</v>
      </c>
      <c r="Q156" s="509"/>
      <c r="R156" s="572"/>
      <c r="S156" s="495">
        <f t="shared" si="40"/>
        <v>0</v>
      </c>
      <c r="T156" s="571">
        <f t="shared" si="41"/>
        <v>0</v>
      </c>
    </row>
    <row r="157" spans="1:20" ht="45" x14ac:dyDescent="0.25">
      <c r="A157" s="573" t="s">
        <v>391</v>
      </c>
      <c r="B157" s="573" t="s">
        <v>268</v>
      </c>
      <c r="C157" s="573" t="s">
        <v>396</v>
      </c>
      <c r="D157" s="564" t="s">
        <v>398</v>
      </c>
      <c r="E157" s="439"/>
      <c r="F157" s="509"/>
      <c r="G157" s="505" t="s">
        <v>289</v>
      </c>
      <c r="H157" s="509">
        <v>1212.75</v>
      </c>
      <c r="I157" s="509"/>
      <c r="J157" s="509"/>
      <c r="K157" s="495">
        <f t="shared" si="38"/>
        <v>0</v>
      </c>
      <c r="L157" s="571">
        <f t="shared" si="39"/>
        <v>0</v>
      </c>
      <c r="M157" s="439">
        <v>8</v>
      </c>
      <c r="N157" s="495">
        <f>M157/158</f>
        <v>5.0632911392405063E-2</v>
      </c>
      <c r="O157" s="505" t="s">
        <v>289</v>
      </c>
      <c r="P157" s="509">
        <v>1212.75</v>
      </c>
      <c r="Q157" s="509" t="s">
        <v>272</v>
      </c>
      <c r="R157" s="572">
        <v>12.28</v>
      </c>
      <c r="S157" s="495">
        <f t="shared" si="40"/>
        <v>2.96</v>
      </c>
      <c r="T157" s="571">
        <f t="shared" si="41"/>
        <v>15.239999999999998</v>
      </c>
    </row>
    <row r="158" spans="1:20" ht="45" x14ac:dyDescent="0.25">
      <c r="A158" s="573" t="s">
        <v>391</v>
      </c>
      <c r="B158" s="573" t="s">
        <v>268</v>
      </c>
      <c r="C158" s="573" t="s">
        <v>396</v>
      </c>
      <c r="D158" s="564" t="s">
        <v>398</v>
      </c>
      <c r="E158" s="439">
        <v>8</v>
      </c>
      <c r="F158" s="495">
        <f>E158/176</f>
        <v>4.5454545454545456E-2</v>
      </c>
      <c r="G158" s="505" t="s">
        <v>289</v>
      </c>
      <c r="H158" s="509">
        <v>1212.75</v>
      </c>
      <c r="I158" s="509" t="s">
        <v>949</v>
      </c>
      <c r="J158" s="509">
        <v>27.56</v>
      </c>
      <c r="K158" s="495">
        <f t="shared" si="38"/>
        <v>6.64</v>
      </c>
      <c r="L158" s="571">
        <f t="shared" si="39"/>
        <v>34.199999999999996</v>
      </c>
      <c r="M158" s="439"/>
      <c r="N158" s="563"/>
      <c r="O158" s="505" t="s">
        <v>289</v>
      </c>
      <c r="P158" s="509">
        <v>1212.75</v>
      </c>
      <c r="Q158" s="509"/>
      <c r="R158" s="572"/>
      <c r="S158" s="495">
        <f t="shared" si="40"/>
        <v>0</v>
      </c>
      <c r="T158" s="571">
        <f t="shared" si="41"/>
        <v>0</v>
      </c>
    </row>
    <row r="159" spans="1:20" ht="45" x14ac:dyDescent="0.25">
      <c r="A159" s="573" t="s">
        <v>391</v>
      </c>
      <c r="B159" s="573" t="s">
        <v>268</v>
      </c>
      <c r="C159" s="573" t="s">
        <v>396</v>
      </c>
      <c r="D159" s="564" t="s">
        <v>399</v>
      </c>
      <c r="E159" s="439"/>
      <c r="F159" s="509"/>
      <c r="G159" s="505" t="s">
        <v>289</v>
      </c>
      <c r="H159" s="509">
        <v>1195.43</v>
      </c>
      <c r="I159" s="509"/>
      <c r="J159" s="509"/>
      <c r="K159" s="495">
        <f t="shared" si="38"/>
        <v>0</v>
      </c>
      <c r="L159" s="571">
        <f t="shared" si="39"/>
        <v>0</v>
      </c>
      <c r="M159" s="439">
        <v>8</v>
      </c>
      <c r="N159" s="495">
        <f>M159/158</f>
        <v>5.0632911392405063E-2</v>
      </c>
      <c r="O159" s="505" t="s">
        <v>289</v>
      </c>
      <c r="P159" s="509">
        <v>1195.43</v>
      </c>
      <c r="Q159" s="509" t="s">
        <v>272</v>
      </c>
      <c r="R159" s="572">
        <v>12.11</v>
      </c>
      <c r="S159" s="495">
        <f t="shared" si="40"/>
        <v>2.92</v>
      </c>
      <c r="T159" s="571">
        <f t="shared" si="41"/>
        <v>15.03</v>
      </c>
    </row>
    <row r="160" spans="1:20" ht="45" x14ac:dyDescent="0.25">
      <c r="A160" s="573" t="s">
        <v>391</v>
      </c>
      <c r="B160" s="573" t="s">
        <v>268</v>
      </c>
      <c r="C160" s="573" t="s">
        <v>396</v>
      </c>
      <c r="D160" s="564" t="s">
        <v>399</v>
      </c>
      <c r="E160" s="439">
        <v>8</v>
      </c>
      <c r="F160" s="495">
        <f>E160/176</f>
        <v>4.5454545454545456E-2</v>
      </c>
      <c r="G160" s="505" t="s">
        <v>289</v>
      </c>
      <c r="H160" s="509">
        <v>1195.43</v>
      </c>
      <c r="I160" s="509" t="s">
        <v>949</v>
      </c>
      <c r="J160" s="509">
        <v>27.17</v>
      </c>
      <c r="K160" s="495">
        <f t="shared" si="38"/>
        <v>6.55</v>
      </c>
      <c r="L160" s="571">
        <f t="shared" si="39"/>
        <v>33.72</v>
      </c>
      <c r="M160" s="439"/>
      <c r="N160" s="563"/>
      <c r="O160" s="505" t="s">
        <v>289</v>
      </c>
      <c r="P160" s="509">
        <v>1195.43</v>
      </c>
      <c r="Q160" s="509"/>
      <c r="R160" s="572"/>
      <c r="S160" s="495">
        <f t="shared" si="40"/>
        <v>0</v>
      </c>
      <c r="T160" s="571">
        <f t="shared" si="41"/>
        <v>0</v>
      </c>
    </row>
    <row r="161" spans="1:20" ht="45" x14ac:dyDescent="0.25">
      <c r="A161" s="573" t="s">
        <v>391</v>
      </c>
      <c r="B161" s="573" t="s">
        <v>268</v>
      </c>
      <c r="C161" s="573" t="s">
        <v>396</v>
      </c>
      <c r="D161" s="564" t="s">
        <v>400</v>
      </c>
      <c r="E161" s="439"/>
      <c r="F161" s="509"/>
      <c r="G161" s="505" t="s">
        <v>289</v>
      </c>
      <c r="H161" s="509">
        <v>1040</v>
      </c>
      <c r="I161" s="509"/>
      <c r="J161" s="509"/>
      <c r="K161" s="495">
        <f t="shared" si="38"/>
        <v>0</v>
      </c>
      <c r="L161" s="571">
        <f t="shared" si="39"/>
        <v>0</v>
      </c>
      <c r="M161" s="439">
        <v>8</v>
      </c>
      <c r="N161" s="495">
        <f>M161/158</f>
        <v>5.0632911392405063E-2</v>
      </c>
      <c r="O161" s="505" t="s">
        <v>289</v>
      </c>
      <c r="P161" s="509">
        <v>1040</v>
      </c>
      <c r="Q161" s="509" t="s">
        <v>272</v>
      </c>
      <c r="R161" s="572">
        <v>10.53</v>
      </c>
      <c r="S161" s="495">
        <f t="shared" si="40"/>
        <v>2.54</v>
      </c>
      <c r="T161" s="571">
        <f t="shared" si="41"/>
        <v>13.07</v>
      </c>
    </row>
    <row r="162" spans="1:20" ht="45" x14ac:dyDescent="0.25">
      <c r="A162" s="573" t="s">
        <v>391</v>
      </c>
      <c r="B162" s="573" t="s">
        <v>268</v>
      </c>
      <c r="C162" s="573" t="s">
        <v>396</v>
      </c>
      <c r="D162" s="564" t="s">
        <v>400</v>
      </c>
      <c r="E162" s="439">
        <v>8</v>
      </c>
      <c r="F162" s="495">
        <f>E162/176</f>
        <v>4.5454545454545456E-2</v>
      </c>
      <c r="G162" s="505" t="s">
        <v>289</v>
      </c>
      <c r="H162" s="509">
        <v>1040</v>
      </c>
      <c r="I162" s="509" t="s">
        <v>949</v>
      </c>
      <c r="J162" s="509">
        <v>23.64</v>
      </c>
      <c r="K162" s="495">
        <f t="shared" si="38"/>
        <v>5.69</v>
      </c>
      <c r="L162" s="571">
        <f t="shared" si="39"/>
        <v>29.330000000000002</v>
      </c>
      <c r="M162" s="439"/>
      <c r="N162" s="563"/>
      <c r="O162" s="505" t="s">
        <v>289</v>
      </c>
      <c r="P162" s="509">
        <v>1040</v>
      </c>
      <c r="Q162" s="509"/>
      <c r="R162" s="572"/>
      <c r="S162" s="495">
        <f t="shared" si="40"/>
        <v>0</v>
      </c>
      <c r="T162" s="571">
        <f t="shared" si="41"/>
        <v>0</v>
      </c>
    </row>
    <row r="163" spans="1:20" ht="45" x14ac:dyDescent="0.25">
      <c r="A163" s="573" t="s">
        <v>391</v>
      </c>
      <c r="B163" s="573" t="s">
        <v>268</v>
      </c>
      <c r="C163" s="573" t="s">
        <v>396</v>
      </c>
      <c r="D163" s="564" t="s">
        <v>401</v>
      </c>
      <c r="E163" s="439"/>
      <c r="F163" s="509"/>
      <c r="G163" s="505" t="s">
        <v>289</v>
      </c>
      <c r="H163" s="509">
        <v>1195.43</v>
      </c>
      <c r="I163" s="509"/>
      <c r="J163" s="509"/>
      <c r="K163" s="495">
        <f t="shared" si="38"/>
        <v>0</v>
      </c>
      <c r="L163" s="571">
        <f t="shared" si="39"/>
        <v>0</v>
      </c>
      <c r="M163" s="439">
        <v>16</v>
      </c>
      <c r="N163" s="495">
        <f>M163/158</f>
        <v>0.10126582278481013</v>
      </c>
      <c r="O163" s="505" t="s">
        <v>289</v>
      </c>
      <c r="P163" s="509">
        <v>1195.43</v>
      </c>
      <c r="Q163" s="509" t="s">
        <v>272</v>
      </c>
      <c r="R163" s="572">
        <v>24.21</v>
      </c>
      <c r="S163" s="495">
        <f t="shared" si="40"/>
        <v>5.83</v>
      </c>
      <c r="T163" s="571">
        <f t="shared" si="41"/>
        <v>30.04</v>
      </c>
    </row>
    <row r="164" spans="1:20" ht="45" x14ac:dyDescent="0.25">
      <c r="A164" s="573" t="s">
        <v>391</v>
      </c>
      <c r="B164" s="573" t="s">
        <v>268</v>
      </c>
      <c r="C164" s="573" t="s">
        <v>396</v>
      </c>
      <c r="D164" s="564" t="s">
        <v>401</v>
      </c>
      <c r="E164" s="439">
        <v>8</v>
      </c>
      <c r="F164" s="495">
        <f>E164/176</f>
        <v>4.5454545454545456E-2</v>
      </c>
      <c r="G164" s="505" t="s">
        <v>289</v>
      </c>
      <c r="H164" s="509">
        <v>1195.43</v>
      </c>
      <c r="I164" s="509" t="s">
        <v>949</v>
      </c>
      <c r="J164" s="509">
        <v>27.17</v>
      </c>
      <c r="K164" s="495">
        <f t="shared" si="38"/>
        <v>6.55</v>
      </c>
      <c r="L164" s="571">
        <f t="shared" si="39"/>
        <v>33.72</v>
      </c>
      <c r="M164" s="439"/>
      <c r="N164" s="563"/>
      <c r="O164" s="505" t="s">
        <v>289</v>
      </c>
      <c r="P164" s="509">
        <v>1195.43</v>
      </c>
      <c r="Q164" s="509"/>
      <c r="R164" s="572"/>
      <c r="S164" s="495">
        <f t="shared" si="40"/>
        <v>0</v>
      </c>
      <c r="T164" s="571">
        <f t="shared" si="41"/>
        <v>0</v>
      </c>
    </row>
    <row r="165" spans="1:20" ht="45" x14ac:dyDescent="0.25">
      <c r="A165" s="573" t="s">
        <v>391</v>
      </c>
      <c r="B165" s="573" t="s">
        <v>268</v>
      </c>
      <c r="C165" s="573" t="s">
        <v>402</v>
      </c>
      <c r="D165" s="564" t="s">
        <v>403</v>
      </c>
      <c r="E165" s="439"/>
      <c r="F165" s="509"/>
      <c r="G165" s="505" t="s">
        <v>271</v>
      </c>
      <c r="H165" s="509">
        <v>7.22</v>
      </c>
      <c r="I165" s="509"/>
      <c r="J165" s="509"/>
      <c r="K165" s="495">
        <f t="shared" si="38"/>
        <v>0</v>
      </c>
      <c r="L165" s="571">
        <f t="shared" si="39"/>
        <v>0</v>
      </c>
      <c r="M165" s="439">
        <v>8</v>
      </c>
      <c r="N165" s="495">
        <f>M165/158</f>
        <v>5.0632911392405063E-2</v>
      </c>
      <c r="O165" s="505" t="s">
        <v>271</v>
      </c>
      <c r="P165" s="509">
        <v>7.22</v>
      </c>
      <c r="Q165" s="509" t="s">
        <v>272</v>
      </c>
      <c r="R165" s="572">
        <v>11.55</v>
      </c>
      <c r="S165" s="495">
        <f t="shared" si="40"/>
        <v>2.78</v>
      </c>
      <c r="T165" s="571">
        <f t="shared" si="41"/>
        <v>14.33</v>
      </c>
    </row>
    <row r="166" spans="1:20" ht="45" x14ac:dyDescent="0.25">
      <c r="A166" s="573" t="s">
        <v>391</v>
      </c>
      <c r="B166" s="573" t="s">
        <v>268</v>
      </c>
      <c r="C166" s="573" t="s">
        <v>402</v>
      </c>
      <c r="D166" s="564" t="s">
        <v>403</v>
      </c>
      <c r="E166" s="439">
        <v>8</v>
      </c>
      <c r="F166" s="495">
        <f>E166/176</f>
        <v>4.5454545454545456E-2</v>
      </c>
      <c r="G166" s="505" t="s">
        <v>271</v>
      </c>
      <c r="H166" s="509">
        <v>7.22</v>
      </c>
      <c r="I166" s="509" t="s">
        <v>949</v>
      </c>
      <c r="J166" s="509">
        <v>28.88</v>
      </c>
      <c r="K166" s="495">
        <f t="shared" si="38"/>
        <v>6.96</v>
      </c>
      <c r="L166" s="571">
        <f t="shared" si="39"/>
        <v>35.839999999999996</v>
      </c>
      <c r="M166" s="439"/>
      <c r="N166" s="563"/>
      <c r="O166" s="505" t="s">
        <v>271</v>
      </c>
      <c r="P166" s="509">
        <v>7.22</v>
      </c>
      <c r="Q166" s="509"/>
      <c r="R166" s="572"/>
      <c r="S166" s="495">
        <f t="shared" si="40"/>
        <v>0</v>
      </c>
      <c r="T166" s="571">
        <f t="shared" si="41"/>
        <v>0</v>
      </c>
    </row>
    <row r="167" spans="1:20" ht="45" x14ac:dyDescent="0.25">
      <c r="A167" s="573" t="s">
        <v>391</v>
      </c>
      <c r="B167" s="573" t="s">
        <v>268</v>
      </c>
      <c r="C167" s="573" t="s">
        <v>402</v>
      </c>
      <c r="D167" s="564" t="s">
        <v>404</v>
      </c>
      <c r="E167" s="439"/>
      <c r="F167" s="509"/>
      <c r="G167" s="505" t="s">
        <v>271</v>
      </c>
      <c r="H167" s="509">
        <v>7.22</v>
      </c>
      <c r="I167" s="509"/>
      <c r="J167" s="509"/>
      <c r="K167" s="495">
        <f t="shared" si="38"/>
        <v>0</v>
      </c>
      <c r="L167" s="571">
        <f t="shared" si="39"/>
        <v>0</v>
      </c>
      <c r="M167" s="439">
        <v>8</v>
      </c>
      <c r="N167" s="495">
        <f>M167/158</f>
        <v>5.0632911392405063E-2</v>
      </c>
      <c r="O167" s="505" t="s">
        <v>271</v>
      </c>
      <c r="P167" s="509">
        <v>7.22</v>
      </c>
      <c r="Q167" s="509" t="s">
        <v>272</v>
      </c>
      <c r="R167" s="572">
        <v>11.55</v>
      </c>
      <c r="S167" s="495">
        <f t="shared" si="40"/>
        <v>2.78</v>
      </c>
      <c r="T167" s="571">
        <f t="shared" si="41"/>
        <v>14.33</v>
      </c>
    </row>
    <row r="168" spans="1:20" ht="45" x14ac:dyDescent="0.25">
      <c r="A168" s="573" t="s">
        <v>391</v>
      </c>
      <c r="B168" s="573" t="s">
        <v>268</v>
      </c>
      <c r="C168" s="573" t="s">
        <v>402</v>
      </c>
      <c r="D168" s="564" t="s">
        <v>404</v>
      </c>
      <c r="E168" s="439">
        <v>8</v>
      </c>
      <c r="F168" s="495">
        <f>E168/176</f>
        <v>4.5454545454545456E-2</v>
      </c>
      <c r="G168" s="505" t="s">
        <v>271</v>
      </c>
      <c r="H168" s="509">
        <v>7.22</v>
      </c>
      <c r="I168" s="509" t="s">
        <v>949</v>
      </c>
      <c r="J168" s="509">
        <v>28.88</v>
      </c>
      <c r="K168" s="495">
        <f t="shared" si="38"/>
        <v>6.96</v>
      </c>
      <c r="L168" s="571">
        <f t="shared" si="39"/>
        <v>35.839999999999996</v>
      </c>
      <c r="M168" s="439"/>
      <c r="N168" s="563"/>
      <c r="O168" s="505" t="s">
        <v>271</v>
      </c>
      <c r="P168" s="509">
        <v>7.22</v>
      </c>
      <c r="Q168" s="509"/>
      <c r="R168" s="572"/>
      <c r="S168" s="495">
        <f t="shared" si="40"/>
        <v>0</v>
      </c>
      <c r="T168" s="571">
        <f t="shared" si="41"/>
        <v>0</v>
      </c>
    </row>
    <row r="169" spans="1:20" ht="45" x14ac:dyDescent="0.25">
      <c r="A169" s="573" t="s">
        <v>391</v>
      </c>
      <c r="B169" s="573" t="s">
        <v>268</v>
      </c>
      <c r="C169" s="573" t="s">
        <v>402</v>
      </c>
      <c r="D169" s="564" t="s">
        <v>405</v>
      </c>
      <c r="E169" s="439"/>
      <c r="F169" s="509"/>
      <c r="G169" s="505" t="s">
        <v>271</v>
      </c>
      <c r="H169" s="509">
        <v>7.22</v>
      </c>
      <c r="I169" s="509"/>
      <c r="J169" s="509"/>
      <c r="K169" s="495">
        <f t="shared" si="38"/>
        <v>0</v>
      </c>
      <c r="L169" s="571">
        <f t="shared" si="39"/>
        <v>0</v>
      </c>
      <c r="M169" s="439">
        <v>8</v>
      </c>
      <c r="N169" s="495">
        <f>M169/158</f>
        <v>5.0632911392405063E-2</v>
      </c>
      <c r="O169" s="505" t="s">
        <v>271</v>
      </c>
      <c r="P169" s="509">
        <v>7.22</v>
      </c>
      <c r="Q169" s="509" t="s">
        <v>272</v>
      </c>
      <c r="R169" s="572">
        <v>11.55</v>
      </c>
      <c r="S169" s="495">
        <f t="shared" si="40"/>
        <v>2.78</v>
      </c>
      <c r="T169" s="571">
        <f t="shared" si="41"/>
        <v>14.33</v>
      </c>
    </row>
    <row r="170" spans="1:20" ht="45" x14ac:dyDescent="0.25">
      <c r="A170" s="573" t="s">
        <v>391</v>
      </c>
      <c r="B170" s="573" t="s">
        <v>268</v>
      </c>
      <c r="C170" s="573" t="s">
        <v>402</v>
      </c>
      <c r="D170" s="564" t="s">
        <v>405</v>
      </c>
      <c r="E170" s="439">
        <v>8</v>
      </c>
      <c r="F170" s="495">
        <f>E170/176</f>
        <v>4.5454545454545456E-2</v>
      </c>
      <c r="G170" s="505" t="s">
        <v>271</v>
      </c>
      <c r="H170" s="509">
        <v>7.22</v>
      </c>
      <c r="I170" s="509" t="s">
        <v>949</v>
      </c>
      <c r="J170" s="509">
        <v>28.88</v>
      </c>
      <c r="K170" s="495">
        <f t="shared" si="38"/>
        <v>6.96</v>
      </c>
      <c r="L170" s="571">
        <f t="shared" si="39"/>
        <v>35.839999999999996</v>
      </c>
      <c r="M170" s="439"/>
      <c r="N170" s="563"/>
      <c r="O170" s="505" t="s">
        <v>271</v>
      </c>
      <c r="P170" s="509">
        <v>7.22</v>
      </c>
      <c r="Q170" s="509"/>
      <c r="R170" s="572"/>
      <c r="S170" s="495">
        <f t="shared" si="40"/>
        <v>0</v>
      </c>
      <c r="T170" s="571">
        <f t="shared" si="41"/>
        <v>0</v>
      </c>
    </row>
    <row r="171" spans="1:20" ht="45" x14ac:dyDescent="0.25">
      <c r="A171" s="573" t="s">
        <v>391</v>
      </c>
      <c r="B171" s="573" t="s">
        <v>268</v>
      </c>
      <c r="C171" s="573" t="s">
        <v>402</v>
      </c>
      <c r="D171" s="564" t="s">
        <v>406</v>
      </c>
      <c r="E171" s="439"/>
      <c r="F171" s="509"/>
      <c r="G171" s="505" t="s">
        <v>271</v>
      </c>
      <c r="H171" s="509">
        <v>7.05</v>
      </c>
      <c r="I171" s="509"/>
      <c r="J171" s="509"/>
      <c r="K171" s="495">
        <f t="shared" si="38"/>
        <v>0</v>
      </c>
      <c r="L171" s="571">
        <f t="shared" si="39"/>
        <v>0</v>
      </c>
      <c r="M171" s="439">
        <v>8</v>
      </c>
      <c r="N171" s="495">
        <f>M171/158</f>
        <v>5.0632911392405063E-2</v>
      </c>
      <c r="O171" s="505" t="s">
        <v>271</v>
      </c>
      <c r="P171" s="509">
        <v>7.05</v>
      </c>
      <c r="Q171" s="509" t="s">
        <v>272</v>
      </c>
      <c r="R171" s="572">
        <v>11.28</v>
      </c>
      <c r="S171" s="495">
        <f t="shared" si="40"/>
        <v>2.72</v>
      </c>
      <c r="T171" s="571">
        <f t="shared" si="41"/>
        <v>14</v>
      </c>
    </row>
    <row r="172" spans="1:20" ht="45" x14ac:dyDescent="0.25">
      <c r="A172" s="573" t="s">
        <v>391</v>
      </c>
      <c r="B172" s="573" t="s">
        <v>268</v>
      </c>
      <c r="C172" s="573" t="s">
        <v>402</v>
      </c>
      <c r="D172" s="564" t="s">
        <v>406</v>
      </c>
      <c r="E172" s="439">
        <v>8</v>
      </c>
      <c r="F172" s="495">
        <f>E172/176</f>
        <v>4.5454545454545456E-2</v>
      </c>
      <c r="G172" s="505" t="s">
        <v>271</v>
      </c>
      <c r="H172" s="509">
        <v>7.05</v>
      </c>
      <c r="I172" s="509" t="s">
        <v>949</v>
      </c>
      <c r="J172" s="509">
        <v>28.2</v>
      </c>
      <c r="K172" s="495">
        <f t="shared" si="38"/>
        <v>6.79</v>
      </c>
      <c r="L172" s="571">
        <f t="shared" si="39"/>
        <v>34.99</v>
      </c>
      <c r="M172" s="439"/>
      <c r="N172" s="563"/>
      <c r="O172" s="505" t="s">
        <v>271</v>
      </c>
      <c r="P172" s="509">
        <v>7.05</v>
      </c>
      <c r="Q172" s="509"/>
      <c r="R172" s="572"/>
      <c r="S172" s="495">
        <f t="shared" si="40"/>
        <v>0</v>
      </c>
      <c r="T172" s="571">
        <f t="shared" si="41"/>
        <v>0</v>
      </c>
    </row>
    <row r="173" spans="1:20" ht="45" x14ac:dyDescent="0.25">
      <c r="A173" s="573" t="s">
        <v>391</v>
      </c>
      <c r="B173" s="573" t="s">
        <v>268</v>
      </c>
      <c r="C173" s="573" t="s">
        <v>402</v>
      </c>
      <c r="D173" s="564" t="s">
        <v>407</v>
      </c>
      <c r="E173" s="439"/>
      <c r="F173" s="509"/>
      <c r="G173" s="505" t="s">
        <v>271</v>
      </c>
      <c r="H173" s="509">
        <v>7.22</v>
      </c>
      <c r="I173" s="509"/>
      <c r="J173" s="509"/>
      <c r="K173" s="495">
        <f t="shared" si="38"/>
        <v>0</v>
      </c>
      <c r="L173" s="571">
        <f t="shared" si="39"/>
        <v>0</v>
      </c>
      <c r="M173" s="439">
        <v>8</v>
      </c>
      <c r="N173" s="495">
        <f>M173/158</f>
        <v>5.0632911392405063E-2</v>
      </c>
      <c r="O173" s="505" t="s">
        <v>271</v>
      </c>
      <c r="P173" s="509">
        <v>7.22</v>
      </c>
      <c r="Q173" s="509" t="s">
        <v>272</v>
      </c>
      <c r="R173" s="572">
        <v>11.55</v>
      </c>
      <c r="S173" s="495">
        <f t="shared" si="40"/>
        <v>2.78</v>
      </c>
      <c r="T173" s="571">
        <f t="shared" si="41"/>
        <v>14.33</v>
      </c>
    </row>
    <row r="174" spans="1:20" ht="45" x14ac:dyDescent="0.25">
      <c r="A174" s="573" t="s">
        <v>391</v>
      </c>
      <c r="B174" s="573" t="s">
        <v>268</v>
      </c>
      <c r="C174" s="573" t="s">
        <v>402</v>
      </c>
      <c r="D174" s="564" t="s">
        <v>407</v>
      </c>
      <c r="E174" s="439">
        <v>8</v>
      </c>
      <c r="F174" s="495">
        <f>E174/176</f>
        <v>4.5454545454545456E-2</v>
      </c>
      <c r="G174" s="505" t="s">
        <v>271</v>
      </c>
      <c r="H174" s="509">
        <v>7.22</v>
      </c>
      <c r="I174" s="509" t="s">
        <v>949</v>
      </c>
      <c r="J174" s="509">
        <v>28.88</v>
      </c>
      <c r="K174" s="495">
        <f t="shared" si="38"/>
        <v>6.96</v>
      </c>
      <c r="L174" s="571">
        <f t="shared" si="39"/>
        <v>35.839999999999996</v>
      </c>
      <c r="M174" s="439"/>
      <c r="N174" s="563"/>
      <c r="O174" s="505" t="s">
        <v>271</v>
      </c>
      <c r="P174" s="509">
        <v>7.22</v>
      </c>
      <c r="Q174" s="509"/>
      <c r="R174" s="572"/>
      <c r="S174" s="495">
        <f t="shared" si="40"/>
        <v>0</v>
      </c>
      <c r="T174" s="571">
        <f t="shared" si="41"/>
        <v>0</v>
      </c>
    </row>
    <row r="175" spans="1:20" ht="45" x14ac:dyDescent="0.25">
      <c r="A175" s="573" t="s">
        <v>391</v>
      </c>
      <c r="B175" s="573" t="s">
        <v>268</v>
      </c>
      <c r="C175" s="573" t="s">
        <v>402</v>
      </c>
      <c r="D175" s="564" t="s">
        <v>408</v>
      </c>
      <c r="E175" s="439"/>
      <c r="F175" s="509"/>
      <c r="G175" s="505" t="s">
        <v>271</v>
      </c>
      <c r="H175" s="509">
        <v>7.22</v>
      </c>
      <c r="I175" s="509"/>
      <c r="J175" s="509"/>
      <c r="K175" s="495">
        <f t="shared" si="38"/>
        <v>0</v>
      </c>
      <c r="L175" s="571">
        <f t="shared" si="39"/>
        <v>0</v>
      </c>
      <c r="M175" s="439">
        <v>8</v>
      </c>
      <c r="N175" s="495">
        <f>M175/158</f>
        <v>5.0632911392405063E-2</v>
      </c>
      <c r="O175" s="505" t="s">
        <v>271</v>
      </c>
      <c r="P175" s="509">
        <v>7.22</v>
      </c>
      <c r="Q175" s="509" t="s">
        <v>272</v>
      </c>
      <c r="R175" s="572">
        <v>11.55</v>
      </c>
      <c r="S175" s="495">
        <f t="shared" si="40"/>
        <v>2.78</v>
      </c>
      <c r="T175" s="571">
        <f t="shared" si="41"/>
        <v>14.33</v>
      </c>
    </row>
    <row r="176" spans="1:20" ht="45" x14ac:dyDescent="0.25">
      <c r="A176" s="573" t="s">
        <v>391</v>
      </c>
      <c r="B176" s="573" t="s">
        <v>268</v>
      </c>
      <c r="C176" s="573" t="s">
        <v>402</v>
      </c>
      <c r="D176" s="564" t="s">
        <v>408</v>
      </c>
      <c r="E176" s="439">
        <v>8</v>
      </c>
      <c r="F176" s="495">
        <f>E176/176</f>
        <v>4.5454545454545456E-2</v>
      </c>
      <c r="G176" s="505" t="s">
        <v>271</v>
      </c>
      <c r="H176" s="509">
        <v>7.22</v>
      </c>
      <c r="I176" s="509" t="s">
        <v>949</v>
      </c>
      <c r="J176" s="509">
        <v>28.88</v>
      </c>
      <c r="K176" s="495">
        <f t="shared" si="38"/>
        <v>6.96</v>
      </c>
      <c r="L176" s="571">
        <f t="shared" si="39"/>
        <v>35.839999999999996</v>
      </c>
      <c r="M176" s="439"/>
      <c r="N176" s="563"/>
      <c r="O176" s="505" t="s">
        <v>271</v>
      </c>
      <c r="P176" s="509">
        <v>7.22</v>
      </c>
      <c r="Q176" s="509"/>
      <c r="R176" s="572"/>
      <c r="S176" s="495">
        <f t="shared" si="40"/>
        <v>0</v>
      </c>
      <c r="T176" s="571">
        <f t="shared" si="41"/>
        <v>0</v>
      </c>
    </row>
    <row r="177" spans="1:20" ht="45" x14ac:dyDescent="0.25">
      <c r="A177" s="573" t="s">
        <v>391</v>
      </c>
      <c r="B177" s="573" t="s">
        <v>268</v>
      </c>
      <c r="C177" s="573" t="s">
        <v>402</v>
      </c>
      <c r="D177" s="564" t="s">
        <v>409</v>
      </c>
      <c r="E177" s="439"/>
      <c r="F177" s="509"/>
      <c r="G177" s="505" t="s">
        <v>271</v>
      </c>
      <c r="H177" s="509">
        <v>6.88</v>
      </c>
      <c r="I177" s="509"/>
      <c r="J177" s="509"/>
      <c r="K177" s="495">
        <f t="shared" si="38"/>
        <v>0</v>
      </c>
      <c r="L177" s="571">
        <f t="shared" si="39"/>
        <v>0</v>
      </c>
      <c r="M177" s="439">
        <v>8</v>
      </c>
      <c r="N177" s="495">
        <f>M177/158</f>
        <v>5.0632911392405063E-2</v>
      </c>
      <c r="O177" s="505" t="s">
        <v>271</v>
      </c>
      <c r="P177" s="509">
        <v>6.88</v>
      </c>
      <c r="Q177" s="509" t="s">
        <v>272</v>
      </c>
      <c r="R177" s="572">
        <v>11.01</v>
      </c>
      <c r="S177" s="495">
        <f t="shared" si="40"/>
        <v>2.65</v>
      </c>
      <c r="T177" s="571">
        <f t="shared" si="41"/>
        <v>13.66</v>
      </c>
    </row>
    <row r="178" spans="1:20" ht="45" x14ac:dyDescent="0.25">
      <c r="A178" s="573" t="s">
        <v>391</v>
      </c>
      <c r="B178" s="573" t="s">
        <v>268</v>
      </c>
      <c r="C178" s="573" t="s">
        <v>402</v>
      </c>
      <c r="D178" s="564" t="s">
        <v>409</v>
      </c>
      <c r="E178" s="439">
        <v>8</v>
      </c>
      <c r="F178" s="495">
        <f t="shared" ref="F178:F179" si="50">E178/176</f>
        <v>4.5454545454545456E-2</v>
      </c>
      <c r="G178" s="505" t="s">
        <v>271</v>
      </c>
      <c r="H178" s="509">
        <v>6.88</v>
      </c>
      <c r="I178" s="509" t="s">
        <v>949</v>
      </c>
      <c r="J178" s="509">
        <v>27.52</v>
      </c>
      <c r="K178" s="495">
        <f t="shared" si="38"/>
        <v>6.63</v>
      </c>
      <c r="L178" s="571">
        <f t="shared" si="39"/>
        <v>34.15</v>
      </c>
      <c r="M178" s="439"/>
      <c r="N178" s="563"/>
      <c r="O178" s="505" t="s">
        <v>271</v>
      </c>
      <c r="P178" s="509">
        <v>6.88</v>
      </c>
      <c r="Q178" s="509"/>
      <c r="R178" s="572"/>
      <c r="S178" s="495">
        <f t="shared" si="40"/>
        <v>0</v>
      </c>
      <c r="T178" s="571">
        <f t="shared" si="41"/>
        <v>0</v>
      </c>
    </row>
    <row r="179" spans="1:20" ht="45" x14ac:dyDescent="0.25">
      <c r="A179" s="573" t="s">
        <v>391</v>
      </c>
      <c r="B179" s="573" t="s">
        <v>268</v>
      </c>
      <c r="C179" s="573" t="s">
        <v>402</v>
      </c>
      <c r="D179" s="564" t="s">
        <v>928</v>
      </c>
      <c r="E179" s="439">
        <v>8</v>
      </c>
      <c r="F179" s="495">
        <f t="shared" si="50"/>
        <v>4.5454545454545456E-2</v>
      </c>
      <c r="G179" s="505" t="s">
        <v>271</v>
      </c>
      <c r="H179" s="509">
        <v>7.22</v>
      </c>
      <c r="I179" s="509" t="s">
        <v>949</v>
      </c>
      <c r="J179" s="509">
        <v>28.88</v>
      </c>
      <c r="K179" s="495">
        <f t="shared" si="38"/>
        <v>6.96</v>
      </c>
      <c r="L179" s="571">
        <f t="shared" si="39"/>
        <v>35.839999999999996</v>
      </c>
      <c r="M179" s="439"/>
      <c r="N179" s="563"/>
      <c r="O179" s="505" t="s">
        <v>271</v>
      </c>
      <c r="P179" s="509">
        <v>7.22</v>
      </c>
      <c r="Q179" s="509"/>
      <c r="R179" s="572"/>
      <c r="S179" s="495">
        <f t="shared" si="40"/>
        <v>0</v>
      </c>
      <c r="T179" s="571">
        <f t="shared" si="41"/>
        <v>0</v>
      </c>
    </row>
    <row r="180" spans="1:20" ht="45" x14ac:dyDescent="0.25">
      <c r="A180" s="573" t="s">
        <v>391</v>
      </c>
      <c r="B180" s="573" t="s">
        <v>268</v>
      </c>
      <c r="C180" s="573" t="s">
        <v>410</v>
      </c>
      <c r="D180" s="564" t="s">
        <v>411</v>
      </c>
      <c r="E180" s="439"/>
      <c r="F180" s="509"/>
      <c r="G180" s="505" t="s">
        <v>289</v>
      </c>
      <c r="H180" s="509">
        <v>1365</v>
      </c>
      <c r="I180" s="509"/>
      <c r="J180" s="509"/>
      <c r="K180" s="495">
        <f t="shared" si="38"/>
        <v>0</v>
      </c>
      <c r="L180" s="571">
        <f t="shared" si="39"/>
        <v>0</v>
      </c>
      <c r="M180" s="439">
        <v>8</v>
      </c>
      <c r="N180" s="495">
        <f>M180/158</f>
        <v>5.0632911392405063E-2</v>
      </c>
      <c r="O180" s="505" t="s">
        <v>289</v>
      </c>
      <c r="P180" s="509">
        <v>1365</v>
      </c>
      <c r="Q180" s="509" t="s">
        <v>272</v>
      </c>
      <c r="R180" s="572">
        <v>13.82</v>
      </c>
      <c r="S180" s="495">
        <f t="shared" si="40"/>
        <v>3.33</v>
      </c>
      <c r="T180" s="571">
        <f t="shared" si="41"/>
        <v>17.149999999999999</v>
      </c>
    </row>
    <row r="181" spans="1:20" ht="45" x14ac:dyDescent="0.25">
      <c r="A181" s="573" t="s">
        <v>391</v>
      </c>
      <c r="B181" s="573" t="s">
        <v>268</v>
      </c>
      <c r="C181" s="573" t="s">
        <v>410</v>
      </c>
      <c r="D181" s="564" t="s">
        <v>411</v>
      </c>
      <c r="E181" s="439">
        <v>8</v>
      </c>
      <c r="F181" s="495">
        <f>E181/176</f>
        <v>4.5454545454545456E-2</v>
      </c>
      <c r="G181" s="505" t="s">
        <v>289</v>
      </c>
      <c r="H181" s="509">
        <v>1365</v>
      </c>
      <c r="I181" s="509" t="s">
        <v>949</v>
      </c>
      <c r="J181" s="509">
        <v>31.02</v>
      </c>
      <c r="K181" s="495">
        <f t="shared" si="38"/>
        <v>7.47</v>
      </c>
      <c r="L181" s="571">
        <f t="shared" si="39"/>
        <v>38.49</v>
      </c>
      <c r="M181" s="439"/>
      <c r="N181" s="563"/>
      <c r="O181" s="505" t="s">
        <v>289</v>
      </c>
      <c r="P181" s="509">
        <v>1365</v>
      </c>
      <c r="Q181" s="509"/>
      <c r="R181" s="572"/>
      <c r="S181" s="495">
        <f t="shared" si="40"/>
        <v>0</v>
      </c>
      <c r="T181" s="571">
        <f t="shared" si="41"/>
        <v>0</v>
      </c>
    </row>
    <row r="182" spans="1:20" ht="45" x14ac:dyDescent="0.25">
      <c r="A182" s="573" t="s">
        <v>391</v>
      </c>
      <c r="B182" s="573" t="s">
        <v>268</v>
      </c>
      <c r="C182" s="573" t="s">
        <v>410</v>
      </c>
      <c r="D182" s="564" t="s">
        <v>412</v>
      </c>
      <c r="E182" s="439"/>
      <c r="F182" s="509"/>
      <c r="G182" s="505" t="s">
        <v>289</v>
      </c>
      <c r="H182" s="509">
        <v>1365</v>
      </c>
      <c r="I182" s="509"/>
      <c r="J182" s="509"/>
      <c r="K182" s="495">
        <f t="shared" si="38"/>
        <v>0</v>
      </c>
      <c r="L182" s="571">
        <f t="shared" si="39"/>
        <v>0</v>
      </c>
      <c r="M182" s="439">
        <v>16</v>
      </c>
      <c r="N182" s="495">
        <f>M182/158</f>
        <v>0.10126582278481013</v>
      </c>
      <c r="O182" s="505" t="s">
        <v>289</v>
      </c>
      <c r="P182" s="509">
        <v>1365</v>
      </c>
      <c r="Q182" s="509" t="s">
        <v>272</v>
      </c>
      <c r="R182" s="572">
        <v>27.64</v>
      </c>
      <c r="S182" s="495">
        <f t="shared" si="40"/>
        <v>6.66</v>
      </c>
      <c r="T182" s="571">
        <f t="shared" si="41"/>
        <v>34.299999999999997</v>
      </c>
    </row>
    <row r="183" spans="1:20" ht="45.75" thickBot="1" x14ac:dyDescent="0.3">
      <c r="A183" s="574" t="s">
        <v>391</v>
      </c>
      <c r="B183" s="574" t="s">
        <v>268</v>
      </c>
      <c r="C183" s="574" t="s">
        <v>410</v>
      </c>
      <c r="D183" s="575" t="s">
        <v>412</v>
      </c>
      <c r="E183" s="576">
        <v>16</v>
      </c>
      <c r="F183" s="577">
        <f t="shared" ref="F183:F184" si="51">E183/176</f>
        <v>9.0909090909090912E-2</v>
      </c>
      <c r="G183" s="578" t="s">
        <v>289</v>
      </c>
      <c r="H183" s="579">
        <v>1365</v>
      </c>
      <c r="I183" s="579" t="s">
        <v>949</v>
      </c>
      <c r="J183" s="579">
        <v>62.05</v>
      </c>
      <c r="K183" s="577">
        <f t="shared" si="38"/>
        <v>14.95</v>
      </c>
      <c r="L183" s="580">
        <f t="shared" si="39"/>
        <v>77</v>
      </c>
      <c r="M183" s="576"/>
      <c r="N183" s="581"/>
      <c r="O183" s="578" t="s">
        <v>289</v>
      </c>
      <c r="P183" s="579">
        <v>1365</v>
      </c>
      <c r="Q183" s="579"/>
      <c r="R183" s="582"/>
      <c r="S183" s="577">
        <f t="shared" si="40"/>
        <v>0</v>
      </c>
      <c r="T183" s="580">
        <f t="shared" si="41"/>
        <v>0</v>
      </c>
    </row>
    <row r="184" spans="1:20" ht="48" customHeight="1" thickBot="1" x14ac:dyDescent="0.3">
      <c r="A184" s="583" t="s">
        <v>413</v>
      </c>
      <c r="B184" s="584"/>
      <c r="C184" s="584"/>
      <c r="D184" s="585"/>
      <c r="E184" s="586">
        <v>152</v>
      </c>
      <c r="F184" s="587">
        <f t="shared" si="51"/>
        <v>0.86363636363636365</v>
      </c>
      <c r="G184" s="588"/>
      <c r="H184" s="589"/>
      <c r="I184" s="589"/>
      <c r="J184" s="589">
        <v>571.42999999999995</v>
      </c>
      <c r="K184" s="587">
        <f t="shared" si="38"/>
        <v>137.66</v>
      </c>
      <c r="L184" s="590">
        <f t="shared" si="39"/>
        <v>709.08999999999992</v>
      </c>
      <c r="M184" s="586">
        <v>152</v>
      </c>
      <c r="N184" s="587">
        <f t="shared" ref="N184:N185" si="52">M184/158</f>
        <v>0.96202531645569622</v>
      </c>
      <c r="O184" s="588"/>
      <c r="P184" s="589"/>
      <c r="Q184" s="589"/>
      <c r="R184" s="591">
        <v>261.09000000000003</v>
      </c>
      <c r="S184" s="587">
        <f t="shared" si="40"/>
        <v>62.9</v>
      </c>
      <c r="T184" s="590">
        <f t="shared" si="41"/>
        <v>323.99</v>
      </c>
    </row>
    <row r="185" spans="1:20" ht="45" x14ac:dyDescent="0.25">
      <c r="A185" s="592" t="s">
        <v>414</v>
      </c>
      <c r="B185" s="592" t="s">
        <v>268</v>
      </c>
      <c r="C185" s="592" t="s">
        <v>415</v>
      </c>
      <c r="D185" s="593" t="s">
        <v>416</v>
      </c>
      <c r="E185" s="565"/>
      <c r="F185" s="566"/>
      <c r="G185" s="569" t="s">
        <v>289</v>
      </c>
      <c r="H185" s="566">
        <v>1995</v>
      </c>
      <c r="I185" s="566"/>
      <c r="J185" s="566"/>
      <c r="K185" s="567">
        <f t="shared" si="38"/>
        <v>0</v>
      </c>
      <c r="L185" s="568">
        <f t="shared" si="39"/>
        <v>0</v>
      </c>
      <c r="M185" s="565">
        <v>8</v>
      </c>
      <c r="N185" s="567">
        <f t="shared" si="52"/>
        <v>5.0632911392405063E-2</v>
      </c>
      <c r="O185" s="569" t="s">
        <v>289</v>
      </c>
      <c r="P185" s="566">
        <v>1995</v>
      </c>
      <c r="Q185" s="566" t="s">
        <v>272</v>
      </c>
      <c r="R185" s="570">
        <v>20.2</v>
      </c>
      <c r="S185" s="567">
        <f t="shared" si="40"/>
        <v>4.87</v>
      </c>
      <c r="T185" s="568">
        <f t="shared" si="41"/>
        <v>25.07</v>
      </c>
    </row>
    <row r="186" spans="1:20" ht="45.75" thickBot="1" x14ac:dyDescent="0.3">
      <c r="A186" s="574" t="s">
        <v>414</v>
      </c>
      <c r="B186" s="574" t="s">
        <v>268</v>
      </c>
      <c r="C186" s="574" t="s">
        <v>415</v>
      </c>
      <c r="D186" s="575" t="s">
        <v>416</v>
      </c>
      <c r="E186" s="576">
        <v>8</v>
      </c>
      <c r="F186" s="577">
        <f t="shared" ref="F186:F187" si="53">E186/176</f>
        <v>4.5454545454545456E-2</v>
      </c>
      <c r="G186" s="578" t="s">
        <v>289</v>
      </c>
      <c r="H186" s="579">
        <v>1995</v>
      </c>
      <c r="I186" s="579" t="s">
        <v>949</v>
      </c>
      <c r="J186" s="579">
        <v>45.34</v>
      </c>
      <c r="K186" s="577">
        <f t="shared" si="38"/>
        <v>10.92</v>
      </c>
      <c r="L186" s="580">
        <f t="shared" si="39"/>
        <v>56.260000000000005</v>
      </c>
      <c r="M186" s="576"/>
      <c r="N186" s="581"/>
      <c r="O186" s="578" t="s">
        <v>289</v>
      </c>
      <c r="P186" s="579">
        <v>1995</v>
      </c>
      <c r="Q186" s="579"/>
      <c r="R186" s="582"/>
      <c r="S186" s="577">
        <f t="shared" si="40"/>
        <v>0</v>
      </c>
      <c r="T186" s="580">
        <f t="shared" si="41"/>
        <v>0</v>
      </c>
    </row>
    <row r="187" spans="1:20" ht="38.25" customHeight="1" thickBot="1" x14ac:dyDescent="0.3">
      <c r="A187" s="583" t="s">
        <v>417</v>
      </c>
      <c r="B187" s="584"/>
      <c r="C187" s="584"/>
      <c r="D187" s="585"/>
      <c r="E187" s="586">
        <v>8</v>
      </c>
      <c r="F187" s="587">
        <f t="shared" si="53"/>
        <v>4.5454545454545456E-2</v>
      </c>
      <c r="G187" s="588"/>
      <c r="H187" s="589"/>
      <c r="I187" s="589"/>
      <c r="J187" s="589">
        <v>45.34</v>
      </c>
      <c r="K187" s="587">
        <f t="shared" si="38"/>
        <v>10.92</v>
      </c>
      <c r="L187" s="590">
        <f t="shared" si="39"/>
        <v>56.260000000000005</v>
      </c>
      <c r="M187" s="586">
        <v>8</v>
      </c>
      <c r="N187" s="587">
        <f t="shared" ref="N187:N202" si="54">M187/158</f>
        <v>5.0632911392405063E-2</v>
      </c>
      <c r="O187" s="588"/>
      <c r="P187" s="589"/>
      <c r="Q187" s="589"/>
      <c r="R187" s="591">
        <v>20.2</v>
      </c>
      <c r="S187" s="587">
        <f t="shared" si="40"/>
        <v>4.87</v>
      </c>
      <c r="T187" s="590">
        <f t="shared" si="41"/>
        <v>25.07</v>
      </c>
    </row>
    <row r="188" spans="1:20" ht="60" x14ac:dyDescent="0.25">
      <c r="A188" s="592" t="s">
        <v>418</v>
      </c>
      <c r="B188" s="592" t="s">
        <v>268</v>
      </c>
      <c r="C188" s="592" t="s">
        <v>21</v>
      </c>
      <c r="D188" s="593" t="s">
        <v>419</v>
      </c>
      <c r="E188" s="565"/>
      <c r="F188" s="566"/>
      <c r="G188" s="569" t="s">
        <v>271</v>
      </c>
      <c r="H188" s="566">
        <v>6.71</v>
      </c>
      <c r="I188" s="566"/>
      <c r="J188" s="566"/>
      <c r="K188" s="567">
        <f t="shared" si="38"/>
        <v>0</v>
      </c>
      <c r="L188" s="568">
        <f t="shared" si="39"/>
        <v>0</v>
      </c>
      <c r="M188" s="565">
        <v>26</v>
      </c>
      <c r="N188" s="567">
        <f t="shared" si="54"/>
        <v>0.16455696202531644</v>
      </c>
      <c r="O188" s="569" t="s">
        <v>271</v>
      </c>
      <c r="P188" s="566">
        <v>6.71</v>
      </c>
      <c r="Q188" s="566" t="s">
        <v>272</v>
      </c>
      <c r="R188" s="570">
        <v>34.89</v>
      </c>
      <c r="S188" s="567">
        <f t="shared" si="40"/>
        <v>8.41</v>
      </c>
      <c r="T188" s="568">
        <f t="shared" si="41"/>
        <v>43.3</v>
      </c>
    </row>
    <row r="189" spans="1:20" ht="60" x14ac:dyDescent="0.25">
      <c r="A189" s="573" t="s">
        <v>418</v>
      </c>
      <c r="B189" s="573" t="s">
        <v>268</v>
      </c>
      <c r="C189" s="573" t="s">
        <v>21</v>
      </c>
      <c r="D189" s="564" t="s">
        <v>420</v>
      </c>
      <c r="E189" s="439"/>
      <c r="F189" s="509"/>
      <c r="G189" s="505" t="s">
        <v>271</v>
      </c>
      <c r="H189" s="509">
        <v>6.55</v>
      </c>
      <c r="I189" s="509"/>
      <c r="J189" s="509"/>
      <c r="K189" s="495">
        <f t="shared" si="38"/>
        <v>0</v>
      </c>
      <c r="L189" s="571">
        <f t="shared" si="39"/>
        <v>0</v>
      </c>
      <c r="M189" s="439">
        <v>20</v>
      </c>
      <c r="N189" s="495">
        <f t="shared" si="54"/>
        <v>0.12658227848101267</v>
      </c>
      <c r="O189" s="505" t="s">
        <v>271</v>
      </c>
      <c r="P189" s="509">
        <v>6.55</v>
      </c>
      <c r="Q189" s="509" t="s">
        <v>272</v>
      </c>
      <c r="R189" s="572">
        <v>26.2</v>
      </c>
      <c r="S189" s="495">
        <f t="shared" si="40"/>
        <v>6.31</v>
      </c>
      <c r="T189" s="571">
        <f t="shared" si="41"/>
        <v>32.51</v>
      </c>
    </row>
    <row r="190" spans="1:20" ht="60" x14ac:dyDescent="0.25">
      <c r="A190" s="573" t="s">
        <v>418</v>
      </c>
      <c r="B190" s="573" t="s">
        <v>268</v>
      </c>
      <c r="C190" s="573" t="s">
        <v>21</v>
      </c>
      <c r="D190" s="564" t="s">
        <v>421</v>
      </c>
      <c r="E190" s="439"/>
      <c r="F190" s="509"/>
      <c r="G190" s="505" t="s">
        <v>271</v>
      </c>
      <c r="H190" s="509">
        <v>6.55</v>
      </c>
      <c r="I190" s="509"/>
      <c r="J190" s="509"/>
      <c r="K190" s="495">
        <f t="shared" si="38"/>
        <v>0</v>
      </c>
      <c r="L190" s="571">
        <f t="shared" si="39"/>
        <v>0</v>
      </c>
      <c r="M190" s="439">
        <v>16</v>
      </c>
      <c r="N190" s="495">
        <f t="shared" si="54"/>
        <v>0.10126582278481013</v>
      </c>
      <c r="O190" s="505" t="s">
        <v>271</v>
      </c>
      <c r="P190" s="509">
        <v>6.55</v>
      </c>
      <c r="Q190" s="509" t="s">
        <v>272</v>
      </c>
      <c r="R190" s="572">
        <v>20.96</v>
      </c>
      <c r="S190" s="495">
        <f t="shared" si="40"/>
        <v>5.05</v>
      </c>
      <c r="T190" s="571">
        <f t="shared" si="41"/>
        <v>26.01</v>
      </c>
    </row>
    <row r="191" spans="1:20" ht="60" x14ac:dyDescent="0.25">
      <c r="A191" s="573" t="s">
        <v>418</v>
      </c>
      <c r="B191" s="573" t="s">
        <v>268</v>
      </c>
      <c r="C191" s="573" t="s">
        <v>21</v>
      </c>
      <c r="D191" s="564" t="s">
        <v>422</v>
      </c>
      <c r="E191" s="439"/>
      <c r="F191" s="509"/>
      <c r="G191" s="505" t="s">
        <v>271</v>
      </c>
      <c r="H191" s="509">
        <v>6.71</v>
      </c>
      <c r="I191" s="509"/>
      <c r="J191" s="509"/>
      <c r="K191" s="495">
        <f t="shared" si="38"/>
        <v>0</v>
      </c>
      <c r="L191" s="571">
        <f t="shared" si="39"/>
        <v>0</v>
      </c>
      <c r="M191" s="439">
        <v>40</v>
      </c>
      <c r="N191" s="495">
        <f t="shared" si="54"/>
        <v>0.25316455696202533</v>
      </c>
      <c r="O191" s="505" t="s">
        <v>271</v>
      </c>
      <c r="P191" s="509">
        <v>6.71</v>
      </c>
      <c r="Q191" s="509" t="s">
        <v>272</v>
      </c>
      <c r="R191" s="572">
        <v>53.68</v>
      </c>
      <c r="S191" s="495">
        <f t="shared" si="40"/>
        <v>12.93</v>
      </c>
      <c r="T191" s="571">
        <f t="shared" si="41"/>
        <v>66.61</v>
      </c>
    </row>
    <row r="192" spans="1:20" ht="60" x14ac:dyDescent="0.25">
      <c r="A192" s="573" t="s">
        <v>418</v>
      </c>
      <c r="B192" s="573" t="s">
        <v>268</v>
      </c>
      <c r="C192" s="573" t="s">
        <v>21</v>
      </c>
      <c r="D192" s="564" t="s">
        <v>423</v>
      </c>
      <c r="E192" s="439"/>
      <c r="F192" s="509"/>
      <c r="G192" s="505" t="s">
        <v>271</v>
      </c>
      <c r="H192" s="509">
        <v>6.55</v>
      </c>
      <c r="I192" s="509"/>
      <c r="J192" s="509"/>
      <c r="K192" s="495">
        <f t="shared" si="38"/>
        <v>0</v>
      </c>
      <c r="L192" s="571">
        <f t="shared" si="39"/>
        <v>0</v>
      </c>
      <c r="M192" s="439">
        <v>28</v>
      </c>
      <c r="N192" s="495">
        <f t="shared" si="54"/>
        <v>0.17721518987341772</v>
      </c>
      <c r="O192" s="505" t="s">
        <v>271</v>
      </c>
      <c r="P192" s="509">
        <v>6.55</v>
      </c>
      <c r="Q192" s="509" t="s">
        <v>272</v>
      </c>
      <c r="R192" s="572">
        <v>36.68</v>
      </c>
      <c r="S192" s="495">
        <f t="shared" si="40"/>
        <v>8.84</v>
      </c>
      <c r="T192" s="571">
        <f t="shared" si="41"/>
        <v>45.519999999999996</v>
      </c>
    </row>
    <row r="193" spans="1:20" ht="60" x14ac:dyDescent="0.25">
      <c r="A193" s="573" t="s">
        <v>418</v>
      </c>
      <c r="B193" s="573" t="s">
        <v>268</v>
      </c>
      <c r="C193" s="573" t="s">
        <v>21</v>
      </c>
      <c r="D193" s="564" t="s">
        <v>424</v>
      </c>
      <c r="E193" s="439"/>
      <c r="F193" s="509"/>
      <c r="G193" s="505" t="s">
        <v>271</v>
      </c>
      <c r="H193" s="509">
        <v>6.55</v>
      </c>
      <c r="I193" s="509"/>
      <c r="J193" s="509"/>
      <c r="K193" s="495">
        <f t="shared" si="38"/>
        <v>0</v>
      </c>
      <c r="L193" s="571">
        <f t="shared" si="39"/>
        <v>0</v>
      </c>
      <c r="M193" s="439">
        <v>68</v>
      </c>
      <c r="N193" s="495">
        <f t="shared" si="54"/>
        <v>0.43037974683544306</v>
      </c>
      <c r="O193" s="505" t="s">
        <v>271</v>
      </c>
      <c r="P193" s="509">
        <v>6.55</v>
      </c>
      <c r="Q193" s="509" t="s">
        <v>272</v>
      </c>
      <c r="R193" s="572">
        <v>89.08</v>
      </c>
      <c r="S193" s="495">
        <f t="shared" si="40"/>
        <v>21.46</v>
      </c>
      <c r="T193" s="571">
        <f t="shared" si="41"/>
        <v>110.53999999999999</v>
      </c>
    </row>
    <row r="194" spans="1:20" ht="60" x14ac:dyDescent="0.25">
      <c r="A194" s="573" t="s">
        <v>418</v>
      </c>
      <c r="B194" s="573" t="s">
        <v>268</v>
      </c>
      <c r="C194" s="573" t="s">
        <v>21</v>
      </c>
      <c r="D194" s="564" t="s">
        <v>425</v>
      </c>
      <c r="E194" s="439"/>
      <c r="F194" s="509"/>
      <c r="G194" s="505" t="s">
        <v>271</v>
      </c>
      <c r="H194" s="509">
        <v>6.55</v>
      </c>
      <c r="I194" s="509"/>
      <c r="J194" s="509"/>
      <c r="K194" s="495">
        <f t="shared" si="38"/>
        <v>0</v>
      </c>
      <c r="L194" s="571">
        <f t="shared" si="39"/>
        <v>0</v>
      </c>
      <c r="M194" s="439">
        <v>24</v>
      </c>
      <c r="N194" s="495">
        <f t="shared" si="54"/>
        <v>0.15189873417721519</v>
      </c>
      <c r="O194" s="505" t="s">
        <v>271</v>
      </c>
      <c r="P194" s="509">
        <v>6.55</v>
      </c>
      <c r="Q194" s="509" t="s">
        <v>272</v>
      </c>
      <c r="R194" s="572">
        <v>31.44</v>
      </c>
      <c r="S194" s="495">
        <f t="shared" si="40"/>
        <v>7.57</v>
      </c>
      <c r="T194" s="571">
        <f t="shared" si="41"/>
        <v>39.010000000000005</v>
      </c>
    </row>
    <row r="195" spans="1:20" ht="60" x14ac:dyDescent="0.25">
      <c r="A195" s="573" t="s">
        <v>418</v>
      </c>
      <c r="B195" s="573" t="s">
        <v>268</v>
      </c>
      <c r="C195" s="573" t="s">
        <v>21</v>
      </c>
      <c r="D195" s="564" t="s">
        <v>426</v>
      </c>
      <c r="E195" s="439"/>
      <c r="F195" s="509"/>
      <c r="G195" s="505" t="s">
        <v>271</v>
      </c>
      <c r="H195" s="509">
        <v>6.55</v>
      </c>
      <c r="I195" s="509"/>
      <c r="J195" s="509"/>
      <c r="K195" s="495">
        <f t="shared" si="38"/>
        <v>0</v>
      </c>
      <c r="L195" s="571">
        <f t="shared" si="39"/>
        <v>0</v>
      </c>
      <c r="M195" s="439">
        <v>48</v>
      </c>
      <c r="N195" s="495">
        <f t="shared" si="54"/>
        <v>0.30379746835443039</v>
      </c>
      <c r="O195" s="505" t="s">
        <v>271</v>
      </c>
      <c r="P195" s="509">
        <v>6.55</v>
      </c>
      <c r="Q195" s="509" t="s">
        <v>272</v>
      </c>
      <c r="R195" s="572">
        <v>62.88</v>
      </c>
      <c r="S195" s="495">
        <f t="shared" si="40"/>
        <v>15.15</v>
      </c>
      <c r="T195" s="571">
        <f t="shared" si="41"/>
        <v>78.03</v>
      </c>
    </row>
    <row r="196" spans="1:20" ht="60" x14ac:dyDescent="0.25">
      <c r="A196" s="573" t="s">
        <v>418</v>
      </c>
      <c r="B196" s="573" t="s">
        <v>268</v>
      </c>
      <c r="C196" s="573" t="s">
        <v>21</v>
      </c>
      <c r="D196" s="564" t="s">
        <v>427</v>
      </c>
      <c r="E196" s="439"/>
      <c r="F196" s="509"/>
      <c r="G196" s="505" t="s">
        <v>271</v>
      </c>
      <c r="H196" s="509">
        <v>5.89</v>
      </c>
      <c r="I196" s="509"/>
      <c r="J196" s="509"/>
      <c r="K196" s="495">
        <f t="shared" si="38"/>
        <v>0</v>
      </c>
      <c r="L196" s="571">
        <f t="shared" si="39"/>
        <v>0</v>
      </c>
      <c r="M196" s="439">
        <v>32</v>
      </c>
      <c r="N196" s="495">
        <f t="shared" si="54"/>
        <v>0.20253164556962025</v>
      </c>
      <c r="O196" s="505" t="s">
        <v>271</v>
      </c>
      <c r="P196" s="509">
        <v>5.89</v>
      </c>
      <c r="Q196" s="509" t="s">
        <v>272</v>
      </c>
      <c r="R196" s="572">
        <v>37.700000000000003</v>
      </c>
      <c r="S196" s="495">
        <f t="shared" si="40"/>
        <v>9.08</v>
      </c>
      <c r="T196" s="571">
        <f t="shared" si="41"/>
        <v>46.78</v>
      </c>
    </row>
    <row r="197" spans="1:20" ht="60" x14ac:dyDescent="0.25">
      <c r="A197" s="573" t="s">
        <v>418</v>
      </c>
      <c r="B197" s="573" t="s">
        <v>268</v>
      </c>
      <c r="C197" s="573" t="s">
        <v>21</v>
      </c>
      <c r="D197" s="564" t="s">
        <v>428</v>
      </c>
      <c r="E197" s="439"/>
      <c r="F197" s="509"/>
      <c r="G197" s="505" t="s">
        <v>271</v>
      </c>
      <c r="H197" s="509">
        <v>6.55</v>
      </c>
      <c r="I197" s="509"/>
      <c r="J197" s="509"/>
      <c r="K197" s="495">
        <f t="shared" si="38"/>
        <v>0</v>
      </c>
      <c r="L197" s="571">
        <f t="shared" si="39"/>
        <v>0</v>
      </c>
      <c r="M197" s="439">
        <v>29</v>
      </c>
      <c r="N197" s="495">
        <f t="shared" si="54"/>
        <v>0.18354430379746836</v>
      </c>
      <c r="O197" s="505" t="s">
        <v>271</v>
      </c>
      <c r="P197" s="509">
        <v>6.55</v>
      </c>
      <c r="Q197" s="509" t="s">
        <v>272</v>
      </c>
      <c r="R197" s="572">
        <v>37.99</v>
      </c>
      <c r="S197" s="495">
        <f t="shared" si="40"/>
        <v>9.15</v>
      </c>
      <c r="T197" s="571">
        <f t="shared" si="41"/>
        <v>47.14</v>
      </c>
    </row>
    <row r="198" spans="1:20" ht="60" x14ac:dyDescent="0.25">
      <c r="A198" s="573" t="s">
        <v>418</v>
      </c>
      <c r="B198" s="573" t="s">
        <v>268</v>
      </c>
      <c r="C198" s="573" t="s">
        <v>21</v>
      </c>
      <c r="D198" s="564" t="s">
        <v>429</v>
      </c>
      <c r="E198" s="439"/>
      <c r="F198" s="509"/>
      <c r="G198" s="505" t="s">
        <v>271</v>
      </c>
      <c r="H198" s="509">
        <v>6.55</v>
      </c>
      <c r="I198" s="509"/>
      <c r="J198" s="509"/>
      <c r="K198" s="495">
        <f t="shared" si="38"/>
        <v>0</v>
      </c>
      <c r="L198" s="571">
        <f t="shared" si="39"/>
        <v>0</v>
      </c>
      <c r="M198" s="439">
        <v>26</v>
      </c>
      <c r="N198" s="495">
        <f t="shared" si="54"/>
        <v>0.16455696202531644</v>
      </c>
      <c r="O198" s="505" t="s">
        <v>271</v>
      </c>
      <c r="P198" s="509">
        <v>6.55</v>
      </c>
      <c r="Q198" s="509" t="s">
        <v>272</v>
      </c>
      <c r="R198" s="572">
        <v>34.06</v>
      </c>
      <c r="S198" s="495">
        <f t="shared" si="40"/>
        <v>8.2100000000000009</v>
      </c>
      <c r="T198" s="571">
        <f t="shared" si="41"/>
        <v>42.27</v>
      </c>
    </row>
    <row r="199" spans="1:20" ht="60" x14ac:dyDescent="0.25">
      <c r="A199" s="573" t="s">
        <v>418</v>
      </c>
      <c r="B199" s="573" t="s">
        <v>268</v>
      </c>
      <c r="C199" s="573" t="s">
        <v>21</v>
      </c>
      <c r="D199" s="564" t="s">
        <v>430</v>
      </c>
      <c r="E199" s="439"/>
      <c r="F199" s="509"/>
      <c r="G199" s="505" t="s">
        <v>271</v>
      </c>
      <c r="H199" s="509">
        <v>5.89</v>
      </c>
      <c r="I199" s="509"/>
      <c r="J199" s="509"/>
      <c r="K199" s="495">
        <f t="shared" si="38"/>
        <v>0</v>
      </c>
      <c r="L199" s="571">
        <f t="shared" si="39"/>
        <v>0</v>
      </c>
      <c r="M199" s="439">
        <v>28</v>
      </c>
      <c r="N199" s="495">
        <f t="shared" si="54"/>
        <v>0.17721518987341772</v>
      </c>
      <c r="O199" s="505" t="s">
        <v>271</v>
      </c>
      <c r="P199" s="509">
        <v>5.89</v>
      </c>
      <c r="Q199" s="509" t="s">
        <v>272</v>
      </c>
      <c r="R199" s="572">
        <v>32.979999999999997</v>
      </c>
      <c r="S199" s="495">
        <f t="shared" si="40"/>
        <v>7.94</v>
      </c>
      <c r="T199" s="571">
        <f t="shared" si="41"/>
        <v>40.919999999999995</v>
      </c>
    </row>
    <row r="200" spans="1:20" ht="60" x14ac:dyDescent="0.25">
      <c r="A200" s="573" t="s">
        <v>418</v>
      </c>
      <c r="B200" s="573" t="s">
        <v>268</v>
      </c>
      <c r="C200" s="573" t="s">
        <v>21</v>
      </c>
      <c r="D200" s="564" t="s">
        <v>431</v>
      </c>
      <c r="E200" s="439"/>
      <c r="F200" s="509"/>
      <c r="G200" s="505" t="s">
        <v>271</v>
      </c>
      <c r="H200" s="509">
        <v>5.89</v>
      </c>
      <c r="I200" s="509"/>
      <c r="J200" s="509"/>
      <c r="K200" s="495">
        <f t="shared" si="38"/>
        <v>0</v>
      </c>
      <c r="L200" s="571">
        <f t="shared" si="39"/>
        <v>0</v>
      </c>
      <c r="M200" s="439">
        <v>48</v>
      </c>
      <c r="N200" s="495">
        <f t="shared" si="54"/>
        <v>0.30379746835443039</v>
      </c>
      <c r="O200" s="505" t="s">
        <v>271</v>
      </c>
      <c r="P200" s="509">
        <v>5.89</v>
      </c>
      <c r="Q200" s="509" t="s">
        <v>272</v>
      </c>
      <c r="R200" s="572">
        <v>56.54</v>
      </c>
      <c r="S200" s="495">
        <f t="shared" si="40"/>
        <v>13.62</v>
      </c>
      <c r="T200" s="571">
        <f t="shared" si="41"/>
        <v>70.16</v>
      </c>
    </row>
    <row r="201" spans="1:20" ht="60" x14ac:dyDescent="0.25">
      <c r="A201" s="573" t="s">
        <v>418</v>
      </c>
      <c r="B201" s="573" t="s">
        <v>268</v>
      </c>
      <c r="C201" s="573" t="s">
        <v>21</v>
      </c>
      <c r="D201" s="564" t="s">
        <v>432</v>
      </c>
      <c r="E201" s="439"/>
      <c r="F201" s="509"/>
      <c r="G201" s="505" t="s">
        <v>271</v>
      </c>
      <c r="H201" s="509">
        <v>6.55</v>
      </c>
      <c r="I201" s="509"/>
      <c r="J201" s="509"/>
      <c r="K201" s="495">
        <f t="shared" si="38"/>
        <v>0</v>
      </c>
      <c r="L201" s="571">
        <f t="shared" si="39"/>
        <v>0</v>
      </c>
      <c r="M201" s="439">
        <v>36</v>
      </c>
      <c r="N201" s="495">
        <f t="shared" si="54"/>
        <v>0.22784810126582278</v>
      </c>
      <c r="O201" s="505" t="s">
        <v>271</v>
      </c>
      <c r="P201" s="509">
        <v>6.55</v>
      </c>
      <c r="Q201" s="509" t="s">
        <v>272</v>
      </c>
      <c r="R201" s="572">
        <v>47.16</v>
      </c>
      <c r="S201" s="495">
        <f t="shared" si="40"/>
        <v>11.36</v>
      </c>
      <c r="T201" s="571">
        <f t="shared" si="41"/>
        <v>58.519999999999996</v>
      </c>
    </row>
    <row r="202" spans="1:20" ht="60" x14ac:dyDescent="0.25">
      <c r="A202" s="573" t="s">
        <v>418</v>
      </c>
      <c r="B202" s="573" t="s">
        <v>268</v>
      </c>
      <c r="C202" s="573" t="s">
        <v>269</v>
      </c>
      <c r="D202" s="564" t="s">
        <v>433</v>
      </c>
      <c r="E202" s="439"/>
      <c r="F202" s="509"/>
      <c r="G202" s="505" t="s">
        <v>271</v>
      </c>
      <c r="H202" s="509">
        <v>5.85</v>
      </c>
      <c r="I202" s="509"/>
      <c r="J202" s="509"/>
      <c r="K202" s="495">
        <f t="shared" si="38"/>
        <v>0</v>
      </c>
      <c r="L202" s="571">
        <f t="shared" si="39"/>
        <v>0</v>
      </c>
      <c r="M202" s="439">
        <v>16</v>
      </c>
      <c r="N202" s="495">
        <f t="shared" si="54"/>
        <v>0.10126582278481013</v>
      </c>
      <c r="O202" s="505" t="s">
        <v>271</v>
      </c>
      <c r="P202" s="509">
        <v>5.85</v>
      </c>
      <c r="Q202" s="509" t="s">
        <v>272</v>
      </c>
      <c r="R202" s="572">
        <v>18.72</v>
      </c>
      <c r="S202" s="495">
        <f t="shared" si="40"/>
        <v>4.51</v>
      </c>
      <c r="T202" s="571">
        <f t="shared" si="41"/>
        <v>23.229999999999997</v>
      </c>
    </row>
    <row r="203" spans="1:20" ht="60" x14ac:dyDescent="0.25">
      <c r="A203" s="573" t="s">
        <v>418</v>
      </c>
      <c r="B203" s="573" t="s">
        <v>268</v>
      </c>
      <c r="C203" s="573" t="s">
        <v>269</v>
      </c>
      <c r="D203" s="564" t="s">
        <v>433</v>
      </c>
      <c r="E203" s="439">
        <v>24</v>
      </c>
      <c r="F203" s="495">
        <f>E203/176</f>
        <v>0.13636363636363635</v>
      </c>
      <c r="G203" s="505" t="s">
        <v>271</v>
      </c>
      <c r="H203" s="509">
        <v>5.85</v>
      </c>
      <c r="I203" s="509" t="s">
        <v>949</v>
      </c>
      <c r="J203" s="509">
        <v>70.2</v>
      </c>
      <c r="K203" s="495">
        <f t="shared" ref="K203:K266" si="55">ROUND(J203*0.2409,2)</f>
        <v>16.91</v>
      </c>
      <c r="L203" s="571">
        <f t="shared" ref="L203:L266" si="56">K203+J203</f>
        <v>87.11</v>
      </c>
      <c r="M203" s="439"/>
      <c r="N203" s="563"/>
      <c r="O203" s="505" t="s">
        <v>271</v>
      </c>
      <c r="P203" s="509">
        <v>5.85</v>
      </c>
      <c r="Q203" s="509"/>
      <c r="R203" s="572"/>
      <c r="S203" s="495">
        <f t="shared" ref="S203:S266" si="57">ROUND(R203*0.2409,2)</f>
        <v>0</v>
      </c>
      <c r="T203" s="571">
        <f t="shared" ref="T203:T266" si="58">S203+R203</f>
        <v>0</v>
      </c>
    </row>
    <row r="204" spans="1:20" ht="60" x14ac:dyDescent="0.25">
      <c r="A204" s="573" t="s">
        <v>418</v>
      </c>
      <c r="B204" s="573" t="s">
        <v>268</v>
      </c>
      <c r="C204" s="573" t="s">
        <v>269</v>
      </c>
      <c r="D204" s="564" t="s">
        <v>434</v>
      </c>
      <c r="E204" s="439"/>
      <c r="F204" s="509"/>
      <c r="G204" s="505" t="s">
        <v>271</v>
      </c>
      <c r="H204" s="509">
        <v>5.94</v>
      </c>
      <c r="I204" s="509"/>
      <c r="J204" s="509"/>
      <c r="K204" s="495">
        <f t="shared" si="55"/>
        <v>0</v>
      </c>
      <c r="L204" s="571">
        <f t="shared" si="56"/>
        <v>0</v>
      </c>
      <c r="M204" s="439">
        <v>30</v>
      </c>
      <c r="N204" s="495">
        <f>M204/158</f>
        <v>0.189873417721519</v>
      </c>
      <c r="O204" s="505" t="s">
        <v>271</v>
      </c>
      <c r="P204" s="509">
        <v>5.94</v>
      </c>
      <c r="Q204" s="509" t="s">
        <v>272</v>
      </c>
      <c r="R204" s="572">
        <v>35.64</v>
      </c>
      <c r="S204" s="495">
        <f t="shared" si="57"/>
        <v>8.59</v>
      </c>
      <c r="T204" s="571">
        <f t="shared" si="58"/>
        <v>44.230000000000004</v>
      </c>
    </row>
    <row r="205" spans="1:20" ht="60" x14ac:dyDescent="0.25">
      <c r="A205" s="573" t="s">
        <v>418</v>
      </c>
      <c r="B205" s="573" t="s">
        <v>268</v>
      </c>
      <c r="C205" s="573" t="s">
        <v>269</v>
      </c>
      <c r="D205" s="564" t="s">
        <v>434</v>
      </c>
      <c r="E205" s="439">
        <v>24</v>
      </c>
      <c r="F205" s="495">
        <f>E205/176</f>
        <v>0.13636363636363635</v>
      </c>
      <c r="G205" s="505" t="s">
        <v>271</v>
      </c>
      <c r="H205" s="509">
        <v>5.94</v>
      </c>
      <c r="I205" s="509" t="s">
        <v>949</v>
      </c>
      <c r="J205" s="509">
        <v>71.28</v>
      </c>
      <c r="K205" s="495">
        <f t="shared" si="55"/>
        <v>17.170000000000002</v>
      </c>
      <c r="L205" s="571">
        <f t="shared" si="56"/>
        <v>88.45</v>
      </c>
      <c r="M205" s="439"/>
      <c r="N205" s="563"/>
      <c r="O205" s="505" t="s">
        <v>271</v>
      </c>
      <c r="P205" s="509">
        <v>5.94</v>
      </c>
      <c r="Q205" s="509"/>
      <c r="R205" s="572"/>
      <c r="S205" s="495">
        <f t="shared" si="57"/>
        <v>0</v>
      </c>
      <c r="T205" s="571">
        <f t="shared" si="58"/>
        <v>0</v>
      </c>
    </row>
    <row r="206" spans="1:20" ht="60" x14ac:dyDescent="0.25">
      <c r="A206" s="573" t="s">
        <v>418</v>
      </c>
      <c r="B206" s="573" t="s">
        <v>268</v>
      </c>
      <c r="C206" s="573" t="s">
        <v>269</v>
      </c>
      <c r="D206" s="564" t="s">
        <v>435</v>
      </c>
      <c r="E206" s="439"/>
      <c r="F206" s="509"/>
      <c r="G206" s="505" t="s">
        <v>271</v>
      </c>
      <c r="H206" s="509">
        <v>5.94</v>
      </c>
      <c r="I206" s="509"/>
      <c r="J206" s="509"/>
      <c r="K206" s="495">
        <f t="shared" si="55"/>
        <v>0</v>
      </c>
      <c r="L206" s="571">
        <f t="shared" si="56"/>
        <v>0</v>
      </c>
      <c r="M206" s="439">
        <v>12</v>
      </c>
      <c r="N206" s="495">
        <f>M206/158</f>
        <v>7.5949367088607597E-2</v>
      </c>
      <c r="O206" s="505" t="s">
        <v>271</v>
      </c>
      <c r="P206" s="509">
        <v>5.94</v>
      </c>
      <c r="Q206" s="509" t="s">
        <v>272</v>
      </c>
      <c r="R206" s="572">
        <v>14.26</v>
      </c>
      <c r="S206" s="495">
        <f t="shared" si="57"/>
        <v>3.44</v>
      </c>
      <c r="T206" s="571">
        <f t="shared" si="58"/>
        <v>17.7</v>
      </c>
    </row>
    <row r="207" spans="1:20" ht="60" x14ac:dyDescent="0.25">
      <c r="A207" s="573" t="s">
        <v>418</v>
      </c>
      <c r="B207" s="573" t="s">
        <v>268</v>
      </c>
      <c r="C207" s="573" t="s">
        <v>269</v>
      </c>
      <c r="D207" s="564" t="s">
        <v>435</v>
      </c>
      <c r="E207" s="439">
        <v>12</v>
      </c>
      <c r="F207" s="495">
        <f>E207/176</f>
        <v>6.8181818181818177E-2</v>
      </c>
      <c r="G207" s="505" t="s">
        <v>271</v>
      </c>
      <c r="H207" s="509">
        <v>5.94</v>
      </c>
      <c r="I207" s="509" t="s">
        <v>949</v>
      </c>
      <c r="J207" s="509">
        <v>35.64</v>
      </c>
      <c r="K207" s="495">
        <f t="shared" si="55"/>
        <v>8.59</v>
      </c>
      <c r="L207" s="571">
        <f t="shared" si="56"/>
        <v>44.230000000000004</v>
      </c>
      <c r="M207" s="439"/>
      <c r="N207" s="563"/>
      <c r="O207" s="505" t="s">
        <v>271</v>
      </c>
      <c r="P207" s="509">
        <v>5.94</v>
      </c>
      <c r="Q207" s="509"/>
      <c r="R207" s="572"/>
      <c r="S207" s="495">
        <f t="shared" si="57"/>
        <v>0</v>
      </c>
      <c r="T207" s="571">
        <f t="shared" si="58"/>
        <v>0</v>
      </c>
    </row>
    <row r="208" spans="1:20" ht="60" x14ac:dyDescent="0.25">
      <c r="A208" s="573" t="s">
        <v>418</v>
      </c>
      <c r="B208" s="573" t="s">
        <v>268</v>
      </c>
      <c r="C208" s="573" t="s">
        <v>269</v>
      </c>
      <c r="D208" s="564" t="s">
        <v>436</v>
      </c>
      <c r="E208" s="439"/>
      <c r="F208" s="509"/>
      <c r="G208" s="505" t="s">
        <v>271</v>
      </c>
      <c r="H208" s="509">
        <v>5.94</v>
      </c>
      <c r="I208" s="509"/>
      <c r="J208" s="509"/>
      <c r="K208" s="495">
        <f t="shared" si="55"/>
        <v>0</v>
      </c>
      <c r="L208" s="571">
        <f t="shared" si="56"/>
        <v>0</v>
      </c>
      <c r="M208" s="439">
        <v>12</v>
      </c>
      <c r="N208" s="495">
        <f>M208/158</f>
        <v>7.5949367088607597E-2</v>
      </c>
      <c r="O208" s="505" t="s">
        <v>271</v>
      </c>
      <c r="P208" s="509">
        <v>5.94</v>
      </c>
      <c r="Q208" s="509" t="s">
        <v>272</v>
      </c>
      <c r="R208" s="572">
        <v>14.26</v>
      </c>
      <c r="S208" s="495">
        <f t="shared" si="57"/>
        <v>3.44</v>
      </c>
      <c r="T208" s="571">
        <f t="shared" si="58"/>
        <v>17.7</v>
      </c>
    </row>
    <row r="209" spans="1:20" ht="60" x14ac:dyDescent="0.25">
      <c r="A209" s="573" t="s">
        <v>418</v>
      </c>
      <c r="B209" s="573" t="s">
        <v>268</v>
      </c>
      <c r="C209" s="573" t="s">
        <v>269</v>
      </c>
      <c r="D209" s="564" t="s">
        <v>436</v>
      </c>
      <c r="E209" s="439">
        <v>12</v>
      </c>
      <c r="F209" s="495">
        <f>E209/176</f>
        <v>6.8181818181818177E-2</v>
      </c>
      <c r="G209" s="505" t="s">
        <v>271</v>
      </c>
      <c r="H209" s="509">
        <v>5.94</v>
      </c>
      <c r="I209" s="509" t="s">
        <v>949</v>
      </c>
      <c r="J209" s="509">
        <v>35.64</v>
      </c>
      <c r="K209" s="495">
        <f t="shared" si="55"/>
        <v>8.59</v>
      </c>
      <c r="L209" s="571">
        <f t="shared" si="56"/>
        <v>44.230000000000004</v>
      </c>
      <c r="M209" s="439"/>
      <c r="N209" s="563"/>
      <c r="O209" s="505" t="s">
        <v>271</v>
      </c>
      <c r="P209" s="509">
        <v>5.94</v>
      </c>
      <c r="Q209" s="509"/>
      <c r="R209" s="572"/>
      <c r="S209" s="495">
        <f t="shared" si="57"/>
        <v>0</v>
      </c>
      <c r="T209" s="571">
        <f t="shared" si="58"/>
        <v>0</v>
      </c>
    </row>
    <row r="210" spans="1:20" ht="60" x14ac:dyDescent="0.25">
      <c r="A210" s="573" t="s">
        <v>418</v>
      </c>
      <c r="B210" s="573" t="s">
        <v>268</v>
      </c>
      <c r="C210" s="573" t="s">
        <v>269</v>
      </c>
      <c r="D210" s="564" t="s">
        <v>437</v>
      </c>
      <c r="E210" s="439"/>
      <c r="F210" s="509"/>
      <c r="G210" s="505" t="s">
        <v>271</v>
      </c>
      <c r="H210" s="509">
        <v>5.65</v>
      </c>
      <c r="I210" s="509"/>
      <c r="J210" s="509"/>
      <c r="K210" s="495">
        <f t="shared" si="55"/>
        <v>0</v>
      </c>
      <c r="L210" s="571">
        <f t="shared" si="56"/>
        <v>0</v>
      </c>
      <c r="M210" s="439">
        <v>8</v>
      </c>
      <c r="N210" s="495">
        <f t="shared" ref="N210:N211" si="59">M210/158</f>
        <v>5.0632911392405063E-2</v>
      </c>
      <c r="O210" s="505" t="s">
        <v>271</v>
      </c>
      <c r="P210" s="509">
        <v>5.65</v>
      </c>
      <c r="Q210" s="509" t="s">
        <v>272</v>
      </c>
      <c r="R210" s="572">
        <v>9.0399999999999991</v>
      </c>
      <c r="S210" s="495">
        <f t="shared" si="57"/>
        <v>2.1800000000000002</v>
      </c>
      <c r="T210" s="571">
        <f t="shared" si="58"/>
        <v>11.219999999999999</v>
      </c>
    </row>
    <row r="211" spans="1:20" ht="60" x14ac:dyDescent="0.25">
      <c r="A211" s="573" t="s">
        <v>418</v>
      </c>
      <c r="B211" s="573" t="s">
        <v>268</v>
      </c>
      <c r="C211" s="573" t="s">
        <v>269</v>
      </c>
      <c r="D211" s="564" t="s">
        <v>438</v>
      </c>
      <c r="E211" s="439"/>
      <c r="F211" s="509"/>
      <c r="G211" s="505" t="s">
        <v>271</v>
      </c>
      <c r="H211" s="509">
        <v>5.94</v>
      </c>
      <c r="I211" s="509"/>
      <c r="J211" s="509"/>
      <c r="K211" s="495">
        <f t="shared" si="55"/>
        <v>0</v>
      </c>
      <c r="L211" s="571">
        <f t="shared" si="56"/>
        <v>0</v>
      </c>
      <c r="M211" s="439">
        <v>18</v>
      </c>
      <c r="N211" s="495">
        <f t="shared" si="59"/>
        <v>0.11392405063291139</v>
      </c>
      <c r="O211" s="505" t="s">
        <v>271</v>
      </c>
      <c r="P211" s="509">
        <v>5.94</v>
      </c>
      <c r="Q211" s="509" t="s">
        <v>272</v>
      </c>
      <c r="R211" s="572">
        <v>21.38</v>
      </c>
      <c r="S211" s="495">
        <f t="shared" si="57"/>
        <v>5.15</v>
      </c>
      <c r="T211" s="571">
        <f t="shared" si="58"/>
        <v>26.53</v>
      </c>
    </row>
    <row r="212" spans="1:20" ht="60" x14ac:dyDescent="0.25">
      <c r="A212" s="573" t="s">
        <v>418</v>
      </c>
      <c r="B212" s="573" t="s">
        <v>268</v>
      </c>
      <c r="C212" s="573" t="s">
        <v>269</v>
      </c>
      <c r="D212" s="564" t="s">
        <v>438</v>
      </c>
      <c r="E212" s="439">
        <v>12</v>
      </c>
      <c r="F212" s="495">
        <f>E212/176</f>
        <v>6.8181818181818177E-2</v>
      </c>
      <c r="G212" s="505" t="s">
        <v>271</v>
      </c>
      <c r="H212" s="509">
        <v>5.94</v>
      </c>
      <c r="I212" s="509" t="s">
        <v>949</v>
      </c>
      <c r="J212" s="509">
        <v>35.64</v>
      </c>
      <c r="K212" s="495">
        <f t="shared" si="55"/>
        <v>8.59</v>
      </c>
      <c r="L212" s="571">
        <f t="shared" si="56"/>
        <v>44.230000000000004</v>
      </c>
      <c r="M212" s="439"/>
      <c r="N212" s="563"/>
      <c r="O212" s="505" t="s">
        <v>271</v>
      </c>
      <c r="P212" s="509">
        <v>5.94</v>
      </c>
      <c r="Q212" s="509"/>
      <c r="R212" s="572"/>
      <c r="S212" s="495">
        <f t="shared" si="57"/>
        <v>0</v>
      </c>
      <c r="T212" s="571">
        <f t="shared" si="58"/>
        <v>0</v>
      </c>
    </row>
    <row r="213" spans="1:20" ht="60" x14ac:dyDescent="0.25">
      <c r="A213" s="573" t="s">
        <v>418</v>
      </c>
      <c r="B213" s="573" t="s">
        <v>268</v>
      </c>
      <c r="C213" s="573" t="s">
        <v>269</v>
      </c>
      <c r="D213" s="564" t="s">
        <v>439</v>
      </c>
      <c r="E213" s="439"/>
      <c r="F213" s="509"/>
      <c r="G213" s="505" t="s">
        <v>271</v>
      </c>
      <c r="H213" s="509">
        <v>5.85</v>
      </c>
      <c r="I213" s="509"/>
      <c r="J213" s="509"/>
      <c r="K213" s="495">
        <f t="shared" si="55"/>
        <v>0</v>
      </c>
      <c r="L213" s="571">
        <f t="shared" si="56"/>
        <v>0</v>
      </c>
      <c r="M213" s="439">
        <v>16</v>
      </c>
      <c r="N213" s="495">
        <f t="shared" ref="N213:N214" si="60">M213/158</f>
        <v>0.10126582278481013</v>
      </c>
      <c r="O213" s="505" t="s">
        <v>271</v>
      </c>
      <c r="P213" s="509">
        <v>5.85</v>
      </c>
      <c r="Q213" s="509" t="s">
        <v>272</v>
      </c>
      <c r="R213" s="572">
        <v>18.72</v>
      </c>
      <c r="S213" s="495">
        <f t="shared" si="57"/>
        <v>4.51</v>
      </c>
      <c r="T213" s="571">
        <f t="shared" si="58"/>
        <v>23.229999999999997</v>
      </c>
    </row>
    <row r="214" spans="1:20" ht="60" x14ac:dyDescent="0.25">
      <c r="A214" s="573" t="s">
        <v>418</v>
      </c>
      <c r="B214" s="573" t="s">
        <v>268</v>
      </c>
      <c r="C214" s="573" t="s">
        <v>269</v>
      </c>
      <c r="D214" s="564" t="s">
        <v>440</v>
      </c>
      <c r="E214" s="439"/>
      <c r="F214" s="509"/>
      <c r="G214" s="505" t="s">
        <v>271</v>
      </c>
      <c r="H214" s="509">
        <v>5.94</v>
      </c>
      <c r="I214" s="509"/>
      <c r="J214" s="509"/>
      <c r="K214" s="495">
        <f t="shared" si="55"/>
        <v>0</v>
      </c>
      <c r="L214" s="571">
        <f t="shared" si="56"/>
        <v>0</v>
      </c>
      <c r="M214" s="439">
        <v>12</v>
      </c>
      <c r="N214" s="495">
        <f t="shared" si="60"/>
        <v>7.5949367088607597E-2</v>
      </c>
      <c r="O214" s="505" t="s">
        <v>271</v>
      </c>
      <c r="P214" s="509">
        <v>5.94</v>
      </c>
      <c r="Q214" s="509" t="s">
        <v>272</v>
      </c>
      <c r="R214" s="572">
        <v>14.26</v>
      </c>
      <c r="S214" s="495">
        <f t="shared" si="57"/>
        <v>3.44</v>
      </c>
      <c r="T214" s="571">
        <f t="shared" si="58"/>
        <v>17.7</v>
      </c>
    </row>
    <row r="215" spans="1:20" ht="60" x14ac:dyDescent="0.25">
      <c r="A215" s="573" t="s">
        <v>418</v>
      </c>
      <c r="B215" s="573" t="s">
        <v>268</v>
      </c>
      <c r="C215" s="573" t="s">
        <v>269</v>
      </c>
      <c r="D215" s="564" t="s">
        <v>440</v>
      </c>
      <c r="E215" s="439">
        <v>12</v>
      </c>
      <c r="F215" s="495">
        <f>E215/176</f>
        <v>6.8181818181818177E-2</v>
      </c>
      <c r="G215" s="505" t="s">
        <v>271</v>
      </c>
      <c r="H215" s="509">
        <v>5.94</v>
      </c>
      <c r="I215" s="509" t="s">
        <v>949</v>
      </c>
      <c r="J215" s="509">
        <v>35.64</v>
      </c>
      <c r="K215" s="495">
        <f t="shared" si="55"/>
        <v>8.59</v>
      </c>
      <c r="L215" s="571">
        <f t="shared" si="56"/>
        <v>44.230000000000004</v>
      </c>
      <c r="M215" s="439"/>
      <c r="N215" s="563"/>
      <c r="O215" s="505" t="s">
        <v>271</v>
      </c>
      <c r="P215" s="509">
        <v>5.94</v>
      </c>
      <c r="Q215" s="509"/>
      <c r="R215" s="572"/>
      <c r="S215" s="495">
        <f t="shared" si="57"/>
        <v>0</v>
      </c>
      <c r="T215" s="571">
        <f t="shared" si="58"/>
        <v>0</v>
      </c>
    </row>
    <row r="216" spans="1:20" ht="60" x14ac:dyDescent="0.25">
      <c r="A216" s="573" t="s">
        <v>418</v>
      </c>
      <c r="B216" s="573" t="s">
        <v>268</v>
      </c>
      <c r="C216" s="573" t="s">
        <v>269</v>
      </c>
      <c r="D216" s="564" t="s">
        <v>441</v>
      </c>
      <c r="E216" s="439"/>
      <c r="F216" s="509"/>
      <c r="G216" s="505" t="s">
        <v>271</v>
      </c>
      <c r="H216" s="509">
        <v>5.8</v>
      </c>
      <c r="I216" s="509"/>
      <c r="J216" s="509"/>
      <c r="K216" s="495">
        <f t="shared" si="55"/>
        <v>0</v>
      </c>
      <c r="L216" s="571">
        <f t="shared" si="56"/>
        <v>0</v>
      </c>
      <c r="M216" s="439">
        <v>14</v>
      </c>
      <c r="N216" s="495">
        <f>M216/158</f>
        <v>8.8607594936708861E-2</v>
      </c>
      <c r="O216" s="505" t="s">
        <v>271</v>
      </c>
      <c r="P216" s="509">
        <v>5.8</v>
      </c>
      <c r="Q216" s="509" t="s">
        <v>272</v>
      </c>
      <c r="R216" s="572">
        <v>16.239999999999998</v>
      </c>
      <c r="S216" s="495">
        <f t="shared" si="57"/>
        <v>3.91</v>
      </c>
      <c r="T216" s="571">
        <f t="shared" si="58"/>
        <v>20.149999999999999</v>
      </c>
    </row>
    <row r="217" spans="1:20" ht="60" x14ac:dyDescent="0.25">
      <c r="A217" s="573" t="s">
        <v>418</v>
      </c>
      <c r="B217" s="573" t="s">
        <v>268</v>
      </c>
      <c r="C217" s="573" t="s">
        <v>269</v>
      </c>
      <c r="D217" s="564" t="s">
        <v>441</v>
      </c>
      <c r="E217" s="439">
        <v>12</v>
      </c>
      <c r="F217" s="495">
        <f>E217/176</f>
        <v>6.8181818181818177E-2</v>
      </c>
      <c r="G217" s="505" t="s">
        <v>271</v>
      </c>
      <c r="H217" s="509">
        <v>5.8</v>
      </c>
      <c r="I217" s="509" t="s">
        <v>949</v>
      </c>
      <c r="J217" s="509">
        <v>34.799999999999997</v>
      </c>
      <c r="K217" s="495">
        <f t="shared" si="55"/>
        <v>8.3800000000000008</v>
      </c>
      <c r="L217" s="571">
        <f t="shared" si="56"/>
        <v>43.18</v>
      </c>
      <c r="M217" s="439"/>
      <c r="N217" s="563"/>
      <c r="O217" s="505" t="s">
        <v>271</v>
      </c>
      <c r="P217" s="509">
        <v>5.8</v>
      </c>
      <c r="Q217" s="509"/>
      <c r="R217" s="572"/>
      <c r="S217" s="495">
        <f t="shared" si="57"/>
        <v>0</v>
      </c>
      <c r="T217" s="571">
        <f t="shared" si="58"/>
        <v>0</v>
      </c>
    </row>
    <row r="218" spans="1:20" ht="60" x14ac:dyDescent="0.25">
      <c r="A218" s="573" t="s">
        <v>418</v>
      </c>
      <c r="B218" s="573" t="s">
        <v>268</v>
      </c>
      <c r="C218" s="573" t="s">
        <v>269</v>
      </c>
      <c r="D218" s="564" t="s">
        <v>442</v>
      </c>
      <c r="E218" s="439"/>
      <c r="F218" s="509"/>
      <c r="G218" s="505" t="s">
        <v>271</v>
      </c>
      <c r="H218" s="509">
        <v>5.94</v>
      </c>
      <c r="I218" s="509"/>
      <c r="J218" s="509"/>
      <c r="K218" s="495">
        <f t="shared" si="55"/>
        <v>0</v>
      </c>
      <c r="L218" s="571">
        <f t="shared" si="56"/>
        <v>0</v>
      </c>
      <c r="M218" s="439">
        <v>28</v>
      </c>
      <c r="N218" s="495">
        <f>M218/158</f>
        <v>0.17721518987341772</v>
      </c>
      <c r="O218" s="505" t="s">
        <v>271</v>
      </c>
      <c r="P218" s="509">
        <v>5.94</v>
      </c>
      <c r="Q218" s="509" t="s">
        <v>272</v>
      </c>
      <c r="R218" s="572">
        <v>33.26</v>
      </c>
      <c r="S218" s="495">
        <f t="shared" si="57"/>
        <v>8.01</v>
      </c>
      <c r="T218" s="571">
        <f t="shared" si="58"/>
        <v>41.269999999999996</v>
      </c>
    </row>
    <row r="219" spans="1:20" ht="60" x14ac:dyDescent="0.25">
      <c r="A219" s="573" t="s">
        <v>418</v>
      </c>
      <c r="B219" s="573" t="s">
        <v>268</v>
      </c>
      <c r="C219" s="573" t="s">
        <v>269</v>
      </c>
      <c r="D219" s="564" t="s">
        <v>442</v>
      </c>
      <c r="E219" s="439">
        <v>12</v>
      </c>
      <c r="F219" s="495">
        <f>E219/176</f>
        <v>6.8181818181818177E-2</v>
      </c>
      <c r="G219" s="505" t="s">
        <v>271</v>
      </c>
      <c r="H219" s="509">
        <v>5.94</v>
      </c>
      <c r="I219" s="509" t="s">
        <v>949</v>
      </c>
      <c r="J219" s="509">
        <v>35.64</v>
      </c>
      <c r="K219" s="495">
        <f t="shared" si="55"/>
        <v>8.59</v>
      </c>
      <c r="L219" s="571">
        <f t="shared" si="56"/>
        <v>44.230000000000004</v>
      </c>
      <c r="M219" s="439"/>
      <c r="N219" s="563"/>
      <c r="O219" s="505" t="s">
        <v>271</v>
      </c>
      <c r="P219" s="509">
        <v>5.94</v>
      </c>
      <c r="Q219" s="509"/>
      <c r="R219" s="572"/>
      <c r="S219" s="495">
        <f t="shared" si="57"/>
        <v>0</v>
      </c>
      <c r="T219" s="571">
        <f t="shared" si="58"/>
        <v>0</v>
      </c>
    </row>
    <row r="220" spans="1:20" ht="60" x14ac:dyDescent="0.25">
      <c r="A220" s="573" t="s">
        <v>418</v>
      </c>
      <c r="B220" s="573" t="s">
        <v>268</v>
      </c>
      <c r="C220" s="573" t="s">
        <v>269</v>
      </c>
      <c r="D220" s="564" t="s">
        <v>443</v>
      </c>
      <c r="E220" s="439"/>
      <c r="F220" s="509"/>
      <c r="G220" s="505" t="s">
        <v>271</v>
      </c>
      <c r="H220" s="509">
        <v>5.94</v>
      </c>
      <c r="I220" s="509"/>
      <c r="J220" s="509"/>
      <c r="K220" s="495">
        <f t="shared" si="55"/>
        <v>0</v>
      </c>
      <c r="L220" s="571">
        <f t="shared" si="56"/>
        <v>0</v>
      </c>
      <c r="M220" s="439">
        <v>6</v>
      </c>
      <c r="N220" s="495">
        <f t="shared" ref="N220:N222" si="61">M220/158</f>
        <v>3.7974683544303799E-2</v>
      </c>
      <c r="O220" s="505" t="s">
        <v>271</v>
      </c>
      <c r="P220" s="509">
        <v>5.94</v>
      </c>
      <c r="Q220" s="509" t="s">
        <v>272</v>
      </c>
      <c r="R220" s="572">
        <v>7.13</v>
      </c>
      <c r="S220" s="495">
        <f t="shared" si="57"/>
        <v>1.72</v>
      </c>
      <c r="T220" s="571">
        <f t="shared" si="58"/>
        <v>8.85</v>
      </c>
    </row>
    <row r="221" spans="1:20" ht="60" x14ac:dyDescent="0.25">
      <c r="A221" s="573" t="s">
        <v>418</v>
      </c>
      <c r="B221" s="573" t="s">
        <v>268</v>
      </c>
      <c r="C221" s="573" t="s">
        <v>269</v>
      </c>
      <c r="D221" s="564" t="s">
        <v>444</v>
      </c>
      <c r="E221" s="439"/>
      <c r="F221" s="509"/>
      <c r="G221" s="505" t="s">
        <v>271</v>
      </c>
      <c r="H221" s="509">
        <v>5.94</v>
      </c>
      <c r="I221" s="509"/>
      <c r="J221" s="509"/>
      <c r="K221" s="495">
        <f t="shared" si="55"/>
        <v>0</v>
      </c>
      <c r="L221" s="571">
        <f t="shared" si="56"/>
        <v>0</v>
      </c>
      <c r="M221" s="439">
        <v>8</v>
      </c>
      <c r="N221" s="495">
        <f t="shared" si="61"/>
        <v>5.0632911392405063E-2</v>
      </c>
      <c r="O221" s="505" t="s">
        <v>271</v>
      </c>
      <c r="P221" s="509">
        <v>5.94</v>
      </c>
      <c r="Q221" s="509" t="s">
        <v>272</v>
      </c>
      <c r="R221" s="572">
        <v>9.5</v>
      </c>
      <c r="S221" s="495">
        <f t="shared" si="57"/>
        <v>2.29</v>
      </c>
      <c r="T221" s="571">
        <f t="shared" si="58"/>
        <v>11.79</v>
      </c>
    </row>
    <row r="222" spans="1:20" ht="60" x14ac:dyDescent="0.25">
      <c r="A222" s="573" t="s">
        <v>418</v>
      </c>
      <c r="B222" s="573" t="s">
        <v>268</v>
      </c>
      <c r="C222" s="573" t="s">
        <v>269</v>
      </c>
      <c r="D222" s="564" t="s">
        <v>445</v>
      </c>
      <c r="E222" s="439"/>
      <c r="F222" s="509"/>
      <c r="G222" s="505" t="s">
        <v>271</v>
      </c>
      <c r="H222" s="509">
        <v>5.94</v>
      </c>
      <c r="I222" s="509"/>
      <c r="J222" s="509"/>
      <c r="K222" s="495">
        <f t="shared" si="55"/>
        <v>0</v>
      </c>
      <c r="L222" s="571">
        <f t="shared" si="56"/>
        <v>0</v>
      </c>
      <c r="M222" s="439">
        <v>4</v>
      </c>
      <c r="N222" s="495">
        <f t="shared" si="61"/>
        <v>2.5316455696202531E-2</v>
      </c>
      <c r="O222" s="505" t="s">
        <v>271</v>
      </c>
      <c r="P222" s="509">
        <v>5.94</v>
      </c>
      <c r="Q222" s="509" t="s">
        <v>272</v>
      </c>
      <c r="R222" s="572">
        <v>4.75</v>
      </c>
      <c r="S222" s="495">
        <f t="shared" si="57"/>
        <v>1.1399999999999999</v>
      </c>
      <c r="T222" s="571">
        <f t="shared" si="58"/>
        <v>5.89</v>
      </c>
    </row>
    <row r="223" spans="1:20" ht="60" x14ac:dyDescent="0.25">
      <c r="A223" s="573" t="s">
        <v>418</v>
      </c>
      <c r="B223" s="573" t="s">
        <v>268</v>
      </c>
      <c r="C223" s="573" t="s">
        <v>269</v>
      </c>
      <c r="D223" s="564" t="s">
        <v>445</v>
      </c>
      <c r="E223" s="439">
        <v>24</v>
      </c>
      <c r="F223" s="495">
        <f>E223/176</f>
        <v>0.13636363636363635</v>
      </c>
      <c r="G223" s="505" t="s">
        <v>271</v>
      </c>
      <c r="H223" s="509">
        <v>5.94</v>
      </c>
      <c r="I223" s="509" t="s">
        <v>949</v>
      </c>
      <c r="J223" s="509">
        <v>71.28</v>
      </c>
      <c r="K223" s="495">
        <f t="shared" si="55"/>
        <v>17.170000000000002</v>
      </c>
      <c r="L223" s="571">
        <f t="shared" si="56"/>
        <v>88.45</v>
      </c>
      <c r="M223" s="439"/>
      <c r="N223" s="563"/>
      <c r="O223" s="505" t="s">
        <v>271</v>
      </c>
      <c r="P223" s="509">
        <v>5.94</v>
      </c>
      <c r="Q223" s="509"/>
      <c r="R223" s="572"/>
      <c r="S223" s="495">
        <f t="shared" si="57"/>
        <v>0</v>
      </c>
      <c r="T223" s="571">
        <f t="shared" si="58"/>
        <v>0</v>
      </c>
    </row>
    <row r="224" spans="1:20" ht="60" x14ac:dyDescent="0.25">
      <c r="A224" s="573" t="s">
        <v>418</v>
      </c>
      <c r="B224" s="573" t="s">
        <v>268</v>
      </c>
      <c r="C224" s="573" t="s">
        <v>269</v>
      </c>
      <c r="D224" s="564" t="s">
        <v>446</v>
      </c>
      <c r="E224" s="439"/>
      <c r="F224" s="509"/>
      <c r="G224" s="505" t="s">
        <v>271</v>
      </c>
      <c r="H224" s="509">
        <v>5.94</v>
      </c>
      <c r="I224" s="509"/>
      <c r="J224" s="509"/>
      <c r="K224" s="495">
        <f t="shared" si="55"/>
        <v>0</v>
      </c>
      <c r="L224" s="571">
        <f t="shared" si="56"/>
        <v>0</v>
      </c>
      <c r="M224" s="439">
        <v>12</v>
      </c>
      <c r="N224" s="495">
        <f t="shared" ref="N224:N225" si="62">M224/158</f>
        <v>7.5949367088607597E-2</v>
      </c>
      <c r="O224" s="505" t="s">
        <v>271</v>
      </c>
      <c r="P224" s="509">
        <v>5.94</v>
      </c>
      <c r="Q224" s="509" t="s">
        <v>272</v>
      </c>
      <c r="R224" s="572">
        <v>14.26</v>
      </c>
      <c r="S224" s="495">
        <f t="shared" si="57"/>
        <v>3.44</v>
      </c>
      <c r="T224" s="571">
        <f t="shared" si="58"/>
        <v>17.7</v>
      </c>
    </row>
    <row r="225" spans="1:20" ht="60" x14ac:dyDescent="0.25">
      <c r="A225" s="573" t="s">
        <v>418</v>
      </c>
      <c r="B225" s="573" t="s">
        <v>268</v>
      </c>
      <c r="C225" s="573" t="s">
        <v>269</v>
      </c>
      <c r="D225" s="564" t="s">
        <v>447</v>
      </c>
      <c r="E225" s="439"/>
      <c r="F225" s="509"/>
      <c r="G225" s="505" t="s">
        <v>271</v>
      </c>
      <c r="H225" s="509">
        <v>5.94</v>
      </c>
      <c r="I225" s="509"/>
      <c r="J225" s="509"/>
      <c r="K225" s="495">
        <f t="shared" si="55"/>
        <v>0</v>
      </c>
      <c r="L225" s="571">
        <f t="shared" si="56"/>
        <v>0</v>
      </c>
      <c r="M225" s="439">
        <v>14</v>
      </c>
      <c r="N225" s="495">
        <f t="shared" si="62"/>
        <v>8.8607594936708861E-2</v>
      </c>
      <c r="O225" s="505" t="s">
        <v>271</v>
      </c>
      <c r="P225" s="509">
        <v>5.94</v>
      </c>
      <c r="Q225" s="509" t="s">
        <v>272</v>
      </c>
      <c r="R225" s="572">
        <v>16.63</v>
      </c>
      <c r="S225" s="495">
        <f t="shared" si="57"/>
        <v>4.01</v>
      </c>
      <c r="T225" s="571">
        <f t="shared" si="58"/>
        <v>20.64</v>
      </c>
    </row>
    <row r="226" spans="1:20" ht="60" x14ac:dyDescent="0.25">
      <c r="A226" s="573" t="s">
        <v>418</v>
      </c>
      <c r="B226" s="573" t="s">
        <v>268</v>
      </c>
      <c r="C226" s="573" t="s">
        <v>269</v>
      </c>
      <c r="D226" s="564" t="s">
        <v>447</v>
      </c>
      <c r="E226" s="439">
        <v>12</v>
      </c>
      <c r="F226" s="495">
        <f>E226/176</f>
        <v>6.8181818181818177E-2</v>
      </c>
      <c r="G226" s="505" t="s">
        <v>271</v>
      </c>
      <c r="H226" s="509">
        <v>5.94</v>
      </c>
      <c r="I226" s="509" t="s">
        <v>949</v>
      </c>
      <c r="J226" s="509">
        <v>35.64</v>
      </c>
      <c r="K226" s="495">
        <f t="shared" si="55"/>
        <v>8.59</v>
      </c>
      <c r="L226" s="571">
        <f t="shared" si="56"/>
        <v>44.230000000000004</v>
      </c>
      <c r="M226" s="439"/>
      <c r="N226" s="563"/>
      <c r="O226" s="505" t="s">
        <v>271</v>
      </c>
      <c r="P226" s="509">
        <v>5.94</v>
      </c>
      <c r="Q226" s="509"/>
      <c r="R226" s="572"/>
      <c r="S226" s="495">
        <f t="shared" si="57"/>
        <v>0</v>
      </c>
      <c r="T226" s="571">
        <f t="shared" si="58"/>
        <v>0</v>
      </c>
    </row>
    <row r="227" spans="1:20" ht="60" x14ac:dyDescent="0.25">
      <c r="A227" s="573" t="s">
        <v>418</v>
      </c>
      <c r="B227" s="573" t="s">
        <v>268</v>
      </c>
      <c r="C227" s="573" t="s">
        <v>269</v>
      </c>
      <c r="D227" s="564" t="s">
        <v>448</v>
      </c>
      <c r="E227" s="439"/>
      <c r="F227" s="509"/>
      <c r="G227" s="505" t="s">
        <v>271</v>
      </c>
      <c r="H227" s="509">
        <v>5.94</v>
      </c>
      <c r="I227" s="509"/>
      <c r="J227" s="509"/>
      <c r="K227" s="495">
        <f t="shared" si="55"/>
        <v>0</v>
      </c>
      <c r="L227" s="571">
        <f t="shared" si="56"/>
        <v>0</v>
      </c>
      <c r="M227" s="439">
        <v>4</v>
      </c>
      <c r="N227" s="495">
        <f t="shared" ref="N227:N228" si="63">M227/158</f>
        <v>2.5316455696202531E-2</v>
      </c>
      <c r="O227" s="505" t="s">
        <v>271</v>
      </c>
      <c r="P227" s="509">
        <v>5.94</v>
      </c>
      <c r="Q227" s="509" t="s">
        <v>272</v>
      </c>
      <c r="R227" s="572">
        <v>4.75</v>
      </c>
      <c r="S227" s="495">
        <f t="shared" si="57"/>
        <v>1.1399999999999999</v>
      </c>
      <c r="T227" s="571">
        <f t="shared" si="58"/>
        <v>5.89</v>
      </c>
    </row>
    <row r="228" spans="1:20" ht="60" x14ac:dyDescent="0.25">
      <c r="A228" s="573" t="s">
        <v>418</v>
      </c>
      <c r="B228" s="573" t="s">
        <v>268</v>
      </c>
      <c r="C228" s="573" t="s">
        <v>269</v>
      </c>
      <c r="D228" s="564" t="s">
        <v>449</v>
      </c>
      <c r="E228" s="439"/>
      <c r="F228" s="509"/>
      <c r="G228" s="505" t="s">
        <v>271</v>
      </c>
      <c r="H228" s="509">
        <v>5.94</v>
      </c>
      <c r="I228" s="509"/>
      <c r="J228" s="509"/>
      <c r="K228" s="495">
        <f t="shared" si="55"/>
        <v>0</v>
      </c>
      <c r="L228" s="571">
        <f t="shared" si="56"/>
        <v>0</v>
      </c>
      <c r="M228" s="439">
        <v>16</v>
      </c>
      <c r="N228" s="495">
        <f t="shared" si="63"/>
        <v>0.10126582278481013</v>
      </c>
      <c r="O228" s="505" t="s">
        <v>271</v>
      </c>
      <c r="P228" s="509">
        <v>5.94</v>
      </c>
      <c r="Q228" s="509" t="s">
        <v>272</v>
      </c>
      <c r="R228" s="572">
        <v>19.010000000000002</v>
      </c>
      <c r="S228" s="495">
        <f t="shared" si="57"/>
        <v>4.58</v>
      </c>
      <c r="T228" s="571">
        <f t="shared" si="58"/>
        <v>23.590000000000003</v>
      </c>
    </row>
    <row r="229" spans="1:20" ht="60" x14ac:dyDescent="0.25">
      <c r="A229" s="573" t="s">
        <v>418</v>
      </c>
      <c r="B229" s="573" t="s">
        <v>268</v>
      </c>
      <c r="C229" s="573" t="s">
        <v>269</v>
      </c>
      <c r="D229" s="564" t="s">
        <v>449</v>
      </c>
      <c r="E229" s="439">
        <v>12</v>
      </c>
      <c r="F229" s="495">
        <f>E229/176</f>
        <v>6.8181818181818177E-2</v>
      </c>
      <c r="G229" s="505" t="s">
        <v>271</v>
      </c>
      <c r="H229" s="509">
        <v>5.94</v>
      </c>
      <c r="I229" s="509" t="s">
        <v>949</v>
      </c>
      <c r="J229" s="509">
        <v>35.64</v>
      </c>
      <c r="K229" s="495">
        <f t="shared" si="55"/>
        <v>8.59</v>
      </c>
      <c r="L229" s="571">
        <f t="shared" si="56"/>
        <v>44.230000000000004</v>
      </c>
      <c r="M229" s="439"/>
      <c r="N229" s="563"/>
      <c r="O229" s="505" t="s">
        <v>271</v>
      </c>
      <c r="P229" s="509">
        <v>5.94</v>
      </c>
      <c r="Q229" s="509"/>
      <c r="R229" s="572"/>
      <c r="S229" s="495">
        <f t="shared" si="57"/>
        <v>0</v>
      </c>
      <c r="T229" s="571">
        <f t="shared" si="58"/>
        <v>0</v>
      </c>
    </row>
    <row r="230" spans="1:20" ht="60" x14ac:dyDescent="0.25">
      <c r="A230" s="573" t="s">
        <v>418</v>
      </c>
      <c r="B230" s="573" t="s">
        <v>268</v>
      </c>
      <c r="C230" s="573" t="s">
        <v>269</v>
      </c>
      <c r="D230" s="564" t="s">
        <v>450</v>
      </c>
      <c r="E230" s="439"/>
      <c r="F230" s="509"/>
      <c r="G230" s="505" t="s">
        <v>271</v>
      </c>
      <c r="H230" s="509">
        <v>5.94</v>
      </c>
      <c r="I230" s="509"/>
      <c r="J230" s="509"/>
      <c r="K230" s="495">
        <f t="shared" si="55"/>
        <v>0</v>
      </c>
      <c r="L230" s="571">
        <f t="shared" si="56"/>
        <v>0</v>
      </c>
      <c r="M230" s="439">
        <v>10</v>
      </c>
      <c r="N230" s="495">
        <f>M230/158</f>
        <v>6.3291139240506333E-2</v>
      </c>
      <c r="O230" s="505" t="s">
        <v>271</v>
      </c>
      <c r="P230" s="509">
        <v>5.94</v>
      </c>
      <c r="Q230" s="509" t="s">
        <v>272</v>
      </c>
      <c r="R230" s="572">
        <v>11.88</v>
      </c>
      <c r="S230" s="495">
        <f t="shared" si="57"/>
        <v>2.86</v>
      </c>
      <c r="T230" s="571">
        <f t="shared" si="58"/>
        <v>14.74</v>
      </c>
    </row>
    <row r="231" spans="1:20" ht="60" x14ac:dyDescent="0.25">
      <c r="A231" s="573" t="s">
        <v>418</v>
      </c>
      <c r="B231" s="573" t="s">
        <v>268</v>
      </c>
      <c r="C231" s="573" t="s">
        <v>269</v>
      </c>
      <c r="D231" s="564" t="s">
        <v>450</v>
      </c>
      <c r="E231" s="439">
        <v>12</v>
      </c>
      <c r="F231" s="495">
        <f>E231/176</f>
        <v>6.8181818181818177E-2</v>
      </c>
      <c r="G231" s="505" t="s">
        <v>271</v>
      </c>
      <c r="H231" s="509">
        <v>5.94</v>
      </c>
      <c r="I231" s="509" t="s">
        <v>949</v>
      </c>
      <c r="J231" s="509">
        <v>35.64</v>
      </c>
      <c r="K231" s="495">
        <f t="shared" si="55"/>
        <v>8.59</v>
      </c>
      <c r="L231" s="571">
        <f t="shared" si="56"/>
        <v>44.230000000000004</v>
      </c>
      <c r="M231" s="439"/>
      <c r="N231" s="563"/>
      <c r="O231" s="505" t="s">
        <v>271</v>
      </c>
      <c r="P231" s="509">
        <v>5.94</v>
      </c>
      <c r="Q231" s="509"/>
      <c r="R231" s="572"/>
      <c r="S231" s="495">
        <f t="shared" si="57"/>
        <v>0</v>
      </c>
      <c r="T231" s="571">
        <f t="shared" si="58"/>
        <v>0</v>
      </c>
    </row>
    <row r="232" spans="1:20" ht="60" x14ac:dyDescent="0.25">
      <c r="A232" s="573" t="s">
        <v>418</v>
      </c>
      <c r="B232" s="573" t="s">
        <v>268</v>
      </c>
      <c r="C232" s="573" t="s">
        <v>269</v>
      </c>
      <c r="D232" s="564" t="s">
        <v>451</v>
      </c>
      <c r="E232" s="439"/>
      <c r="F232" s="509"/>
      <c r="G232" s="505" t="s">
        <v>271</v>
      </c>
      <c r="H232" s="509">
        <v>5.94</v>
      </c>
      <c r="I232" s="509"/>
      <c r="J232" s="509"/>
      <c r="K232" s="495">
        <f t="shared" si="55"/>
        <v>0</v>
      </c>
      <c r="L232" s="571">
        <f t="shared" si="56"/>
        <v>0</v>
      </c>
      <c r="M232" s="439">
        <v>12</v>
      </c>
      <c r="N232" s="495">
        <f t="shared" ref="N232:N233" si="64">M232/158</f>
        <v>7.5949367088607597E-2</v>
      </c>
      <c r="O232" s="505" t="s">
        <v>271</v>
      </c>
      <c r="P232" s="509">
        <v>5.94</v>
      </c>
      <c r="Q232" s="509" t="s">
        <v>272</v>
      </c>
      <c r="R232" s="572">
        <v>14.26</v>
      </c>
      <c r="S232" s="495">
        <f t="shared" si="57"/>
        <v>3.44</v>
      </c>
      <c r="T232" s="571">
        <f t="shared" si="58"/>
        <v>17.7</v>
      </c>
    </row>
    <row r="233" spans="1:20" ht="60" x14ac:dyDescent="0.25">
      <c r="A233" s="573" t="s">
        <v>418</v>
      </c>
      <c r="B233" s="573" t="s">
        <v>268</v>
      </c>
      <c r="C233" s="573" t="s">
        <v>269</v>
      </c>
      <c r="D233" s="564" t="s">
        <v>452</v>
      </c>
      <c r="E233" s="439"/>
      <c r="F233" s="509"/>
      <c r="G233" s="505" t="s">
        <v>271</v>
      </c>
      <c r="H233" s="509">
        <v>5.65</v>
      </c>
      <c r="I233" s="509"/>
      <c r="J233" s="509"/>
      <c r="K233" s="495">
        <f t="shared" si="55"/>
        <v>0</v>
      </c>
      <c r="L233" s="571">
        <f t="shared" si="56"/>
        <v>0</v>
      </c>
      <c r="M233" s="439">
        <v>12</v>
      </c>
      <c r="N233" s="495">
        <f t="shared" si="64"/>
        <v>7.5949367088607597E-2</v>
      </c>
      <c r="O233" s="505" t="s">
        <v>271</v>
      </c>
      <c r="P233" s="509">
        <v>5.65</v>
      </c>
      <c r="Q233" s="509" t="s">
        <v>272</v>
      </c>
      <c r="R233" s="572">
        <v>13.56</v>
      </c>
      <c r="S233" s="495">
        <f t="shared" si="57"/>
        <v>3.27</v>
      </c>
      <c r="T233" s="571">
        <f t="shared" si="58"/>
        <v>16.830000000000002</v>
      </c>
    </row>
    <row r="234" spans="1:20" ht="60" x14ac:dyDescent="0.25">
      <c r="A234" s="573" t="s">
        <v>418</v>
      </c>
      <c r="B234" s="573" t="s">
        <v>268</v>
      </c>
      <c r="C234" s="573" t="s">
        <v>269</v>
      </c>
      <c r="D234" s="564" t="s">
        <v>452</v>
      </c>
      <c r="E234" s="439">
        <v>24</v>
      </c>
      <c r="F234" s="495">
        <f>E234/176</f>
        <v>0.13636363636363635</v>
      </c>
      <c r="G234" s="505" t="s">
        <v>271</v>
      </c>
      <c r="H234" s="509">
        <v>5.65</v>
      </c>
      <c r="I234" s="509" t="s">
        <v>949</v>
      </c>
      <c r="J234" s="509">
        <v>67.8</v>
      </c>
      <c r="K234" s="495">
        <f t="shared" si="55"/>
        <v>16.329999999999998</v>
      </c>
      <c r="L234" s="571">
        <f t="shared" si="56"/>
        <v>84.13</v>
      </c>
      <c r="M234" s="439"/>
      <c r="N234" s="563"/>
      <c r="O234" s="505" t="s">
        <v>271</v>
      </c>
      <c r="P234" s="509">
        <v>5.65</v>
      </c>
      <c r="Q234" s="509"/>
      <c r="R234" s="572"/>
      <c r="S234" s="495">
        <f t="shared" si="57"/>
        <v>0</v>
      </c>
      <c r="T234" s="571">
        <f t="shared" si="58"/>
        <v>0</v>
      </c>
    </row>
    <row r="235" spans="1:20" ht="60" x14ac:dyDescent="0.25">
      <c r="A235" s="573" t="s">
        <v>418</v>
      </c>
      <c r="B235" s="573" t="s">
        <v>268</v>
      </c>
      <c r="C235" s="573" t="s">
        <v>269</v>
      </c>
      <c r="D235" s="564" t="s">
        <v>453</v>
      </c>
      <c r="E235" s="439"/>
      <c r="F235" s="509"/>
      <c r="G235" s="505" t="s">
        <v>271</v>
      </c>
      <c r="H235" s="509">
        <v>5.94</v>
      </c>
      <c r="I235" s="509"/>
      <c r="J235" s="509"/>
      <c r="K235" s="495">
        <f t="shared" si="55"/>
        <v>0</v>
      </c>
      <c r="L235" s="571">
        <f t="shared" si="56"/>
        <v>0</v>
      </c>
      <c r="M235" s="439">
        <v>14</v>
      </c>
      <c r="N235" s="495">
        <f>M235/158</f>
        <v>8.8607594936708861E-2</v>
      </c>
      <c r="O235" s="505" t="s">
        <v>271</v>
      </c>
      <c r="P235" s="509">
        <v>5.94</v>
      </c>
      <c r="Q235" s="509" t="s">
        <v>272</v>
      </c>
      <c r="R235" s="572">
        <v>16.63</v>
      </c>
      <c r="S235" s="495">
        <f t="shared" si="57"/>
        <v>4.01</v>
      </c>
      <c r="T235" s="571">
        <f t="shared" si="58"/>
        <v>20.64</v>
      </c>
    </row>
    <row r="236" spans="1:20" ht="60" x14ac:dyDescent="0.25">
      <c r="A236" s="573" t="s">
        <v>418</v>
      </c>
      <c r="B236" s="573" t="s">
        <v>268</v>
      </c>
      <c r="C236" s="573" t="s">
        <v>269</v>
      </c>
      <c r="D236" s="564" t="s">
        <v>453</v>
      </c>
      <c r="E236" s="439">
        <v>12</v>
      </c>
      <c r="F236" s="495">
        <f>E236/176</f>
        <v>6.8181818181818177E-2</v>
      </c>
      <c r="G236" s="505" t="s">
        <v>271</v>
      </c>
      <c r="H236" s="509">
        <v>5.94</v>
      </c>
      <c r="I236" s="509" t="s">
        <v>949</v>
      </c>
      <c r="J236" s="509">
        <v>35.64</v>
      </c>
      <c r="K236" s="495">
        <f t="shared" si="55"/>
        <v>8.59</v>
      </c>
      <c r="L236" s="571">
        <f t="shared" si="56"/>
        <v>44.230000000000004</v>
      </c>
      <c r="M236" s="439"/>
      <c r="N236" s="563"/>
      <c r="O236" s="505" t="s">
        <v>271</v>
      </c>
      <c r="P236" s="509">
        <v>5.94</v>
      </c>
      <c r="Q236" s="509"/>
      <c r="R236" s="572"/>
      <c r="S236" s="495">
        <f t="shared" si="57"/>
        <v>0</v>
      </c>
      <c r="T236" s="571">
        <f t="shared" si="58"/>
        <v>0</v>
      </c>
    </row>
    <row r="237" spans="1:20" ht="60" x14ac:dyDescent="0.25">
      <c r="A237" s="573" t="s">
        <v>418</v>
      </c>
      <c r="B237" s="573" t="s">
        <v>268</v>
      </c>
      <c r="C237" s="573" t="s">
        <v>269</v>
      </c>
      <c r="D237" s="564" t="s">
        <v>454</v>
      </c>
      <c r="E237" s="439"/>
      <c r="F237" s="509"/>
      <c r="G237" s="505" t="s">
        <v>271</v>
      </c>
      <c r="H237" s="509">
        <v>5.85</v>
      </c>
      <c r="I237" s="509"/>
      <c r="J237" s="509"/>
      <c r="K237" s="495">
        <f t="shared" si="55"/>
        <v>0</v>
      </c>
      <c r="L237" s="571">
        <f t="shared" si="56"/>
        <v>0</v>
      </c>
      <c r="M237" s="439">
        <v>10</v>
      </c>
      <c r="N237" s="495">
        <f t="shared" ref="N237:N238" si="65">M237/158</f>
        <v>6.3291139240506333E-2</v>
      </c>
      <c r="O237" s="505" t="s">
        <v>271</v>
      </c>
      <c r="P237" s="509">
        <v>5.85</v>
      </c>
      <c r="Q237" s="509" t="s">
        <v>272</v>
      </c>
      <c r="R237" s="572">
        <v>11.7</v>
      </c>
      <c r="S237" s="495">
        <f t="shared" si="57"/>
        <v>2.82</v>
      </c>
      <c r="T237" s="571">
        <f t="shared" si="58"/>
        <v>14.52</v>
      </c>
    </row>
    <row r="238" spans="1:20" ht="60" x14ac:dyDescent="0.25">
      <c r="A238" s="573" t="s">
        <v>418</v>
      </c>
      <c r="B238" s="573" t="s">
        <v>268</v>
      </c>
      <c r="C238" s="573" t="s">
        <v>269</v>
      </c>
      <c r="D238" s="564" t="s">
        <v>455</v>
      </c>
      <c r="E238" s="439"/>
      <c r="F238" s="509"/>
      <c r="G238" s="505" t="s">
        <v>271</v>
      </c>
      <c r="H238" s="509">
        <v>5.94</v>
      </c>
      <c r="I238" s="509"/>
      <c r="J238" s="509"/>
      <c r="K238" s="495">
        <f t="shared" si="55"/>
        <v>0</v>
      </c>
      <c r="L238" s="571">
        <f t="shared" si="56"/>
        <v>0</v>
      </c>
      <c r="M238" s="439">
        <v>12</v>
      </c>
      <c r="N238" s="495">
        <f t="shared" si="65"/>
        <v>7.5949367088607597E-2</v>
      </c>
      <c r="O238" s="505" t="s">
        <v>271</v>
      </c>
      <c r="P238" s="509">
        <v>5.94</v>
      </c>
      <c r="Q238" s="509" t="s">
        <v>272</v>
      </c>
      <c r="R238" s="572">
        <v>14.26</v>
      </c>
      <c r="S238" s="495">
        <f t="shared" si="57"/>
        <v>3.44</v>
      </c>
      <c r="T238" s="571">
        <f t="shared" si="58"/>
        <v>17.7</v>
      </c>
    </row>
    <row r="239" spans="1:20" ht="60" x14ac:dyDescent="0.25">
      <c r="A239" s="573" t="s">
        <v>418</v>
      </c>
      <c r="B239" s="573" t="s">
        <v>268</v>
      </c>
      <c r="C239" s="573" t="s">
        <v>269</v>
      </c>
      <c r="D239" s="564" t="s">
        <v>455</v>
      </c>
      <c r="E239" s="439">
        <v>12</v>
      </c>
      <c r="F239" s="495">
        <f>E239/176</f>
        <v>6.8181818181818177E-2</v>
      </c>
      <c r="G239" s="505" t="s">
        <v>271</v>
      </c>
      <c r="H239" s="509">
        <v>5.94</v>
      </c>
      <c r="I239" s="509" t="s">
        <v>949</v>
      </c>
      <c r="J239" s="509">
        <v>35.64</v>
      </c>
      <c r="K239" s="495">
        <f t="shared" si="55"/>
        <v>8.59</v>
      </c>
      <c r="L239" s="571">
        <f t="shared" si="56"/>
        <v>44.230000000000004</v>
      </c>
      <c r="M239" s="439"/>
      <c r="N239" s="563"/>
      <c r="O239" s="505" t="s">
        <v>271</v>
      </c>
      <c r="P239" s="509">
        <v>5.94</v>
      </c>
      <c r="Q239" s="509"/>
      <c r="R239" s="572"/>
      <c r="S239" s="495">
        <f t="shared" si="57"/>
        <v>0</v>
      </c>
      <c r="T239" s="571">
        <f t="shared" si="58"/>
        <v>0</v>
      </c>
    </row>
    <row r="240" spans="1:20" ht="60" x14ac:dyDescent="0.25">
      <c r="A240" s="573" t="s">
        <v>418</v>
      </c>
      <c r="B240" s="573" t="s">
        <v>268</v>
      </c>
      <c r="C240" s="573" t="s">
        <v>269</v>
      </c>
      <c r="D240" s="564" t="s">
        <v>456</v>
      </c>
      <c r="E240" s="439"/>
      <c r="F240" s="509"/>
      <c r="G240" s="505" t="s">
        <v>271</v>
      </c>
      <c r="H240" s="509">
        <v>5.94</v>
      </c>
      <c r="I240" s="509"/>
      <c r="J240" s="509"/>
      <c r="K240" s="495">
        <f t="shared" si="55"/>
        <v>0</v>
      </c>
      <c r="L240" s="571">
        <f t="shared" si="56"/>
        <v>0</v>
      </c>
      <c r="M240" s="439">
        <v>6</v>
      </c>
      <c r="N240" s="495">
        <f t="shared" ref="N240:N242" si="66">M240/158</f>
        <v>3.7974683544303799E-2</v>
      </c>
      <c r="O240" s="505" t="s">
        <v>271</v>
      </c>
      <c r="P240" s="509">
        <v>5.94</v>
      </c>
      <c r="Q240" s="509" t="s">
        <v>272</v>
      </c>
      <c r="R240" s="572">
        <v>7.13</v>
      </c>
      <c r="S240" s="495">
        <f t="shared" si="57"/>
        <v>1.72</v>
      </c>
      <c r="T240" s="571">
        <f t="shared" si="58"/>
        <v>8.85</v>
      </c>
    </row>
    <row r="241" spans="1:20" ht="60" x14ac:dyDescent="0.25">
      <c r="A241" s="573" t="s">
        <v>418</v>
      </c>
      <c r="B241" s="573" t="s">
        <v>268</v>
      </c>
      <c r="C241" s="573" t="s">
        <v>269</v>
      </c>
      <c r="D241" s="564" t="s">
        <v>457</v>
      </c>
      <c r="E241" s="439"/>
      <c r="F241" s="509"/>
      <c r="G241" s="505" t="s">
        <v>271</v>
      </c>
      <c r="H241" s="509">
        <v>5.94</v>
      </c>
      <c r="I241" s="509"/>
      <c r="J241" s="509"/>
      <c r="K241" s="495">
        <f t="shared" si="55"/>
        <v>0</v>
      </c>
      <c r="L241" s="571">
        <f t="shared" si="56"/>
        <v>0</v>
      </c>
      <c r="M241" s="439">
        <v>6</v>
      </c>
      <c r="N241" s="495">
        <f t="shared" si="66"/>
        <v>3.7974683544303799E-2</v>
      </c>
      <c r="O241" s="505" t="s">
        <v>271</v>
      </c>
      <c r="P241" s="509">
        <v>5.94</v>
      </c>
      <c r="Q241" s="509" t="s">
        <v>272</v>
      </c>
      <c r="R241" s="572">
        <v>7.13</v>
      </c>
      <c r="S241" s="495">
        <f t="shared" si="57"/>
        <v>1.72</v>
      </c>
      <c r="T241" s="571">
        <f t="shared" si="58"/>
        <v>8.85</v>
      </c>
    </row>
    <row r="242" spans="1:20" ht="60" x14ac:dyDescent="0.25">
      <c r="A242" s="573" t="s">
        <v>418</v>
      </c>
      <c r="B242" s="573" t="s">
        <v>268</v>
      </c>
      <c r="C242" s="573" t="s">
        <v>269</v>
      </c>
      <c r="D242" s="564" t="s">
        <v>458</v>
      </c>
      <c r="E242" s="439"/>
      <c r="F242" s="509"/>
      <c r="G242" s="505" t="s">
        <v>271</v>
      </c>
      <c r="H242" s="509">
        <v>5.94</v>
      </c>
      <c r="I242" s="509"/>
      <c r="J242" s="509"/>
      <c r="K242" s="495">
        <f t="shared" si="55"/>
        <v>0</v>
      </c>
      <c r="L242" s="571">
        <f t="shared" si="56"/>
        <v>0</v>
      </c>
      <c r="M242" s="439">
        <v>6</v>
      </c>
      <c r="N242" s="495">
        <f t="shared" si="66"/>
        <v>3.7974683544303799E-2</v>
      </c>
      <c r="O242" s="505" t="s">
        <v>271</v>
      </c>
      <c r="P242" s="509">
        <v>5.94</v>
      </c>
      <c r="Q242" s="509" t="s">
        <v>272</v>
      </c>
      <c r="R242" s="572">
        <v>7.13</v>
      </c>
      <c r="S242" s="495">
        <f t="shared" si="57"/>
        <v>1.72</v>
      </c>
      <c r="T242" s="571">
        <f t="shared" si="58"/>
        <v>8.85</v>
      </c>
    </row>
    <row r="243" spans="1:20" ht="60" x14ac:dyDescent="0.25">
      <c r="A243" s="573" t="s">
        <v>418</v>
      </c>
      <c r="B243" s="573" t="s">
        <v>268</v>
      </c>
      <c r="C243" s="573" t="s">
        <v>269</v>
      </c>
      <c r="D243" s="564" t="s">
        <v>458</v>
      </c>
      <c r="E243" s="439">
        <v>12</v>
      </c>
      <c r="F243" s="495">
        <f>E243/176</f>
        <v>6.8181818181818177E-2</v>
      </c>
      <c r="G243" s="505" t="s">
        <v>271</v>
      </c>
      <c r="H243" s="509">
        <v>5.94</v>
      </c>
      <c r="I243" s="509" t="s">
        <v>949</v>
      </c>
      <c r="J243" s="509">
        <v>35.64</v>
      </c>
      <c r="K243" s="495">
        <f t="shared" si="55"/>
        <v>8.59</v>
      </c>
      <c r="L243" s="571">
        <f t="shared" si="56"/>
        <v>44.230000000000004</v>
      </c>
      <c r="M243" s="439"/>
      <c r="N243" s="563"/>
      <c r="O243" s="505" t="s">
        <v>271</v>
      </c>
      <c r="P243" s="509">
        <v>5.94</v>
      </c>
      <c r="Q243" s="509"/>
      <c r="R243" s="572"/>
      <c r="S243" s="495">
        <f t="shared" si="57"/>
        <v>0</v>
      </c>
      <c r="T243" s="571">
        <f t="shared" si="58"/>
        <v>0</v>
      </c>
    </row>
    <row r="244" spans="1:20" ht="60" x14ac:dyDescent="0.25">
      <c r="A244" s="573" t="s">
        <v>418</v>
      </c>
      <c r="B244" s="573" t="s">
        <v>268</v>
      </c>
      <c r="C244" s="573" t="s">
        <v>269</v>
      </c>
      <c r="D244" s="564" t="s">
        <v>459</v>
      </c>
      <c r="E244" s="439"/>
      <c r="F244" s="509"/>
      <c r="G244" s="505" t="s">
        <v>271</v>
      </c>
      <c r="H244" s="509">
        <v>5.94</v>
      </c>
      <c r="I244" s="509"/>
      <c r="J244" s="509"/>
      <c r="K244" s="495">
        <f t="shared" si="55"/>
        <v>0</v>
      </c>
      <c r="L244" s="571">
        <f t="shared" si="56"/>
        <v>0</v>
      </c>
      <c r="M244" s="439">
        <v>20</v>
      </c>
      <c r="N244" s="495">
        <f>M244/158</f>
        <v>0.12658227848101267</v>
      </c>
      <c r="O244" s="505" t="s">
        <v>271</v>
      </c>
      <c r="P244" s="509">
        <v>5.94</v>
      </c>
      <c r="Q244" s="509" t="s">
        <v>272</v>
      </c>
      <c r="R244" s="572">
        <v>23.76</v>
      </c>
      <c r="S244" s="495">
        <f t="shared" si="57"/>
        <v>5.72</v>
      </c>
      <c r="T244" s="571">
        <f t="shared" si="58"/>
        <v>29.48</v>
      </c>
    </row>
    <row r="245" spans="1:20" ht="60" x14ac:dyDescent="0.25">
      <c r="A245" s="573" t="s">
        <v>418</v>
      </c>
      <c r="B245" s="573" t="s">
        <v>268</v>
      </c>
      <c r="C245" s="573" t="s">
        <v>269</v>
      </c>
      <c r="D245" s="564" t="s">
        <v>459</v>
      </c>
      <c r="E245" s="439">
        <v>12</v>
      </c>
      <c r="F245" s="495">
        <f>E245/176</f>
        <v>6.8181818181818177E-2</v>
      </c>
      <c r="G245" s="505" t="s">
        <v>271</v>
      </c>
      <c r="H245" s="509">
        <v>5.94</v>
      </c>
      <c r="I245" s="509" t="s">
        <v>949</v>
      </c>
      <c r="J245" s="509">
        <v>35.64</v>
      </c>
      <c r="K245" s="495">
        <f t="shared" si="55"/>
        <v>8.59</v>
      </c>
      <c r="L245" s="571">
        <f t="shared" si="56"/>
        <v>44.230000000000004</v>
      </c>
      <c r="M245" s="439"/>
      <c r="N245" s="563"/>
      <c r="O245" s="505" t="s">
        <v>271</v>
      </c>
      <c r="P245" s="509">
        <v>5.94</v>
      </c>
      <c r="Q245" s="509"/>
      <c r="R245" s="572"/>
      <c r="S245" s="495">
        <f t="shared" si="57"/>
        <v>0</v>
      </c>
      <c r="T245" s="571">
        <f t="shared" si="58"/>
        <v>0</v>
      </c>
    </row>
    <row r="246" spans="1:20" ht="60" x14ac:dyDescent="0.25">
      <c r="A246" s="573" t="s">
        <v>418</v>
      </c>
      <c r="B246" s="573" t="s">
        <v>268</v>
      </c>
      <c r="C246" s="573" t="s">
        <v>269</v>
      </c>
      <c r="D246" s="564" t="s">
        <v>460</v>
      </c>
      <c r="E246" s="439"/>
      <c r="F246" s="509"/>
      <c r="G246" s="505" t="s">
        <v>271</v>
      </c>
      <c r="H246" s="509">
        <v>5.94</v>
      </c>
      <c r="I246" s="509"/>
      <c r="J246" s="509"/>
      <c r="K246" s="495">
        <f t="shared" si="55"/>
        <v>0</v>
      </c>
      <c r="L246" s="571">
        <f t="shared" si="56"/>
        <v>0</v>
      </c>
      <c r="M246" s="439">
        <v>12</v>
      </c>
      <c r="N246" s="495">
        <f>M246/158</f>
        <v>7.5949367088607597E-2</v>
      </c>
      <c r="O246" s="505" t="s">
        <v>271</v>
      </c>
      <c r="P246" s="509">
        <v>5.94</v>
      </c>
      <c r="Q246" s="509" t="s">
        <v>272</v>
      </c>
      <c r="R246" s="572">
        <v>14.26</v>
      </c>
      <c r="S246" s="495">
        <f t="shared" si="57"/>
        <v>3.44</v>
      </c>
      <c r="T246" s="571">
        <f t="shared" si="58"/>
        <v>17.7</v>
      </c>
    </row>
    <row r="247" spans="1:20" ht="60" x14ac:dyDescent="0.25">
      <c r="A247" s="573" t="s">
        <v>418</v>
      </c>
      <c r="B247" s="573" t="s">
        <v>268</v>
      </c>
      <c r="C247" s="573" t="s">
        <v>269</v>
      </c>
      <c r="D247" s="564" t="s">
        <v>460</v>
      </c>
      <c r="E247" s="439">
        <v>12</v>
      </c>
      <c r="F247" s="495">
        <f>E247/176</f>
        <v>6.8181818181818177E-2</v>
      </c>
      <c r="G247" s="505" t="s">
        <v>271</v>
      </c>
      <c r="H247" s="509">
        <v>5.94</v>
      </c>
      <c r="I247" s="509" t="s">
        <v>949</v>
      </c>
      <c r="J247" s="509">
        <v>35.64</v>
      </c>
      <c r="K247" s="495">
        <f t="shared" si="55"/>
        <v>8.59</v>
      </c>
      <c r="L247" s="571">
        <f t="shared" si="56"/>
        <v>44.230000000000004</v>
      </c>
      <c r="M247" s="439"/>
      <c r="N247" s="563"/>
      <c r="O247" s="505" t="s">
        <v>271</v>
      </c>
      <c r="P247" s="509">
        <v>5.94</v>
      </c>
      <c r="Q247" s="509"/>
      <c r="R247" s="572"/>
      <c r="S247" s="495">
        <f t="shared" si="57"/>
        <v>0</v>
      </c>
      <c r="T247" s="571">
        <f t="shared" si="58"/>
        <v>0</v>
      </c>
    </row>
    <row r="248" spans="1:20" ht="60" x14ac:dyDescent="0.25">
      <c r="A248" s="573" t="s">
        <v>418</v>
      </c>
      <c r="B248" s="573" t="s">
        <v>268</v>
      </c>
      <c r="C248" s="573" t="s">
        <v>269</v>
      </c>
      <c r="D248" s="564" t="s">
        <v>461</v>
      </c>
      <c r="E248" s="439"/>
      <c r="F248" s="509"/>
      <c r="G248" s="505" t="s">
        <v>271</v>
      </c>
      <c r="H248" s="509">
        <v>5.8</v>
      </c>
      <c r="I248" s="509"/>
      <c r="J248" s="509"/>
      <c r="K248" s="495">
        <f t="shared" si="55"/>
        <v>0</v>
      </c>
      <c r="L248" s="571">
        <f t="shared" si="56"/>
        <v>0</v>
      </c>
      <c r="M248" s="439">
        <v>16</v>
      </c>
      <c r="N248" s="495">
        <f t="shared" ref="N248:N251" si="67">M248/158</f>
        <v>0.10126582278481013</v>
      </c>
      <c r="O248" s="505" t="s">
        <v>271</v>
      </c>
      <c r="P248" s="509">
        <v>5.8</v>
      </c>
      <c r="Q248" s="509" t="s">
        <v>272</v>
      </c>
      <c r="R248" s="572">
        <v>18.559999999999999</v>
      </c>
      <c r="S248" s="495">
        <f t="shared" si="57"/>
        <v>4.47</v>
      </c>
      <c r="T248" s="571">
        <f t="shared" si="58"/>
        <v>23.029999999999998</v>
      </c>
    </row>
    <row r="249" spans="1:20" ht="60" x14ac:dyDescent="0.25">
      <c r="A249" s="573" t="s">
        <v>418</v>
      </c>
      <c r="B249" s="573" t="s">
        <v>268</v>
      </c>
      <c r="C249" s="573" t="s">
        <v>269</v>
      </c>
      <c r="D249" s="564" t="s">
        <v>462</v>
      </c>
      <c r="E249" s="439"/>
      <c r="F249" s="509"/>
      <c r="G249" s="505" t="s">
        <v>271</v>
      </c>
      <c r="H249" s="509">
        <v>5.94</v>
      </c>
      <c r="I249" s="509"/>
      <c r="J249" s="509"/>
      <c r="K249" s="495">
        <f t="shared" si="55"/>
        <v>0</v>
      </c>
      <c r="L249" s="571">
        <f t="shared" si="56"/>
        <v>0</v>
      </c>
      <c r="M249" s="439">
        <v>14</v>
      </c>
      <c r="N249" s="495">
        <f t="shared" si="67"/>
        <v>8.8607594936708861E-2</v>
      </c>
      <c r="O249" s="505" t="s">
        <v>271</v>
      </c>
      <c r="P249" s="509">
        <v>5.94</v>
      </c>
      <c r="Q249" s="509" t="s">
        <v>272</v>
      </c>
      <c r="R249" s="572">
        <v>16.63</v>
      </c>
      <c r="S249" s="495">
        <f t="shared" si="57"/>
        <v>4.01</v>
      </c>
      <c r="T249" s="571">
        <f t="shared" si="58"/>
        <v>20.64</v>
      </c>
    </row>
    <row r="250" spans="1:20" ht="60" x14ac:dyDescent="0.25">
      <c r="A250" s="573" t="s">
        <v>418</v>
      </c>
      <c r="B250" s="573" t="s">
        <v>268</v>
      </c>
      <c r="C250" s="573" t="s">
        <v>269</v>
      </c>
      <c r="D250" s="564" t="s">
        <v>463</v>
      </c>
      <c r="E250" s="439"/>
      <c r="F250" s="509"/>
      <c r="G250" s="505" t="s">
        <v>271</v>
      </c>
      <c r="H250" s="509">
        <v>5.94</v>
      </c>
      <c r="I250" s="509"/>
      <c r="J250" s="509"/>
      <c r="K250" s="495">
        <f t="shared" si="55"/>
        <v>0</v>
      </c>
      <c r="L250" s="571">
        <f t="shared" si="56"/>
        <v>0</v>
      </c>
      <c r="M250" s="439">
        <v>6</v>
      </c>
      <c r="N250" s="495">
        <f t="shared" si="67"/>
        <v>3.7974683544303799E-2</v>
      </c>
      <c r="O250" s="505" t="s">
        <v>271</v>
      </c>
      <c r="P250" s="509">
        <v>5.94</v>
      </c>
      <c r="Q250" s="509" t="s">
        <v>272</v>
      </c>
      <c r="R250" s="572">
        <v>7.13</v>
      </c>
      <c r="S250" s="495">
        <f t="shared" si="57"/>
        <v>1.72</v>
      </c>
      <c r="T250" s="571">
        <f t="shared" si="58"/>
        <v>8.85</v>
      </c>
    </row>
    <row r="251" spans="1:20" ht="60" x14ac:dyDescent="0.25">
      <c r="A251" s="573" t="s">
        <v>418</v>
      </c>
      <c r="B251" s="573" t="s">
        <v>268</v>
      </c>
      <c r="C251" s="573" t="s">
        <v>269</v>
      </c>
      <c r="D251" s="564" t="s">
        <v>464</v>
      </c>
      <c r="E251" s="439"/>
      <c r="F251" s="509"/>
      <c r="G251" s="505" t="s">
        <v>271</v>
      </c>
      <c r="H251" s="509">
        <v>5.65</v>
      </c>
      <c r="I251" s="509"/>
      <c r="J251" s="509"/>
      <c r="K251" s="495">
        <f t="shared" si="55"/>
        <v>0</v>
      </c>
      <c r="L251" s="571">
        <f t="shared" si="56"/>
        <v>0</v>
      </c>
      <c r="M251" s="439">
        <v>14</v>
      </c>
      <c r="N251" s="495">
        <f t="shared" si="67"/>
        <v>8.8607594936708861E-2</v>
      </c>
      <c r="O251" s="505" t="s">
        <v>271</v>
      </c>
      <c r="P251" s="509">
        <v>5.65</v>
      </c>
      <c r="Q251" s="509" t="s">
        <v>272</v>
      </c>
      <c r="R251" s="572">
        <v>15.82</v>
      </c>
      <c r="S251" s="495">
        <f t="shared" si="57"/>
        <v>3.81</v>
      </c>
      <c r="T251" s="571">
        <f t="shared" si="58"/>
        <v>19.63</v>
      </c>
    </row>
    <row r="252" spans="1:20" ht="60" x14ac:dyDescent="0.25">
      <c r="A252" s="573" t="s">
        <v>418</v>
      </c>
      <c r="B252" s="573" t="s">
        <v>268</v>
      </c>
      <c r="C252" s="573" t="s">
        <v>269</v>
      </c>
      <c r="D252" s="564" t="s">
        <v>464</v>
      </c>
      <c r="E252" s="439">
        <v>24</v>
      </c>
      <c r="F252" s="495">
        <f>E252/176</f>
        <v>0.13636363636363635</v>
      </c>
      <c r="G252" s="505" t="s">
        <v>271</v>
      </c>
      <c r="H252" s="509">
        <v>5.65</v>
      </c>
      <c r="I252" s="509" t="s">
        <v>949</v>
      </c>
      <c r="J252" s="509">
        <v>67.8</v>
      </c>
      <c r="K252" s="495">
        <f t="shared" si="55"/>
        <v>16.329999999999998</v>
      </c>
      <c r="L252" s="571">
        <f t="shared" si="56"/>
        <v>84.13</v>
      </c>
      <c r="M252" s="439"/>
      <c r="N252" s="563"/>
      <c r="O252" s="505" t="s">
        <v>271</v>
      </c>
      <c r="P252" s="509">
        <v>5.65</v>
      </c>
      <c r="Q252" s="509"/>
      <c r="R252" s="572"/>
      <c r="S252" s="495">
        <f t="shared" si="57"/>
        <v>0</v>
      </c>
      <c r="T252" s="571">
        <f t="shared" si="58"/>
        <v>0</v>
      </c>
    </row>
    <row r="253" spans="1:20" ht="60" x14ac:dyDescent="0.25">
      <c r="A253" s="573" t="s">
        <v>418</v>
      </c>
      <c r="B253" s="573" t="s">
        <v>268</v>
      </c>
      <c r="C253" s="573" t="s">
        <v>269</v>
      </c>
      <c r="D253" s="564" t="s">
        <v>465</v>
      </c>
      <c r="E253" s="439"/>
      <c r="F253" s="509"/>
      <c r="G253" s="505" t="s">
        <v>271</v>
      </c>
      <c r="H253" s="509">
        <v>5.65</v>
      </c>
      <c r="I253" s="509"/>
      <c r="J253" s="509"/>
      <c r="K253" s="495">
        <f t="shared" si="55"/>
        <v>0</v>
      </c>
      <c r="L253" s="571">
        <f t="shared" si="56"/>
        <v>0</v>
      </c>
      <c r="M253" s="439">
        <v>11</v>
      </c>
      <c r="N253" s="495">
        <f>M253/158</f>
        <v>6.9620253164556958E-2</v>
      </c>
      <c r="O253" s="505" t="s">
        <v>271</v>
      </c>
      <c r="P253" s="509">
        <v>5.65</v>
      </c>
      <c r="Q253" s="509" t="s">
        <v>272</v>
      </c>
      <c r="R253" s="572">
        <v>12.43</v>
      </c>
      <c r="S253" s="495">
        <f t="shared" si="57"/>
        <v>2.99</v>
      </c>
      <c r="T253" s="571">
        <f t="shared" si="58"/>
        <v>15.42</v>
      </c>
    </row>
    <row r="254" spans="1:20" ht="60" x14ac:dyDescent="0.25">
      <c r="A254" s="573" t="s">
        <v>418</v>
      </c>
      <c r="B254" s="573" t="s">
        <v>268</v>
      </c>
      <c r="C254" s="573" t="s">
        <v>269</v>
      </c>
      <c r="D254" s="564" t="s">
        <v>465</v>
      </c>
      <c r="E254" s="439">
        <v>12</v>
      </c>
      <c r="F254" s="495">
        <f>E254/176</f>
        <v>6.8181818181818177E-2</v>
      </c>
      <c r="G254" s="505" t="s">
        <v>271</v>
      </c>
      <c r="H254" s="509">
        <v>5.65</v>
      </c>
      <c r="I254" s="509" t="s">
        <v>949</v>
      </c>
      <c r="J254" s="509">
        <v>33.9</v>
      </c>
      <c r="K254" s="495">
        <f t="shared" si="55"/>
        <v>8.17</v>
      </c>
      <c r="L254" s="571">
        <f t="shared" si="56"/>
        <v>42.07</v>
      </c>
      <c r="M254" s="439"/>
      <c r="N254" s="563"/>
      <c r="O254" s="505" t="s">
        <v>271</v>
      </c>
      <c r="P254" s="509">
        <v>5.65</v>
      </c>
      <c r="Q254" s="509"/>
      <c r="R254" s="572"/>
      <c r="S254" s="495">
        <f t="shared" si="57"/>
        <v>0</v>
      </c>
      <c r="T254" s="571">
        <f t="shared" si="58"/>
        <v>0</v>
      </c>
    </row>
    <row r="255" spans="1:20" ht="60" x14ac:dyDescent="0.25">
      <c r="A255" s="573" t="s">
        <v>418</v>
      </c>
      <c r="B255" s="573" t="s">
        <v>268</v>
      </c>
      <c r="C255" s="573" t="s">
        <v>269</v>
      </c>
      <c r="D255" s="564" t="s">
        <v>466</v>
      </c>
      <c r="E255" s="439"/>
      <c r="F255" s="509"/>
      <c r="G255" s="505" t="s">
        <v>271</v>
      </c>
      <c r="H255" s="509">
        <v>5.85</v>
      </c>
      <c r="I255" s="509"/>
      <c r="J255" s="509"/>
      <c r="K255" s="495">
        <f t="shared" si="55"/>
        <v>0</v>
      </c>
      <c r="L255" s="571">
        <f t="shared" si="56"/>
        <v>0</v>
      </c>
      <c r="M255" s="439">
        <v>4</v>
      </c>
      <c r="N255" s="495">
        <f t="shared" ref="N255:N256" si="68">M255/158</f>
        <v>2.5316455696202531E-2</v>
      </c>
      <c r="O255" s="505" t="s">
        <v>271</v>
      </c>
      <c r="P255" s="509">
        <v>5.85</v>
      </c>
      <c r="Q255" s="509" t="s">
        <v>272</v>
      </c>
      <c r="R255" s="572">
        <v>4.68</v>
      </c>
      <c r="S255" s="495">
        <f t="shared" si="57"/>
        <v>1.1299999999999999</v>
      </c>
      <c r="T255" s="571">
        <f t="shared" si="58"/>
        <v>5.81</v>
      </c>
    </row>
    <row r="256" spans="1:20" ht="60" x14ac:dyDescent="0.25">
      <c r="A256" s="573" t="s">
        <v>418</v>
      </c>
      <c r="B256" s="573" t="s">
        <v>268</v>
      </c>
      <c r="C256" s="573" t="s">
        <v>269</v>
      </c>
      <c r="D256" s="564" t="s">
        <v>467</v>
      </c>
      <c r="E256" s="439"/>
      <c r="F256" s="509"/>
      <c r="G256" s="505" t="s">
        <v>271</v>
      </c>
      <c r="H256" s="509">
        <v>5.85</v>
      </c>
      <c r="I256" s="509"/>
      <c r="J256" s="509"/>
      <c r="K256" s="495">
        <f t="shared" si="55"/>
        <v>0</v>
      </c>
      <c r="L256" s="571">
        <f t="shared" si="56"/>
        <v>0</v>
      </c>
      <c r="M256" s="439">
        <v>10</v>
      </c>
      <c r="N256" s="495">
        <f t="shared" si="68"/>
        <v>6.3291139240506333E-2</v>
      </c>
      <c r="O256" s="505" t="s">
        <v>271</v>
      </c>
      <c r="P256" s="509">
        <v>5.85</v>
      </c>
      <c r="Q256" s="509" t="s">
        <v>272</v>
      </c>
      <c r="R256" s="572">
        <v>11.7</v>
      </c>
      <c r="S256" s="495">
        <f t="shared" si="57"/>
        <v>2.82</v>
      </c>
      <c r="T256" s="571">
        <f t="shared" si="58"/>
        <v>14.52</v>
      </c>
    </row>
    <row r="257" spans="1:20" ht="60" x14ac:dyDescent="0.25">
      <c r="A257" s="573" t="s">
        <v>418</v>
      </c>
      <c r="B257" s="573" t="s">
        <v>268</v>
      </c>
      <c r="C257" s="573" t="s">
        <v>269</v>
      </c>
      <c r="D257" s="564" t="s">
        <v>467</v>
      </c>
      <c r="E257" s="439">
        <v>12</v>
      </c>
      <c r="F257" s="495">
        <f>E257/176</f>
        <v>6.8181818181818177E-2</v>
      </c>
      <c r="G257" s="505" t="s">
        <v>271</v>
      </c>
      <c r="H257" s="509">
        <v>5.85</v>
      </c>
      <c r="I257" s="509" t="s">
        <v>949</v>
      </c>
      <c r="J257" s="509">
        <v>35.1</v>
      </c>
      <c r="K257" s="495">
        <f t="shared" si="55"/>
        <v>8.4600000000000009</v>
      </c>
      <c r="L257" s="571">
        <f t="shared" si="56"/>
        <v>43.56</v>
      </c>
      <c r="M257" s="439"/>
      <c r="N257" s="563"/>
      <c r="O257" s="505" t="s">
        <v>271</v>
      </c>
      <c r="P257" s="509">
        <v>5.85</v>
      </c>
      <c r="Q257" s="509"/>
      <c r="R257" s="572"/>
      <c r="S257" s="495">
        <f t="shared" si="57"/>
        <v>0</v>
      </c>
      <c r="T257" s="571">
        <f t="shared" si="58"/>
        <v>0</v>
      </c>
    </row>
    <row r="258" spans="1:20" ht="60" x14ac:dyDescent="0.25">
      <c r="A258" s="573" t="s">
        <v>418</v>
      </c>
      <c r="B258" s="573" t="s">
        <v>268</v>
      </c>
      <c r="C258" s="573" t="s">
        <v>286</v>
      </c>
      <c r="D258" s="564" t="s">
        <v>468</v>
      </c>
      <c r="E258" s="439"/>
      <c r="F258" s="509"/>
      <c r="G258" s="505" t="s">
        <v>271</v>
      </c>
      <c r="H258" s="509">
        <v>5.22</v>
      </c>
      <c r="I258" s="509"/>
      <c r="J258" s="509"/>
      <c r="K258" s="495">
        <f t="shared" si="55"/>
        <v>0</v>
      </c>
      <c r="L258" s="571">
        <f t="shared" si="56"/>
        <v>0</v>
      </c>
      <c r="M258" s="439">
        <v>8</v>
      </c>
      <c r="N258" s="495">
        <f>M258/158</f>
        <v>5.0632911392405063E-2</v>
      </c>
      <c r="O258" s="505" t="s">
        <v>271</v>
      </c>
      <c r="P258" s="509">
        <v>5.22</v>
      </c>
      <c r="Q258" s="509" t="s">
        <v>272</v>
      </c>
      <c r="R258" s="572">
        <v>8.35</v>
      </c>
      <c r="S258" s="495">
        <f t="shared" si="57"/>
        <v>2.0099999999999998</v>
      </c>
      <c r="T258" s="571">
        <f t="shared" si="58"/>
        <v>10.36</v>
      </c>
    </row>
    <row r="259" spans="1:20" ht="60" x14ac:dyDescent="0.25">
      <c r="A259" s="573" t="s">
        <v>418</v>
      </c>
      <c r="B259" s="573" t="s">
        <v>268</v>
      </c>
      <c r="C259" s="573" t="s">
        <v>286</v>
      </c>
      <c r="D259" s="564" t="s">
        <v>468</v>
      </c>
      <c r="E259" s="439">
        <v>12</v>
      </c>
      <c r="F259" s="495">
        <f>E259/176</f>
        <v>6.8181818181818177E-2</v>
      </c>
      <c r="G259" s="505" t="s">
        <v>271</v>
      </c>
      <c r="H259" s="509">
        <v>5.22</v>
      </c>
      <c r="I259" s="509" t="s">
        <v>949</v>
      </c>
      <c r="J259" s="509">
        <v>31.32</v>
      </c>
      <c r="K259" s="495">
        <f t="shared" si="55"/>
        <v>7.54</v>
      </c>
      <c r="L259" s="571">
        <f t="shared" si="56"/>
        <v>38.86</v>
      </c>
      <c r="M259" s="439"/>
      <c r="N259" s="563"/>
      <c r="O259" s="505" t="s">
        <v>271</v>
      </c>
      <c r="P259" s="509">
        <v>5.22</v>
      </c>
      <c r="Q259" s="509"/>
      <c r="R259" s="572"/>
      <c r="S259" s="495">
        <f t="shared" si="57"/>
        <v>0</v>
      </c>
      <c r="T259" s="571">
        <f t="shared" si="58"/>
        <v>0</v>
      </c>
    </row>
    <row r="260" spans="1:20" ht="60" x14ac:dyDescent="0.25">
      <c r="A260" s="573" t="s">
        <v>418</v>
      </c>
      <c r="B260" s="573" t="s">
        <v>268</v>
      </c>
      <c r="C260" s="573" t="s">
        <v>286</v>
      </c>
      <c r="D260" s="564" t="s">
        <v>469</v>
      </c>
      <c r="E260" s="439"/>
      <c r="F260" s="509"/>
      <c r="G260" s="505" t="s">
        <v>271</v>
      </c>
      <c r="H260" s="509">
        <v>5.27</v>
      </c>
      <c r="I260" s="509"/>
      <c r="J260" s="509"/>
      <c r="K260" s="495">
        <f t="shared" si="55"/>
        <v>0</v>
      </c>
      <c r="L260" s="571">
        <f t="shared" si="56"/>
        <v>0</v>
      </c>
      <c r="M260" s="439">
        <v>10</v>
      </c>
      <c r="N260" s="495">
        <f>M260/158</f>
        <v>6.3291139240506333E-2</v>
      </c>
      <c r="O260" s="505" t="s">
        <v>271</v>
      </c>
      <c r="P260" s="509">
        <v>5.27</v>
      </c>
      <c r="Q260" s="509" t="s">
        <v>272</v>
      </c>
      <c r="R260" s="572">
        <v>10.54</v>
      </c>
      <c r="S260" s="495">
        <f t="shared" si="57"/>
        <v>2.54</v>
      </c>
      <c r="T260" s="571">
        <f t="shared" si="58"/>
        <v>13.079999999999998</v>
      </c>
    </row>
    <row r="261" spans="1:20" ht="60" x14ac:dyDescent="0.25">
      <c r="A261" s="573" t="s">
        <v>418</v>
      </c>
      <c r="B261" s="573" t="s">
        <v>268</v>
      </c>
      <c r="C261" s="573" t="s">
        <v>286</v>
      </c>
      <c r="D261" s="564" t="s">
        <v>469</v>
      </c>
      <c r="E261" s="439">
        <v>12</v>
      </c>
      <c r="F261" s="495">
        <f>E261/176</f>
        <v>6.8181818181818177E-2</v>
      </c>
      <c r="G261" s="505" t="s">
        <v>271</v>
      </c>
      <c r="H261" s="509">
        <v>5.27</v>
      </c>
      <c r="I261" s="509" t="s">
        <v>949</v>
      </c>
      <c r="J261" s="509">
        <v>31.62</v>
      </c>
      <c r="K261" s="495">
        <f t="shared" si="55"/>
        <v>7.62</v>
      </c>
      <c r="L261" s="571">
        <f t="shared" si="56"/>
        <v>39.24</v>
      </c>
      <c r="M261" s="439"/>
      <c r="N261" s="563"/>
      <c r="O261" s="505" t="s">
        <v>271</v>
      </c>
      <c r="P261" s="509">
        <v>5.27</v>
      </c>
      <c r="Q261" s="509"/>
      <c r="R261" s="572"/>
      <c r="S261" s="495">
        <f t="shared" si="57"/>
        <v>0</v>
      </c>
      <c r="T261" s="571">
        <f t="shared" si="58"/>
        <v>0</v>
      </c>
    </row>
    <row r="262" spans="1:20" ht="60" x14ac:dyDescent="0.25">
      <c r="A262" s="573" t="s">
        <v>418</v>
      </c>
      <c r="B262" s="573" t="s">
        <v>268</v>
      </c>
      <c r="C262" s="573" t="s">
        <v>286</v>
      </c>
      <c r="D262" s="564" t="s">
        <v>470</v>
      </c>
      <c r="E262" s="439"/>
      <c r="F262" s="509"/>
      <c r="G262" s="505" t="s">
        <v>271</v>
      </c>
      <c r="H262" s="509">
        <v>5.09</v>
      </c>
      <c r="I262" s="509"/>
      <c r="J262" s="509"/>
      <c r="K262" s="495">
        <f t="shared" si="55"/>
        <v>0</v>
      </c>
      <c r="L262" s="571">
        <f t="shared" si="56"/>
        <v>0</v>
      </c>
      <c r="M262" s="439">
        <v>12</v>
      </c>
      <c r="N262" s="495">
        <f>M262/158</f>
        <v>7.5949367088607597E-2</v>
      </c>
      <c r="O262" s="505" t="s">
        <v>271</v>
      </c>
      <c r="P262" s="509">
        <v>5.09</v>
      </c>
      <c r="Q262" s="509" t="s">
        <v>272</v>
      </c>
      <c r="R262" s="572">
        <v>12.22</v>
      </c>
      <c r="S262" s="495">
        <f t="shared" si="57"/>
        <v>2.94</v>
      </c>
      <c r="T262" s="571">
        <f t="shared" si="58"/>
        <v>15.16</v>
      </c>
    </row>
    <row r="263" spans="1:20" ht="60" x14ac:dyDescent="0.25">
      <c r="A263" s="573" t="s">
        <v>418</v>
      </c>
      <c r="B263" s="573" t="s">
        <v>268</v>
      </c>
      <c r="C263" s="573" t="s">
        <v>286</v>
      </c>
      <c r="D263" s="564" t="s">
        <v>470</v>
      </c>
      <c r="E263" s="439">
        <v>12</v>
      </c>
      <c r="F263" s="495">
        <f t="shared" ref="F263:F264" si="69">E263/176</f>
        <v>6.8181818181818177E-2</v>
      </c>
      <c r="G263" s="505" t="s">
        <v>271</v>
      </c>
      <c r="H263" s="509">
        <v>5.09</v>
      </c>
      <c r="I263" s="509" t="s">
        <v>949</v>
      </c>
      <c r="J263" s="509">
        <v>30.54</v>
      </c>
      <c r="K263" s="495">
        <f t="shared" si="55"/>
        <v>7.36</v>
      </c>
      <c r="L263" s="571">
        <f t="shared" si="56"/>
        <v>37.9</v>
      </c>
      <c r="M263" s="439"/>
      <c r="N263" s="563"/>
      <c r="O263" s="505" t="s">
        <v>271</v>
      </c>
      <c r="P263" s="509">
        <v>5.09</v>
      </c>
      <c r="Q263" s="509"/>
      <c r="R263" s="572"/>
      <c r="S263" s="495">
        <f t="shared" si="57"/>
        <v>0</v>
      </c>
      <c r="T263" s="571">
        <f t="shared" si="58"/>
        <v>0</v>
      </c>
    </row>
    <row r="264" spans="1:20" ht="60" x14ac:dyDescent="0.25">
      <c r="A264" s="573" t="s">
        <v>418</v>
      </c>
      <c r="B264" s="573" t="s">
        <v>268</v>
      </c>
      <c r="C264" s="573" t="s">
        <v>286</v>
      </c>
      <c r="D264" s="564" t="s">
        <v>929</v>
      </c>
      <c r="E264" s="439">
        <v>12</v>
      </c>
      <c r="F264" s="495">
        <f t="shared" si="69"/>
        <v>6.8181818181818177E-2</v>
      </c>
      <c r="G264" s="505" t="s">
        <v>271</v>
      </c>
      <c r="H264" s="509">
        <v>5.09</v>
      </c>
      <c r="I264" s="509" t="s">
        <v>949</v>
      </c>
      <c r="J264" s="509">
        <v>30.54</v>
      </c>
      <c r="K264" s="495">
        <f t="shared" si="55"/>
        <v>7.36</v>
      </c>
      <c r="L264" s="571">
        <f t="shared" si="56"/>
        <v>37.9</v>
      </c>
      <c r="M264" s="439"/>
      <c r="N264" s="563"/>
      <c r="O264" s="505" t="s">
        <v>271</v>
      </c>
      <c r="P264" s="509">
        <v>5.09</v>
      </c>
      <c r="Q264" s="509"/>
      <c r="R264" s="572"/>
      <c r="S264" s="495">
        <f t="shared" si="57"/>
        <v>0</v>
      </c>
      <c r="T264" s="571">
        <f t="shared" si="58"/>
        <v>0</v>
      </c>
    </row>
    <row r="265" spans="1:20" ht="60" x14ac:dyDescent="0.25">
      <c r="A265" s="573" t="s">
        <v>418</v>
      </c>
      <c r="B265" s="573" t="s">
        <v>268</v>
      </c>
      <c r="C265" s="573" t="s">
        <v>286</v>
      </c>
      <c r="D265" s="564" t="s">
        <v>471</v>
      </c>
      <c r="E265" s="439"/>
      <c r="F265" s="509"/>
      <c r="G265" s="505" t="s">
        <v>271</v>
      </c>
      <c r="H265" s="509">
        <v>5.09</v>
      </c>
      <c r="I265" s="509"/>
      <c r="J265" s="509"/>
      <c r="K265" s="495">
        <f t="shared" si="55"/>
        <v>0</v>
      </c>
      <c r="L265" s="571">
        <f t="shared" si="56"/>
        <v>0</v>
      </c>
      <c r="M265" s="439">
        <v>12</v>
      </c>
      <c r="N265" s="495">
        <f>M265/158</f>
        <v>7.5949367088607597E-2</v>
      </c>
      <c r="O265" s="505" t="s">
        <v>271</v>
      </c>
      <c r="P265" s="509">
        <v>5.09</v>
      </c>
      <c r="Q265" s="509" t="s">
        <v>272</v>
      </c>
      <c r="R265" s="572">
        <v>12.22</v>
      </c>
      <c r="S265" s="495">
        <f t="shared" si="57"/>
        <v>2.94</v>
      </c>
      <c r="T265" s="571">
        <f t="shared" si="58"/>
        <v>15.16</v>
      </c>
    </row>
    <row r="266" spans="1:20" ht="60" x14ac:dyDescent="0.25">
      <c r="A266" s="573" t="s">
        <v>418</v>
      </c>
      <c r="B266" s="573" t="s">
        <v>268</v>
      </c>
      <c r="C266" s="573" t="s">
        <v>286</v>
      </c>
      <c r="D266" s="564" t="s">
        <v>471</v>
      </c>
      <c r="E266" s="439">
        <v>36</v>
      </c>
      <c r="F266" s="495">
        <f>E266/176</f>
        <v>0.20454545454545456</v>
      </c>
      <c r="G266" s="505" t="s">
        <v>271</v>
      </c>
      <c r="H266" s="509">
        <v>5.09</v>
      </c>
      <c r="I266" s="509" t="s">
        <v>949</v>
      </c>
      <c r="J266" s="509">
        <v>91.62</v>
      </c>
      <c r="K266" s="495">
        <f t="shared" si="55"/>
        <v>22.07</v>
      </c>
      <c r="L266" s="571">
        <f t="shared" si="56"/>
        <v>113.69</v>
      </c>
      <c r="M266" s="439"/>
      <c r="N266" s="563"/>
      <c r="O266" s="505" t="s">
        <v>271</v>
      </c>
      <c r="P266" s="509">
        <v>5.09</v>
      </c>
      <c r="Q266" s="509"/>
      <c r="R266" s="572"/>
      <c r="S266" s="495">
        <f t="shared" si="57"/>
        <v>0</v>
      </c>
      <c r="T266" s="571">
        <f t="shared" si="58"/>
        <v>0</v>
      </c>
    </row>
    <row r="267" spans="1:20" ht="60" x14ac:dyDescent="0.25">
      <c r="A267" s="573" t="s">
        <v>418</v>
      </c>
      <c r="B267" s="573" t="s">
        <v>268</v>
      </c>
      <c r="C267" s="573" t="s">
        <v>286</v>
      </c>
      <c r="D267" s="564" t="s">
        <v>472</v>
      </c>
      <c r="E267" s="439"/>
      <c r="F267" s="509"/>
      <c r="G267" s="505" t="s">
        <v>271</v>
      </c>
      <c r="H267" s="509">
        <v>5.09</v>
      </c>
      <c r="I267" s="509"/>
      <c r="J267" s="509"/>
      <c r="K267" s="495">
        <f t="shared" ref="K267:K330" si="70">ROUND(J267*0.2409,2)</f>
        <v>0</v>
      </c>
      <c r="L267" s="571">
        <f t="shared" ref="L267:L330" si="71">K267+J267</f>
        <v>0</v>
      </c>
      <c r="M267" s="439">
        <v>12</v>
      </c>
      <c r="N267" s="495">
        <f>M267/158</f>
        <v>7.5949367088607597E-2</v>
      </c>
      <c r="O267" s="505" t="s">
        <v>271</v>
      </c>
      <c r="P267" s="509">
        <v>5.09</v>
      </c>
      <c r="Q267" s="509" t="s">
        <v>272</v>
      </c>
      <c r="R267" s="572">
        <v>12.22</v>
      </c>
      <c r="S267" s="495">
        <f t="shared" ref="S267:S330" si="72">ROUND(R267*0.2409,2)</f>
        <v>2.94</v>
      </c>
      <c r="T267" s="571">
        <f t="shared" ref="T267:T330" si="73">S267+R267</f>
        <v>15.16</v>
      </c>
    </row>
    <row r="268" spans="1:20" ht="60" x14ac:dyDescent="0.25">
      <c r="A268" s="573" t="s">
        <v>418</v>
      </c>
      <c r="B268" s="573" t="s">
        <v>268</v>
      </c>
      <c r="C268" s="573" t="s">
        <v>286</v>
      </c>
      <c r="D268" s="564" t="s">
        <v>472</v>
      </c>
      <c r="E268" s="439">
        <v>24</v>
      </c>
      <c r="F268" s="495">
        <f>E268/176</f>
        <v>0.13636363636363635</v>
      </c>
      <c r="G268" s="505" t="s">
        <v>271</v>
      </c>
      <c r="H268" s="509">
        <v>5.09</v>
      </c>
      <c r="I268" s="509" t="s">
        <v>949</v>
      </c>
      <c r="J268" s="509">
        <v>61.08</v>
      </c>
      <c r="K268" s="495">
        <f t="shared" si="70"/>
        <v>14.71</v>
      </c>
      <c r="L268" s="571">
        <f t="shared" si="71"/>
        <v>75.789999999999992</v>
      </c>
      <c r="M268" s="439"/>
      <c r="N268" s="563"/>
      <c r="O268" s="505" t="s">
        <v>271</v>
      </c>
      <c r="P268" s="509">
        <v>5.09</v>
      </c>
      <c r="Q268" s="509"/>
      <c r="R268" s="572"/>
      <c r="S268" s="495">
        <f t="shared" si="72"/>
        <v>0</v>
      </c>
      <c r="T268" s="571">
        <f t="shared" si="73"/>
        <v>0</v>
      </c>
    </row>
    <row r="269" spans="1:20" ht="60" x14ac:dyDescent="0.25">
      <c r="A269" s="573" t="s">
        <v>418</v>
      </c>
      <c r="B269" s="573" t="s">
        <v>268</v>
      </c>
      <c r="C269" s="573" t="s">
        <v>286</v>
      </c>
      <c r="D269" s="564" t="s">
        <v>473</v>
      </c>
      <c r="E269" s="439"/>
      <c r="F269" s="509"/>
      <c r="G269" s="505" t="s">
        <v>271</v>
      </c>
      <c r="H269" s="509">
        <v>5.09</v>
      </c>
      <c r="I269" s="509"/>
      <c r="J269" s="509"/>
      <c r="K269" s="495">
        <f t="shared" si="70"/>
        <v>0</v>
      </c>
      <c r="L269" s="571">
        <f t="shared" si="71"/>
        <v>0</v>
      </c>
      <c r="M269" s="439">
        <v>14</v>
      </c>
      <c r="N269" s="495">
        <f>M269/158</f>
        <v>8.8607594936708861E-2</v>
      </c>
      <c r="O269" s="505" t="s">
        <v>271</v>
      </c>
      <c r="P269" s="509">
        <v>5.09</v>
      </c>
      <c r="Q269" s="509" t="s">
        <v>272</v>
      </c>
      <c r="R269" s="572">
        <v>14.25</v>
      </c>
      <c r="S269" s="495">
        <f t="shared" si="72"/>
        <v>3.43</v>
      </c>
      <c r="T269" s="571">
        <f t="shared" si="73"/>
        <v>17.68</v>
      </c>
    </row>
    <row r="270" spans="1:20" ht="60" x14ac:dyDescent="0.25">
      <c r="A270" s="573" t="s">
        <v>418</v>
      </c>
      <c r="B270" s="573" t="s">
        <v>268</v>
      </c>
      <c r="C270" s="573" t="s">
        <v>286</v>
      </c>
      <c r="D270" s="564" t="s">
        <v>473</v>
      </c>
      <c r="E270" s="439">
        <v>24</v>
      </c>
      <c r="F270" s="495">
        <f>E270/176</f>
        <v>0.13636363636363635</v>
      </c>
      <c r="G270" s="505" t="s">
        <v>271</v>
      </c>
      <c r="H270" s="509">
        <v>5.09</v>
      </c>
      <c r="I270" s="509" t="s">
        <v>949</v>
      </c>
      <c r="J270" s="509">
        <v>61.08</v>
      </c>
      <c r="K270" s="495">
        <f t="shared" si="70"/>
        <v>14.71</v>
      </c>
      <c r="L270" s="571">
        <f t="shared" si="71"/>
        <v>75.789999999999992</v>
      </c>
      <c r="M270" s="439"/>
      <c r="N270" s="563"/>
      <c r="O270" s="505" t="s">
        <v>271</v>
      </c>
      <c r="P270" s="509">
        <v>5.09</v>
      </c>
      <c r="Q270" s="509"/>
      <c r="R270" s="572"/>
      <c r="S270" s="495">
        <f t="shared" si="72"/>
        <v>0</v>
      </c>
      <c r="T270" s="571">
        <f t="shared" si="73"/>
        <v>0</v>
      </c>
    </row>
    <row r="271" spans="1:20" ht="60" x14ac:dyDescent="0.25">
      <c r="A271" s="573" t="s">
        <v>418</v>
      </c>
      <c r="B271" s="573" t="s">
        <v>268</v>
      </c>
      <c r="C271" s="573" t="s">
        <v>286</v>
      </c>
      <c r="D271" s="564" t="s">
        <v>474</v>
      </c>
      <c r="E271" s="439"/>
      <c r="F271" s="509"/>
      <c r="G271" s="505" t="s">
        <v>271</v>
      </c>
      <c r="H271" s="509">
        <v>5.09</v>
      </c>
      <c r="I271" s="509"/>
      <c r="J271" s="509"/>
      <c r="K271" s="495">
        <f t="shared" si="70"/>
        <v>0</v>
      </c>
      <c r="L271" s="571">
        <f t="shared" si="71"/>
        <v>0</v>
      </c>
      <c r="M271" s="439">
        <v>20</v>
      </c>
      <c r="N271" s="495">
        <f>M271/158</f>
        <v>0.12658227848101267</v>
      </c>
      <c r="O271" s="505" t="s">
        <v>271</v>
      </c>
      <c r="P271" s="509">
        <v>5.09</v>
      </c>
      <c r="Q271" s="509" t="s">
        <v>272</v>
      </c>
      <c r="R271" s="572">
        <v>20.36</v>
      </c>
      <c r="S271" s="495">
        <f t="shared" si="72"/>
        <v>4.9000000000000004</v>
      </c>
      <c r="T271" s="571">
        <f t="shared" si="73"/>
        <v>25.259999999999998</v>
      </c>
    </row>
    <row r="272" spans="1:20" ht="60" x14ac:dyDescent="0.25">
      <c r="A272" s="573" t="s">
        <v>418</v>
      </c>
      <c r="B272" s="573" t="s">
        <v>268</v>
      </c>
      <c r="C272" s="573" t="s">
        <v>286</v>
      </c>
      <c r="D272" s="564" t="s">
        <v>474</v>
      </c>
      <c r="E272" s="439">
        <v>24</v>
      </c>
      <c r="F272" s="495">
        <f>E272/176</f>
        <v>0.13636363636363635</v>
      </c>
      <c r="G272" s="505" t="s">
        <v>271</v>
      </c>
      <c r="H272" s="509">
        <v>5.09</v>
      </c>
      <c r="I272" s="509" t="s">
        <v>949</v>
      </c>
      <c r="J272" s="509">
        <v>61.08</v>
      </c>
      <c r="K272" s="495">
        <f t="shared" si="70"/>
        <v>14.71</v>
      </c>
      <c r="L272" s="571">
        <f t="shared" si="71"/>
        <v>75.789999999999992</v>
      </c>
      <c r="M272" s="439"/>
      <c r="N272" s="563"/>
      <c r="O272" s="505" t="s">
        <v>271</v>
      </c>
      <c r="P272" s="509">
        <v>5.09</v>
      </c>
      <c r="Q272" s="509"/>
      <c r="R272" s="572"/>
      <c r="S272" s="495">
        <f t="shared" si="72"/>
        <v>0</v>
      </c>
      <c r="T272" s="571">
        <f t="shared" si="73"/>
        <v>0</v>
      </c>
    </row>
    <row r="273" spans="1:20" ht="60" x14ac:dyDescent="0.25">
      <c r="A273" s="573" t="s">
        <v>418</v>
      </c>
      <c r="B273" s="573" t="s">
        <v>268</v>
      </c>
      <c r="C273" s="573" t="s">
        <v>286</v>
      </c>
      <c r="D273" s="564" t="s">
        <v>475</v>
      </c>
      <c r="E273" s="439"/>
      <c r="F273" s="509"/>
      <c r="G273" s="505" t="s">
        <v>271</v>
      </c>
      <c r="H273" s="509">
        <v>5.09</v>
      </c>
      <c r="I273" s="509"/>
      <c r="J273" s="509"/>
      <c r="K273" s="495">
        <f t="shared" si="70"/>
        <v>0</v>
      </c>
      <c r="L273" s="571">
        <f t="shared" si="71"/>
        <v>0</v>
      </c>
      <c r="M273" s="439">
        <v>30</v>
      </c>
      <c r="N273" s="495">
        <f>M273/158</f>
        <v>0.189873417721519</v>
      </c>
      <c r="O273" s="505" t="s">
        <v>271</v>
      </c>
      <c r="P273" s="509">
        <v>5.09</v>
      </c>
      <c r="Q273" s="509" t="s">
        <v>272</v>
      </c>
      <c r="R273" s="572">
        <v>30.54</v>
      </c>
      <c r="S273" s="495">
        <f t="shared" si="72"/>
        <v>7.36</v>
      </c>
      <c r="T273" s="571">
        <f t="shared" si="73"/>
        <v>37.9</v>
      </c>
    </row>
    <row r="274" spans="1:20" ht="60" x14ac:dyDescent="0.25">
      <c r="A274" s="573" t="s">
        <v>418</v>
      </c>
      <c r="B274" s="573" t="s">
        <v>268</v>
      </c>
      <c r="C274" s="573" t="s">
        <v>286</v>
      </c>
      <c r="D274" s="564" t="s">
        <v>475</v>
      </c>
      <c r="E274" s="439">
        <v>12</v>
      </c>
      <c r="F274" s="495">
        <f>E274/176</f>
        <v>6.8181818181818177E-2</v>
      </c>
      <c r="G274" s="505" t="s">
        <v>271</v>
      </c>
      <c r="H274" s="509">
        <v>5.09</v>
      </c>
      <c r="I274" s="509" t="s">
        <v>949</v>
      </c>
      <c r="J274" s="509">
        <v>30.54</v>
      </c>
      <c r="K274" s="495">
        <f t="shared" si="70"/>
        <v>7.36</v>
      </c>
      <c r="L274" s="571">
        <f t="shared" si="71"/>
        <v>37.9</v>
      </c>
      <c r="M274" s="439"/>
      <c r="N274" s="563"/>
      <c r="O274" s="505" t="s">
        <v>271</v>
      </c>
      <c r="P274" s="509">
        <v>5.09</v>
      </c>
      <c r="Q274" s="509"/>
      <c r="R274" s="572"/>
      <c r="S274" s="495">
        <f t="shared" si="72"/>
        <v>0</v>
      </c>
      <c r="T274" s="571">
        <f t="shared" si="73"/>
        <v>0</v>
      </c>
    </row>
    <row r="275" spans="1:20" ht="60" x14ac:dyDescent="0.25">
      <c r="A275" s="573" t="s">
        <v>418</v>
      </c>
      <c r="B275" s="573" t="s">
        <v>268</v>
      </c>
      <c r="C275" s="573" t="s">
        <v>286</v>
      </c>
      <c r="D275" s="564" t="s">
        <v>476</v>
      </c>
      <c r="E275" s="439"/>
      <c r="F275" s="509"/>
      <c r="G275" s="505" t="s">
        <v>271</v>
      </c>
      <c r="H275" s="509">
        <v>5.09</v>
      </c>
      <c r="I275" s="509"/>
      <c r="J275" s="509"/>
      <c r="K275" s="495">
        <f t="shared" si="70"/>
        <v>0</v>
      </c>
      <c r="L275" s="571">
        <f t="shared" si="71"/>
        <v>0</v>
      </c>
      <c r="M275" s="439">
        <v>4</v>
      </c>
      <c r="N275" s="495">
        <f t="shared" ref="N275:N276" si="74">M275/158</f>
        <v>2.5316455696202531E-2</v>
      </c>
      <c r="O275" s="505" t="s">
        <v>271</v>
      </c>
      <c r="P275" s="509">
        <v>5.09</v>
      </c>
      <c r="Q275" s="509" t="s">
        <v>272</v>
      </c>
      <c r="R275" s="572">
        <v>4.07</v>
      </c>
      <c r="S275" s="495">
        <f t="shared" si="72"/>
        <v>0.98</v>
      </c>
      <c r="T275" s="571">
        <f t="shared" si="73"/>
        <v>5.0500000000000007</v>
      </c>
    </row>
    <row r="276" spans="1:20" ht="60" x14ac:dyDescent="0.25">
      <c r="A276" s="573" t="s">
        <v>418</v>
      </c>
      <c r="B276" s="573" t="s">
        <v>268</v>
      </c>
      <c r="C276" s="573" t="s">
        <v>286</v>
      </c>
      <c r="D276" s="564" t="s">
        <v>477</v>
      </c>
      <c r="E276" s="439"/>
      <c r="F276" s="509"/>
      <c r="G276" s="505" t="s">
        <v>271</v>
      </c>
      <c r="H276" s="509">
        <v>5.09</v>
      </c>
      <c r="I276" s="509"/>
      <c r="J276" s="509"/>
      <c r="K276" s="495">
        <f t="shared" si="70"/>
        <v>0</v>
      </c>
      <c r="L276" s="571">
        <f t="shared" si="71"/>
        <v>0</v>
      </c>
      <c r="M276" s="439">
        <v>26</v>
      </c>
      <c r="N276" s="495">
        <f t="shared" si="74"/>
        <v>0.16455696202531644</v>
      </c>
      <c r="O276" s="505" t="s">
        <v>271</v>
      </c>
      <c r="P276" s="509">
        <v>5.09</v>
      </c>
      <c r="Q276" s="509" t="s">
        <v>272</v>
      </c>
      <c r="R276" s="572">
        <v>26.47</v>
      </c>
      <c r="S276" s="495">
        <f t="shared" si="72"/>
        <v>6.38</v>
      </c>
      <c r="T276" s="571">
        <f t="shared" si="73"/>
        <v>32.85</v>
      </c>
    </row>
    <row r="277" spans="1:20" ht="60" x14ac:dyDescent="0.25">
      <c r="A277" s="573" t="s">
        <v>418</v>
      </c>
      <c r="B277" s="573" t="s">
        <v>268</v>
      </c>
      <c r="C277" s="573" t="s">
        <v>286</v>
      </c>
      <c r="D277" s="564" t="s">
        <v>477</v>
      </c>
      <c r="E277" s="439">
        <v>24</v>
      </c>
      <c r="F277" s="495">
        <f t="shared" ref="F277:F278" si="75">E277/176</f>
        <v>0.13636363636363635</v>
      </c>
      <c r="G277" s="505" t="s">
        <v>271</v>
      </c>
      <c r="H277" s="509">
        <v>5.09</v>
      </c>
      <c r="I277" s="509" t="s">
        <v>949</v>
      </c>
      <c r="J277" s="509">
        <v>61.08</v>
      </c>
      <c r="K277" s="495">
        <f t="shared" si="70"/>
        <v>14.71</v>
      </c>
      <c r="L277" s="571">
        <f t="shared" si="71"/>
        <v>75.789999999999992</v>
      </c>
      <c r="M277" s="439"/>
      <c r="N277" s="563"/>
      <c r="O277" s="505" t="s">
        <v>271</v>
      </c>
      <c r="P277" s="509">
        <v>5.09</v>
      </c>
      <c r="Q277" s="509"/>
      <c r="R277" s="572"/>
      <c r="S277" s="495">
        <f t="shared" si="72"/>
        <v>0</v>
      </c>
      <c r="T277" s="571">
        <f t="shared" si="73"/>
        <v>0</v>
      </c>
    </row>
    <row r="278" spans="1:20" ht="60" x14ac:dyDescent="0.25">
      <c r="A278" s="573" t="s">
        <v>418</v>
      </c>
      <c r="B278" s="573" t="s">
        <v>268</v>
      </c>
      <c r="C278" s="573" t="s">
        <v>286</v>
      </c>
      <c r="D278" s="564" t="s">
        <v>930</v>
      </c>
      <c r="E278" s="439">
        <v>37.5</v>
      </c>
      <c r="F278" s="495">
        <f t="shared" si="75"/>
        <v>0.21306818181818182</v>
      </c>
      <c r="G278" s="505" t="s">
        <v>271</v>
      </c>
      <c r="H278" s="509">
        <v>5.09</v>
      </c>
      <c r="I278" s="509" t="s">
        <v>949</v>
      </c>
      <c r="J278" s="509">
        <v>95.44</v>
      </c>
      <c r="K278" s="495">
        <f t="shared" si="70"/>
        <v>22.99</v>
      </c>
      <c r="L278" s="571">
        <f t="shared" si="71"/>
        <v>118.42999999999999</v>
      </c>
      <c r="M278" s="439"/>
      <c r="N278" s="563"/>
      <c r="O278" s="505" t="s">
        <v>271</v>
      </c>
      <c r="P278" s="509">
        <v>5.09</v>
      </c>
      <c r="Q278" s="509"/>
      <c r="R278" s="572"/>
      <c r="S278" s="495">
        <f t="shared" si="72"/>
        <v>0</v>
      </c>
      <c r="T278" s="571">
        <f t="shared" si="73"/>
        <v>0</v>
      </c>
    </row>
    <row r="279" spans="1:20" ht="60" x14ac:dyDescent="0.25">
      <c r="A279" s="573" t="s">
        <v>418</v>
      </c>
      <c r="B279" s="573" t="s">
        <v>268</v>
      </c>
      <c r="C279" s="573" t="s">
        <v>18</v>
      </c>
      <c r="D279" s="564" t="s">
        <v>478</v>
      </c>
      <c r="E279" s="439"/>
      <c r="F279" s="509"/>
      <c r="G279" s="505" t="s">
        <v>271</v>
      </c>
      <c r="H279" s="509">
        <v>4.5199999999999996</v>
      </c>
      <c r="I279" s="509"/>
      <c r="J279" s="509"/>
      <c r="K279" s="495">
        <f t="shared" si="70"/>
        <v>0</v>
      </c>
      <c r="L279" s="571">
        <f t="shared" si="71"/>
        <v>0</v>
      </c>
      <c r="M279" s="439">
        <v>6</v>
      </c>
      <c r="N279" s="495">
        <f t="shared" ref="N279:N280" si="76">M279/158</f>
        <v>3.7974683544303799E-2</v>
      </c>
      <c r="O279" s="505" t="s">
        <v>271</v>
      </c>
      <c r="P279" s="509">
        <v>4.5199999999999996</v>
      </c>
      <c r="Q279" s="509" t="s">
        <v>272</v>
      </c>
      <c r="R279" s="572">
        <v>5.42</v>
      </c>
      <c r="S279" s="495">
        <f t="shared" si="72"/>
        <v>1.31</v>
      </c>
      <c r="T279" s="571">
        <f t="shared" si="73"/>
        <v>6.73</v>
      </c>
    </row>
    <row r="280" spans="1:20" ht="60" x14ac:dyDescent="0.25">
      <c r="A280" s="573" t="s">
        <v>418</v>
      </c>
      <c r="B280" s="573" t="s">
        <v>268</v>
      </c>
      <c r="C280" s="573" t="s">
        <v>479</v>
      </c>
      <c r="D280" s="564" t="s">
        <v>480</v>
      </c>
      <c r="E280" s="439"/>
      <c r="F280" s="509"/>
      <c r="G280" s="505" t="s">
        <v>289</v>
      </c>
      <c r="H280" s="509">
        <v>1469.7</v>
      </c>
      <c r="I280" s="509"/>
      <c r="J280" s="509"/>
      <c r="K280" s="495">
        <f t="shared" si="70"/>
        <v>0</v>
      </c>
      <c r="L280" s="571">
        <f t="shared" si="71"/>
        <v>0</v>
      </c>
      <c r="M280" s="439">
        <v>79</v>
      </c>
      <c r="N280" s="495">
        <f t="shared" si="76"/>
        <v>0.5</v>
      </c>
      <c r="O280" s="505" t="s">
        <v>289</v>
      </c>
      <c r="P280" s="509">
        <v>1469.7</v>
      </c>
      <c r="Q280" s="509" t="s">
        <v>272</v>
      </c>
      <c r="R280" s="572">
        <v>146.96</v>
      </c>
      <c r="S280" s="495">
        <f t="shared" si="72"/>
        <v>35.4</v>
      </c>
      <c r="T280" s="571">
        <f t="shared" si="73"/>
        <v>182.36</v>
      </c>
    </row>
    <row r="281" spans="1:20" ht="60" x14ac:dyDescent="0.25">
      <c r="A281" s="573" t="s">
        <v>418</v>
      </c>
      <c r="B281" s="573" t="s">
        <v>268</v>
      </c>
      <c r="C281" s="573" t="s">
        <v>479</v>
      </c>
      <c r="D281" s="564" t="s">
        <v>480</v>
      </c>
      <c r="E281" s="439">
        <v>8</v>
      </c>
      <c r="F281" s="495">
        <f t="shared" ref="F281:F282" si="77">E281/176</f>
        <v>4.5454545454545456E-2</v>
      </c>
      <c r="G281" s="505" t="s">
        <v>289</v>
      </c>
      <c r="H281" s="509">
        <v>1469.7</v>
      </c>
      <c r="I281" s="509" t="s">
        <v>950</v>
      </c>
      <c r="J281" s="509">
        <v>20.04</v>
      </c>
      <c r="K281" s="495">
        <f t="shared" si="70"/>
        <v>4.83</v>
      </c>
      <c r="L281" s="571">
        <f t="shared" si="71"/>
        <v>24.869999999999997</v>
      </c>
      <c r="M281" s="439"/>
      <c r="N281" s="563"/>
      <c r="O281" s="505" t="s">
        <v>289</v>
      </c>
      <c r="P281" s="509">
        <v>1469.7</v>
      </c>
      <c r="Q281" s="509"/>
      <c r="R281" s="572"/>
      <c r="S281" s="495">
        <f t="shared" si="72"/>
        <v>0</v>
      </c>
      <c r="T281" s="571">
        <f t="shared" si="73"/>
        <v>0</v>
      </c>
    </row>
    <row r="282" spans="1:20" ht="60" x14ac:dyDescent="0.25">
      <c r="A282" s="573" t="s">
        <v>418</v>
      </c>
      <c r="B282" s="573" t="s">
        <v>268</v>
      </c>
      <c r="C282" s="573" t="s">
        <v>479</v>
      </c>
      <c r="D282" s="564" t="s">
        <v>480</v>
      </c>
      <c r="E282" s="439">
        <v>12</v>
      </c>
      <c r="F282" s="495">
        <f t="shared" si="77"/>
        <v>6.8181818181818177E-2</v>
      </c>
      <c r="G282" s="505" t="s">
        <v>289</v>
      </c>
      <c r="H282" s="509">
        <v>1469.7</v>
      </c>
      <c r="I282" s="509" t="s">
        <v>949</v>
      </c>
      <c r="J282" s="509">
        <v>50.11</v>
      </c>
      <c r="K282" s="495">
        <f t="shared" si="70"/>
        <v>12.07</v>
      </c>
      <c r="L282" s="571">
        <f t="shared" si="71"/>
        <v>62.18</v>
      </c>
      <c r="M282" s="439"/>
      <c r="N282" s="563"/>
      <c r="O282" s="505" t="s">
        <v>289</v>
      </c>
      <c r="P282" s="509">
        <v>1469.7</v>
      </c>
      <c r="Q282" s="509"/>
      <c r="R282" s="572"/>
      <c r="S282" s="495">
        <f t="shared" si="72"/>
        <v>0</v>
      </c>
      <c r="T282" s="571">
        <f t="shared" si="73"/>
        <v>0</v>
      </c>
    </row>
    <row r="283" spans="1:20" ht="60" x14ac:dyDescent="0.25">
      <c r="A283" s="573" t="s">
        <v>418</v>
      </c>
      <c r="B283" s="573" t="s">
        <v>290</v>
      </c>
      <c r="C283" s="573" t="s">
        <v>291</v>
      </c>
      <c r="D283" s="564" t="s">
        <v>481</v>
      </c>
      <c r="E283" s="439"/>
      <c r="F283" s="509"/>
      <c r="G283" s="505" t="s">
        <v>271</v>
      </c>
      <c r="H283" s="509">
        <v>3.42</v>
      </c>
      <c r="I283" s="509"/>
      <c r="J283" s="509"/>
      <c r="K283" s="495">
        <f t="shared" si="70"/>
        <v>0</v>
      </c>
      <c r="L283" s="571">
        <f t="shared" si="71"/>
        <v>0</v>
      </c>
      <c r="M283" s="439">
        <v>2</v>
      </c>
      <c r="N283" s="495">
        <f>M283/158</f>
        <v>1.2658227848101266E-2</v>
      </c>
      <c r="O283" s="505" t="s">
        <v>271</v>
      </c>
      <c r="P283" s="509">
        <v>3.42</v>
      </c>
      <c r="Q283" s="509" t="s">
        <v>272</v>
      </c>
      <c r="R283" s="572">
        <v>1.37</v>
      </c>
      <c r="S283" s="495">
        <f t="shared" si="72"/>
        <v>0.33</v>
      </c>
      <c r="T283" s="571">
        <f t="shared" si="73"/>
        <v>1.7000000000000002</v>
      </c>
    </row>
    <row r="284" spans="1:20" ht="60" x14ac:dyDescent="0.25">
      <c r="A284" s="573" t="s">
        <v>418</v>
      </c>
      <c r="B284" s="573" t="s">
        <v>290</v>
      </c>
      <c r="C284" s="573" t="s">
        <v>291</v>
      </c>
      <c r="D284" s="564" t="s">
        <v>481</v>
      </c>
      <c r="E284" s="439">
        <v>12</v>
      </c>
      <c r="F284" s="495">
        <f>E284/176</f>
        <v>6.8181818181818177E-2</v>
      </c>
      <c r="G284" s="505" t="s">
        <v>271</v>
      </c>
      <c r="H284" s="509">
        <v>3.42</v>
      </c>
      <c r="I284" s="509" t="s">
        <v>949</v>
      </c>
      <c r="J284" s="509">
        <v>20.52</v>
      </c>
      <c r="K284" s="495">
        <f t="shared" si="70"/>
        <v>4.9400000000000004</v>
      </c>
      <c r="L284" s="571">
        <f t="shared" si="71"/>
        <v>25.46</v>
      </c>
      <c r="M284" s="439"/>
      <c r="N284" s="563"/>
      <c r="O284" s="505" t="s">
        <v>271</v>
      </c>
      <c r="P284" s="509">
        <v>3.42</v>
      </c>
      <c r="Q284" s="509"/>
      <c r="R284" s="572"/>
      <c r="S284" s="495">
        <f t="shared" si="72"/>
        <v>0</v>
      </c>
      <c r="T284" s="571">
        <f t="shared" si="73"/>
        <v>0</v>
      </c>
    </row>
    <row r="285" spans="1:20" ht="60" x14ac:dyDescent="0.25">
      <c r="A285" s="573" t="s">
        <v>418</v>
      </c>
      <c r="B285" s="573" t="s">
        <v>290</v>
      </c>
      <c r="C285" s="573" t="s">
        <v>291</v>
      </c>
      <c r="D285" s="564" t="s">
        <v>482</v>
      </c>
      <c r="E285" s="439"/>
      <c r="F285" s="509"/>
      <c r="G285" s="505" t="s">
        <v>271</v>
      </c>
      <c r="H285" s="509">
        <v>3.42</v>
      </c>
      <c r="I285" s="509"/>
      <c r="J285" s="509"/>
      <c r="K285" s="495">
        <f t="shared" si="70"/>
        <v>0</v>
      </c>
      <c r="L285" s="571">
        <f t="shared" si="71"/>
        <v>0</v>
      </c>
      <c r="M285" s="439">
        <v>4</v>
      </c>
      <c r="N285" s="495">
        <f>M285/158</f>
        <v>2.5316455696202531E-2</v>
      </c>
      <c r="O285" s="505" t="s">
        <v>271</v>
      </c>
      <c r="P285" s="509">
        <v>3.42</v>
      </c>
      <c r="Q285" s="509" t="s">
        <v>272</v>
      </c>
      <c r="R285" s="572">
        <v>2.74</v>
      </c>
      <c r="S285" s="495">
        <f t="shared" si="72"/>
        <v>0.66</v>
      </c>
      <c r="T285" s="571">
        <f t="shared" si="73"/>
        <v>3.4000000000000004</v>
      </c>
    </row>
    <row r="286" spans="1:20" ht="60" x14ac:dyDescent="0.25">
      <c r="A286" s="573" t="s">
        <v>418</v>
      </c>
      <c r="B286" s="573" t="s">
        <v>290</v>
      </c>
      <c r="C286" s="573" t="s">
        <v>291</v>
      </c>
      <c r="D286" s="564" t="s">
        <v>482</v>
      </c>
      <c r="E286" s="439">
        <v>12</v>
      </c>
      <c r="F286" s="495">
        <f>E286/176</f>
        <v>6.8181818181818177E-2</v>
      </c>
      <c r="G286" s="505" t="s">
        <v>271</v>
      </c>
      <c r="H286" s="509">
        <v>3.42</v>
      </c>
      <c r="I286" s="509" t="s">
        <v>949</v>
      </c>
      <c r="J286" s="509">
        <v>20.52</v>
      </c>
      <c r="K286" s="495">
        <f t="shared" si="70"/>
        <v>4.9400000000000004</v>
      </c>
      <c r="L286" s="571">
        <f t="shared" si="71"/>
        <v>25.46</v>
      </c>
      <c r="M286" s="439"/>
      <c r="N286" s="563"/>
      <c r="O286" s="505" t="s">
        <v>271</v>
      </c>
      <c r="P286" s="509">
        <v>3.42</v>
      </c>
      <c r="Q286" s="509"/>
      <c r="R286" s="572"/>
      <c r="S286" s="495">
        <f t="shared" si="72"/>
        <v>0</v>
      </c>
      <c r="T286" s="571">
        <f t="shared" si="73"/>
        <v>0</v>
      </c>
    </row>
    <row r="287" spans="1:20" ht="60" x14ac:dyDescent="0.25">
      <c r="A287" s="573" t="s">
        <v>418</v>
      </c>
      <c r="B287" s="573" t="s">
        <v>290</v>
      </c>
      <c r="C287" s="573" t="s">
        <v>291</v>
      </c>
      <c r="D287" s="564" t="s">
        <v>483</v>
      </c>
      <c r="E287" s="439"/>
      <c r="F287" s="509"/>
      <c r="G287" s="505" t="s">
        <v>271</v>
      </c>
      <c r="H287" s="509">
        <v>3.42</v>
      </c>
      <c r="I287" s="509"/>
      <c r="J287" s="509"/>
      <c r="K287" s="495">
        <f t="shared" si="70"/>
        <v>0</v>
      </c>
      <c r="L287" s="571">
        <f t="shared" si="71"/>
        <v>0</v>
      </c>
      <c r="M287" s="439">
        <v>4</v>
      </c>
      <c r="N287" s="495">
        <f>M287/158</f>
        <v>2.5316455696202531E-2</v>
      </c>
      <c r="O287" s="505" t="s">
        <v>271</v>
      </c>
      <c r="P287" s="509">
        <v>3.42</v>
      </c>
      <c r="Q287" s="509" t="s">
        <v>272</v>
      </c>
      <c r="R287" s="572">
        <v>2.74</v>
      </c>
      <c r="S287" s="495">
        <f t="shared" si="72"/>
        <v>0.66</v>
      </c>
      <c r="T287" s="571">
        <f t="shared" si="73"/>
        <v>3.4000000000000004</v>
      </c>
    </row>
    <row r="288" spans="1:20" ht="60" x14ac:dyDescent="0.25">
      <c r="A288" s="573" t="s">
        <v>418</v>
      </c>
      <c r="B288" s="573" t="s">
        <v>290</v>
      </c>
      <c r="C288" s="573" t="s">
        <v>291</v>
      </c>
      <c r="D288" s="564" t="s">
        <v>483</v>
      </c>
      <c r="E288" s="439">
        <v>12</v>
      </c>
      <c r="F288" s="495">
        <f>E288/176</f>
        <v>6.8181818181818177E-2</v>
      </c>
      <c r="G288" s="505" t="s">
        <v>271</v>
      </c>
      <c r="H288" s="509">
        <v>3.42</v>
      </c>
      <c r="I288" s="509" t="s">
        <v>949</v>
      </c>
      <c r="J288" s="509">
        <v>20.52</v>
      </c>
      <c r="K288" s="495">
        <f t="shared" si="70"/>
        <v>4.9400000000000004</v>
      </c>
      <c r="L288" s="571">
        <f t="shared" si="71"/>
        <v>25.46</v>
      </c>
      <c r="M288" s="439"/>
      <c r="N288" s="563"/>
      <c r="O288" s="505" t="s">
        <v>271</v>
      </c>
      <c r="P288" s="509">
        <v>3.42</v>
      </c>
      <c r="Q288" s="509"/>
      <c r="R288" s="572"/>
      <c r="S288" s="495">
        <f t="shared" si="72"/>
        <v>0</v>
      </c>
      <c r="T288" s="571">
        <f t="shared" si="73"/>
        <v>0</v>
      </c>
    </row>
    <row r="289" spans="1:20" ht="60" x14ac:dyDescent="0.25">
      <c r="A289" s="573" t="s">
        <v>418</v>
      </c>
      <c r="B289" s="573" t="s">
        <v>290</v>
      </c>
      <c r="C289" s="573" t="s">
        <v>291</v>
      </c>
      <c r="D289" s="564" t="s">
        <v>484</v>
      </c>
      <c r="E289" s="439"/>
      <c r="F289" s="509"/>
      <c r="G289" s="505" t="s">
        <v>271</v>
      </c>
      <c r="H289" s="509">
        <v>3.42</v>
      </c>
      <c r="I289" s="509"/>
      <c r="J289" s="509"/>
      <c r="K289" s="495">
        <f t="shared" si="70"/>
        <v>0</v>
      </c>
      <c r="L289" s="571">
        <f t="shared" si="71"/>
        <v>0</v>
      </c>
      <c r="M289" s="439">
        <v>2</v>
      </c>
      <c r="N289" s="495">
        <f>M289/158</f>
        <v>1.2658227848101266E-2</v>
      </c>
      <c r="O289" s="505" t="s">
        <v>271</v>
      </c>
      <c r="P289" s="509">
        <v>3.42</v>
      </c>
      <c r="Q289" s="509" t="s">
        <v>272</v>
      </c>
      <c r="R289" s="572">
        <v>1.37</v>
      </c>
      <c r="S289" s="495">
        <f t="shared" si="72"/>
        <v>0.33</v>
      </c>
      <c r="T289" s="571">
        <f t="shared" si="73"/>
        <v>1.7000000000000002</v>
      </c>
    </row>
    <row r="290" spans="1:20" ht="60" x14ac:dyDescent="0.25">
      <c r="A290" s="573" t="s">
        <v>418</v>
      </c>
      <c r="B290" s="573" t="s">
        <v>290</v>
      </c>
      <c r="C290" s="573" t="s">
        <v>291</v>
      </c>
      <c r="D290" s="564" t="s">
        <v>931</v>
      </c>
      <c r="E290" s="439">
        <v>12</v>
      </c>
      <c r="F290" s="495">
        <f t="shared" ref="F290:F291" si="78">E290/176</f>
        <v>6.8181818181818177E-2</v>
      </c>
      <c r="G290" s="505" t="s">
        <v>271</v>
      </c>
      <c r="H290" s="509">
        <v>3.42</v>
      </c>
      <c r="I290" s="509" t="s">
        <v>949</v>
      </c>
      <c r="J290" s="509">
        <v>20.52</v>
      </c>
      <c r="K290" s="495">
        <f t="shared" si="70"/>
        <v>4.9400000000000004</v>
      </c>
      <c r="L290" s="571">
        <f t="shared" si="71"/>
        <v>25.46</v>
      </c>
      <c r="M290" s="439"/>
      <c r="N290" s="563"/>
      <c r="O290" s="505" t="s">
        <v>271</v>
      </c>
      <c r="P290" s="509">
        <v>3.42</v>
      </c>
      <c r="Q290" s="509"/>
      <c r="R290" s="572"/>
      <c r="S290" s="495">
        <f t="shared" si="72"/>
        <v>0</v>
      </c>
      <c r="T290" s="571">
        <f t="shared" si="73"/>
        <v>0</v>
      </c>
    </row>
    <row r="291" spans="1:20" ht="60" x14ac:dyDescent="0.25">
      <c r="A291" s="573" t="s">
        <v>418</v>
      </c>
      <c r="B291" s="573" t="s">
        <v>290</v>
      </c>
      <c r="C291" s="573" t="s">
        <v>291</v>
      </c>
      <c r="D291" s="564" t="s">
        <v>932</v>
      </c>
      <c r="E291" s="439">
        <v>12</v>
      </c>
      <c r="F291" s="495">
        <f t="shared" si="78"/>
        <v>6.8181818181818177E-2</v>
      </c>
      <c r="G291" s="505" t="s">
        <v>271</v>
      </c>
      <c r="H291" s="509">
        <v>3.42</v>
      </c>
      <c r="I291" s="509" t="s">
        <v>949</v>
      </c>
      <c r="J291" s="509">
        <v>20.52</v>
      </c>
      <c r="K291" s="495">
        <f t="shared" si="70"/>
        <v>4.9400000000000004</v>
      </c>
      <c r="L291" s="571">
        <f t="shared" si="71"/>
        <v>25.46</v>
      </c>
      <c r="M291" s="439"/>
      <c r="N291" s="563"/>
      <c r="O291" s="505" t="s">
        <v>271</v>
      </c>
      <c r="P291" s="509">
        <v>3.42</v>
      </c>
      <c r="Q291" s="509"/>
      <c r="R291" s="572"/>
      <c r="S291" s="495">
        <f t="shared" si="72"/>
        <v>0</v>
      </c>
      <c r="T291" s="571">
        <f t="shared" si="73"/>
        <v>0</v>
      </c>
    </row>
    <row r="292" spans="1:20" ht="60" x14ac:dyDescent="0.25">
      <c r="A292" s="573" t="s">
        <v>418</v>
      </c>
      <c r="B292" s="573" t="s">
        <v>290</v>
      </c>
      <c r="C292" s="573" t="s">
        <v>291</v>
      </c>
      <c r="D292" s="564" t="s">
        <v>485</v>
      </c>
      <c r="E292" s="439"/>
      <c r="F292" s="509"/>
      <c r="G292" s="505" t="s">
        <v>271</v>
      </c>
      <c r="H292" s="509">
        <v>3.42</v>
      </c>
      <c r="I292" s="509"/>
      <c r="J292" s="509"/>
      <c r="K292" s="495">
        <f t="shared" si="70"/>
        <v>0</v>
      </c>
      <c r="L292" s="571">
        <f t="shared" si="71"/>
        <v>0</v>
      </c>
      <c r="M292" s="439">
        <v>2</v>
      </c>
      <c r="N292" s="495">
        <f>M292/158</f>
        <v>1.2658227848101266E-2</v>
      </c>
      <c r="O292" s="505" t="s">
        <v>271</v>
      </c>
      <c r="P292" s="509">
        <v>3.42</v>
      </c>
      <c r="Q292" s="509" t="s">
        <v>272</v>
      </c>
      <c r="R292" s="572">
        <v>1.37</v>
      </c>
      <c r="S292" s="495">
        <f t="shared" si="72"/>
        <v>0.33</v>
      </c>
      <c r="T292" s="571">
        <f t="shared" si="73"/>
        <v>1.7000000000000002</v>
      </c>
    </row>
    <row r="293" spans="1:20" ht="60" x14ac:dyDescent="0.25">
      <c r="A293" s="573" t="s">
        <v>418</v>
      </c>
      <c r="B293" s="573" t="s">
        <v>290</v>
      </c>
      <c r="C293" s="573" t="s">
        <v>291</v>
      </c>
      <c r="D293" s="564" t="s">
        <v>485</v>
      </c>
      <c r="E293" s="439">
        <v>12</v>
      </c>
      <c r="F293" s="495">
        <f>E293/176</f>
        <v>6.8181818181818177E-2</v>
      </c>
      <c r="G293" s="505" t="s">
        <v>271</v>
      </c>
      <c r="H293" s="509">
        <v>3.42</v>
      </c>
      <c r="I293" s="509" t="s">
        <v>949</v>
      </c>
      <c r="J293" s="509">
        <v>20.52</v>
      </c>
      <c r="K293" s="495">
        <f t="shared" si="70"/>
        <v>4.9400000000000004</v>
      </c>
      <c r="L293" s="571">
        <f t="shared" si="71"/>
        <v>25.46</v>
      </c>
      <c r="M293" s="439"/>
      <c r="N293" s="563"/>
      <c r="O293" s="505" t="s">
        <v>271</v>
      </c>
      <c r="P293" s="509">
        <v>3.42</v>
      </c>
      <c r="Q293" s="509"/>
      <c r="R293" s="572"/>
      <c r="S293" s="495">
        <f t="shared" si="72"/>
        <v>0</v>
      </c>
      <c r="T293" s="571">
        <f t="shared" si="73"/>
        <v>0</v>
      </c>
    </row>
    <row r="294" spans="1:20" ht="60" x14ac:dyDescent="0.25">
      <c r="A294" s="573" t="s">
        <v>418</v>
      </c>
      <c r="B294" s="573" t="s">
        <v>290</v>
      </c>
      <c r="C294" s="573" t="s">
        <v>291</v>
      </c>
      <c r="D294" s="564" t="s">
        <v>486</v>
      </c>
      <c r="E294" s="439"/>
      <c r="F294" s="509"/>
      <c r="G294" s="505" t="s">
        <v>271</v>
      </c>
      <c r="H294" s="509">
        <v>3.42</v>
      </c>
      <c r="I294" s="509"/>
      <c r="J294" s="509"/>
      <c r="K294" s="495">
        <f t="shared" si="70"/>
        <v>0</v>
      </c>
      <c r="L294" s="571">
        <f t="shared" si="71"/>
        <v>0</v>
      </c>
      <c r="M294" s="439">
        <v>4</v>
      </c>
      <c r="N294" s="495">
        <f t="shared" ref="N294:N297" si="79">M294/158</f>
        <v>2.5316455696202531E-2</v>
      </c>
      <c r="O294" s="505" t="s">
        <v>271</v>
      </c>
      <c r="P294" s="509">
        <v>3.42</v>
      </c>
      <c r="Q294" s="509" t="s">
        <v>272</v>
      </c>
      <c r="R294" s="572">
        <v>2.74</v>
      </c>
      <c r="S294" s="495">
        <f t="shared" si="72"/>
        <v>0.66</v>
      </c>
      <c r="T294" s="571">
        <f t="shared" si="73"/>
        <v>3.4000000000000004</v>
      </c>
    </row>
    <row r="295" spans="1:20" ht="60" x14ac:dyDescent="0.25">
      <c r="A295" s="573" t="s">
        <v>418</v>
      </c>
      <c r="B295" s="573" t="s">
        <v>290</v>
      </c>
      <c r="C295" s="573" t="s">
        <v>291</v>
      </c>
      <c r="D295" s="564" t="s">
        <v>487</v>
      </c>
      <c r="E295" s="439"/>
      <c r="F295" s="509"/>
      <c r="G295" s="505" t="s">
        <v>271</v>
      </c>
      <c r="H295" s="509">
        <v>3.42</v>
      </c>
      <c r="I295" s="509"/>
      <c r="J295" s="509"/>
      <c r="K295" s="495">
        <f t="shared" si="70"/>
        <v>0</v>
      </c>
      <c r="L295" s="571">
        <f t="shared" si="71"/>
        <v>0</v>
      </c>
      <c r="M295" s="439">
        <v>4</v>
      </c>
      <c r="N295" s="495">
        <f t="shared" si="79"/>
        <v>2.5316455696202531E-2</v>
      </c>
      <c r="O295" s="505" t="s">
        <v>271</v>
      </c>
      <c r="P295" s="509">
        <v>3.42</v>
      </c>
      <c r="Q295" s="509" t="s">
        <v>272</v>
      </c>
      <c r="R295" s="572">
        <v>2.74</v>
      </c>
      <c r="S295" s="495">
        <f t="shared" si="72"/>
        <v>0.66</v>
      </c>
      <c r="T295" s="571">
        <f t="shared" si="73"/>
        <v>3.4000000000000004</v>
      </c>
    </row>
    <row r="296" spans="1:20" ht="60" x14ac:dyDescent="0.25">
      <c r="A296" s="573" t="s">
        <v>418</v>
      </c>
      <c r="B296" s="573" t="s">
        <v>290</v>
      </c>
      <c r="C296" s="573" t="s">
        <v>291</v>
      </c>
      <c r="D296" s="564" t="s">
        <v>488</v>
      </c>
      <c r="E296" s="439"/>
      <c r="F296" s="509"/>
      <c r="G296" s="505" t="s">
        <v>271</v>
      </c>
      <c r="H296" s="509">
        <v>3.42</v>
      </c>
      <c r="I296" s="509"/>
      <c r="J296" s="509"/>
      <c r="K296" s="495">
        <f t="shared" si="70"/>
        <v>0</v>
      </c>
      <c r="L296" s="571">
        <f t="shared" si="71"/>
        <v>0</v>
      </c>
      <c r="M296" s="439">
        <v>12</v>
      </c>
      <c r="N296" s="495">
        <f t="shared" si="79"/>
        <v>7.5949367088607597E-2</v>
      </c>
      <c r="O296" s="505" t="s">
        <v>271</v>
      </c>
      <c r="P296" s="509">
        <v>3.42</v>
      </c>
      <c r="Q296" s="509" t="s">
        <v>272</v>
      </c>
      <c r="R296" s="572">
        <v>8.2100000000000009</v>
      </c>
      <c r="S296" s="495">
        <f t="shared" si="72"/>
        <v>1.98</v>
      </c>
      <c r="T296" s="571">
        <f t="shared" si="73"/>
        <v>10.190000000000001</v>
      </c>
    </row>
    <row r="297" spans="1:20" ht="60" x14ac:dyDescent="0.25">
      <c r="A297" s="573" t="s">
        <v>418</v>
      </c>
      <c r="B297" s="573" t="s">
        <v>290</v>
      </c>
      <c r="C297" s="573" t="s">
        <v>291</v>
      </c>
      <c r="D297" s="564" t="s">
        <v>489</v>
      </c>
      <c r="E297" s="439"/>
      <c r="F297" s="509"/>
      <c r="G297" s="505" t="s">
        <v>271</v>
      </c>
      <c r="H297" s="509">
        <v>3.42</v>
      </c>
      <c r="I297" s="509"/>
      <c r="J297" s="509"/>
      <c r="K297" s="495">
        <f t="shared" si="70"/>
        <v>0</v>
      </c>
      <c r="L297" s="571">
        <f t="shared" si="71"/>
        <v>0</v>
      </c>
      <c r="M297" s="439">
        <v>4</v>
      </c>
      <c r="N297" s="495">
        <f t="shared" si="79"/>
        <v>2.5316455696202531E-2</v>
      </c>
      <c r="O297" s="505" t="s">
        <v>271</v>
      </c>
      <c r="P297" s="509">
        <v>3.42</v>
      </c>
      <c r="Q297" s="509" t="s">
        <v>272</v>
      </c>
      <c r="R297" s="572">
        <v>2.74</v>
      </c>
      <c r="S297" s="495">
        <f t="shared" si="72"/>
        <v>0.66</v>
      </c>
      <c r="T297" s="571">
        <f t="shared" si="73"/>
        <v>3.4000000000000004</v>
      </c>
    </row>
    <row r="298" spans="1:20" ht="60" x14ac:dyDescent="0.25">
      <c r="A298" s="573" t="s">
        <v>418</v>
      </c>
      <c r="B298" s="573" t="s">
        <v>290</v>
      </c>
      <c r="C298" s="573" t="s">
        <v>291</v>
      </c>
      <c r="D298" s="564" t="s">
        <v>489</v>
      </c>
      <c r="E298" s="439">
        <v>12</v>
      </c>
      <c r="F298" s="495">
        <f>E298/176</f>
        <v>6.8181818181818177E-2</v>
      </c>
      <c r="G298" s="505" t="s">
        <v>271</v>
      </c>
      <c r="H298" s="509">
        <v>3.42</v>
      </c>
      <c r="I298" s="509" t="s">
        <v>949</v>
      </c>
      <c r="J298" s="509">
        <v>20.52</v>
      </c>
      <c r="K298" s="495">
        <f t="shared" si="70"/>
        <v>4.9400000000000004</v>
      </c>
      <c r="L298" s="571">
        <f t="shared" si="71"/>
        <v>25.46</v>
      </c>
      <c r="M298" s="439"/>
      <c r="N298" s="563"/>
      <c r="O298" s="505" t="s">
        <v>271</v>
      </c>
      <c r="P298" s="509">
        <v>3.42</v>
      </c>
      <c r="Q298" s="509"/>
      <c r="R298" s="572"/>
      <c r="S298" s="495">
        <f t="shared" si="72"/>
        <v>0</v>
      </c>
      <c r="T298" s="571">
        <f t="shared" si="73"/>
        <v>0</v>
      </c>
    </row>
    <row r="299" spans="1:20" ht="60" x14ac:dyDescent="0.25">
      <c r="A299" s="573" t="s">
        <v>418</v>
      </c>
      <c r="B299" s="573" t="s">
        <v>290</v>
      </c>
      <c r="C299" s="573" t="s">
        <v>291</v>
      </c>
      <c r="D299" s="564" t="s">
        <v>490</v>
      </c>
      <c r="E299" s="439"/>
      <c r="F299" s="509"/>
      <c r="G299" s="505" t="s">
        <v>271</v>
      </c>
      <c r="H299" s="509">
        <v>3.42</v>
      </c>
      <c r="I299" s="509"/>
      <c r="J299" s="509"/>
      <c r="K299" s="495">
        <f t="shared" si="70"/>
        <v>0</v>
      </c>
      <c r="L299" s="571">
        <f t="shared" si="71"/>
        <v>0</v>
      </c>
      <c r="M299" s="439">
        <v>2</v>
      </c>
      <c r="N299" s="495">
        <f>M299/158</f>
        <v>1.2658227848101266E-2</v>
      </c>
      <c r="O299" s="505" t="s">
        <v>271</v>
      </c>
      <c r="P299" s="509">
        <v>3.42</v>
      </c>
      <c r="Q299" s="509" t="s">
        <v>272</v>
      </c>
      <c r="R299" s="572">
        <v>1.37</v>
      </c>
      <c r="S299" s="495">
        <f t="shared" si="72"/>
        <v>0.33</v>
      </c>
      <c r="T299" s="571">
        <f t="shared" si="73"/>
        <v>1.7000000000000002</v>
      </c>
    </row>
    <row r="300" spans="1:20" ht="60" x14ac:dyDescent="0.25">
      <c r="A300" s="573" t="s">
        <v>418</v>
      </c>
      <c r="B300" s="573" t="s">
        <v>290</v>
      </c>
      <c r="C300" s="573" t="s">
        <v>291</v>
      </c>
      <c r="D300" s="564" t="s">
        <v>490</v>
      </c>
      <c r="E300" s="439">
        <v>12</v>
      </c>
      <c r="F300" s="495">
        <f>E300/176</f>
        <v>6.8181818181818177E-2</v>
      </c>
      <c r="G300" s="505" t="s">
        <v>271</v>
      </c>
      <c r="H300" s="509">
        <v>3.42</v>
      </c>
      <c r="I300" s="509" t="s">
        <v>949</v>
      </c>
      <c r="J300" s="509">
        <v>20.52</v>
      </c>
      <c r="K300" s="495">
        <f t="shared" si="70"/>
        <v>4.9400000000000004</v>
      </c>
      <c r="L300" s="571">
        <f t="shared" si="71"/>
        <v>25.46</v>
      </c>
      <c r="M300" s="439"/>
      <c r="N300" s="563"/>
      <c r="O300" s="505" t="s">
        <v>271</v>
      </c>
      <c r="P300" s="509">
        <v>3.42</v>
      </c>
      <c r="Q300" s="509"/>
      <c r="R300" s="572"/>
      <c r="S300" s="495">
        <f t="shared" si="72"/>
        <v>0</v>
      </c>
      <c r="T300" s="571">
        <f t="shared" si="73"/>
        <v>0</v>
      </c>
    </row>
    <row r="301" spans="1:20" ht="60" x14ac:dyDescent="0.25">
      <c r="A301" s="573" t="s">
        <v>418</v>
      </c>
      <c r="B301" s="573" t="s">
        <v>290</v>
      </c>
      <c r="C301" s="573" t="s">
        <v>291</v>
      </c>
      <c r="D301" s="564" t="s">
        <v>491</v>
      </c>
      <c r="E301" s="439"/>
      <c r="F301" s="509"/>
      <c r="G301" s="505" t="s">
        <v>271</v>
      </c>
      <c r="H301" s="509">
        <v>3.42</v>
      </c>
      <c r="I301" s="509"/>
      <c r="J301" s="509"/>
      <c r="K301" s="495">
        <f t="shared" si="70"/>
        <v>0</v>
      </c>
      <c r="L301" s="571">
        <f t="shared" si="71"/>
        <v>0</v>
      </c>
      <c r="M301" s="439">
        <v>6</v>
      </c>
      <c r="N301" s="495">
        <f>M301/158</f>
        <v>3.7974683544303799E-2</v>
      </c>
      <c r="O301" s="505" t="s">
        <v>271</v>
      </c>
      <c r="P301" s="509">
        <v>3.42</v>
      </c>
      <c r="Q301" s="509" t="s">
        <v>272</v>
      </c>
      <c r="R301" s="572">
        <v>4.0999999999999996</v>
      </c>
      <c r="S301" s="495">
        <f t="shared" si="72"/>
        <v>0.99</v>
      </c>
      <c r="T301" s="571">
        <f t="shared" si="73"/>
        <v>5.09</v>
      </c>
    </row>
    <row r="302" spans="1:20" ht="60" x14ac:dyDescent="0.25">
      <c r="A302" s="573" t="s">
        <v>418</v>
      </c>
      <c r="B302" s="573" t="s">
        <v>290</v>
      </c>
      <c r="C302" s="573" t="s">
        <v>291</v>
      </c>
      <c r="D302" s="564" t="s">
        <v>491</v>
      </c>
      <c r="E302" s="439">
        <v>12</v>
      </c>
      <c r="F302" s="495">
        <f>E302/176</f>
        <v>6.8181818181818177E-2</v>
      </c>
      <c r="G302" s="505" t="s">
        <v>271</v>
      </c>
      <c r="H302" s="509">
        <v>3.42</v>
      </c>
      <c r="I302" s="509" t="s">
        <v>949</v>
      </c>
      <c r="J302" s="509">
        <v>20.52</v>
      </c>
      <c r="K302" s="495">
        <f t="shared" si="70"/>
        <v>4.9400000000000004</v>
      </c>
      <c r="L302" s="571">
        <f t="shared" si="71"/>
        <v>25.46</v>
      </c>
      <c r="M302" s="439"/>
      <c r="N302" s="563"/>
      <c r="O302" s="505" t="s">
        <v>271</v>
      </c>
      <c r="P302" s="509">
        <v>3.42</v>
      </c>
      <c r="Q302" s="509"/>
      <c r="R302" s="572"/>
      <c r="S302" s="495">
        <f t="shared" si="72"/>
        <v>0</v>
      </c>
      <c r="T302" s="571">
        <f t="shared" si="73"/>
        <v>0</v>
      </c>
    </row>
    <row r="303" spans="1:20" ht="60" x14ac:dyDescent="0.25">
      <c r="A303" s="573" t="s">
        <v>418</v>
      </c>
      <c r="B303" s="573" t="s">
        <v>290</v>
      </c>
      <c r="C303" s="573" t="s">
        <v>291</v>
      </c>
      <c r="D303" s="564" t="s">
        <v>492</v>
      </c>
      <c r="E303" s="439"/>
      <c r="F303" s="509"/>
      <c r="G303" s="505" t="s">
        <v>271</v>
      </c>
      <c r="H303" s="509">
        <v>3.42</v>
      </c>
      <c r="I303" s="509"/>
      <c r="J303" s="509"/>
      <c r="K303" s="495">
        <f t="shared" si="70"/>
        <v>0</v>
      </c>
      <c r="L303" s="571">
        <f t="shared" si="71"/>
        <v>0</v>
      </c>
      <c r="M303" s="439">
        <v>4</v>
      </c>
      <c r="N303" s="495">
        <f>M303/158</f>
        <v>2.5316455696202531E-2</v>
      </c>
      <c r="O303" s="505" t="s">
        <v>271</v>
      </c>
      <c r="P303" s="509">
        <v>3.42</v>
      </c>
      <c r="Q303" s="509" t="s">
        <v>272</v>
      </c>
      <c r="R303" s="572">
        <v>2.74</v>
      </c>
      <c r="S303" s="495">
        <f t="shared" si="72"/>
        <v>0.66</v>
      </c>
      <c r="T303" s="571">
        <f t="shared" si="73"/>
        <v>3.4000000000000004</v>
      </c>
    </row>
    <row r="304" spans="1:20" ht="60" x14ac:dyDescent="0.25">
      <c r="A304" s="573" t="s">
        <v>418</v>
      </c>
      <c r="B304" s="573" t="s">
        <v>290</v>
      </c>
      <c r="C304" s="573" t="s">
        <v>291</v>
      </c>
      <c r="D304" s="564" t="s">
        <v>492</v>
      </c>
      <c r="E304" s="439">
        <v>12</v>
      </c>
      <c r="F304" s="495">
        <f>E304/176</f>
        <v>6.8181818181818177E-2</v>
      </c>
      <c r="G304" s="505" t="s">
        <v>271</v>
      </c>
      <c r="H304" s="509">
        <v>3.42</v>
      </c>
      <c r="I304" s="509" t="s">
        <v>949</v>
      </c>
      <c r="J304" s="509">
        <v>20.52</v>
      </c>
      <c r="K304" s="495">
        <f t="shared" si="70"/>
        <v>4.9400000000000004</v>
      </c>
      <c r="L304" s="571">
        <f t="shared" si="71"/>
        <v>25.46</v>
      </c>
      <c r="M304" s="439"/>
      <c r="N304" s="563"/>
      <c r="O304" s="505" t="s">
        <v>271</v>
      </c>
      <c r="P304" s="509">
        <v>3.42</v>
      </c>
      <c r="Q304" s="509"/>
      <c r="R304" s="572"/>
      <c r="S304" s="495">
        <f t="shared" si="72"/>
        <v>0</v>
      </c>
      <c r="T304" s="571">
        <f t="shared" si="73"/>
        <v>0</v>
      </c>
    </row>
    <row r="305" spans="1:20" ht="60" x14ac:dyDescent="0.25">
      <c r="A305" s="573" t="s">
        <v>418</v>
      </c>
      <c r="B305" s="573" t="s">
        <v>290</v>
      </c>
      <c r="C305" s="573" t="s">
        <v>291</v>
      </c>
      <c r="D305" s="564" t="s">
        <v>493</v>
      </c>
      <c r="E305" s="439"/>
      <c r="F305" s="509"/>
      <c r="G305" s="505" t="s">
        <v>271</v>
      </c>
      <c r="H305" s="509">
        <v>3.42</v>
      </c>
      <c r="I305" s="509"/>
      <c r="J305" s="509"/>
      <c r="K305" s="495">
        <f t="shared" si="70"/>
        <v>0</v>
      </c>
      <c r="L305" s="571">
        <f t="shared" si="71"/>
        <v>0</v>
      </c>
      <c r="M305" s="439">
        <v>2</v>
      </c>
      <c r="N305" s="495">
        <f t="shared" ref="N305:N306" si="80">M305/158</f>
        <v>1.2658227848101266E-2</v>
      </c>
      <c r="O305" s="505" t="s">
        <v>271</v>
      </c>
      <c r="P305" s="509">
        <v>3.42</v>
      </c>
      <c r="Q305" s="509" t="s">
        <v>272</v>
      </c>
      <c r="R305" s="572">
        <v>1.37</v>
      </c>
      <c r="S305" s="495">
        <f t="shared" si="72"/>
        <v>0.33</v>
      </c>
      <c r="T305" s="571">
        <f t="shared" si="73"/>
        <v>1.7000000000000002</v>
      </c>
    </row>
    <row r="306" spans="1:20" ht="60" x14ac:dyDescent="0.25">
      <c r="A306" s="573" t="s">
        <v>418</v>
      </c>
      <c r="B306" s="573" t="s">
        <v>290</v>
      </c>
      <c r="C306" s="573" t="s">
        <v>291</v>
      </c>
      <c r="D306" s="564" t="s">
        <v>494</v>
      </c>
      <c r="E306" s="439"/>
      <c r="F306" s="509"/>
      <c r="G306" s="505" t="s">
        <v>271</v>
      </c>
      <c r="H306" s="509">
        <v>3.42</v>
      </c>
      <c r="I306" s="509"/>
      <c r="J306" s="509"/>
      <c r="K306" s="495">
        <f t="shared" si="70"/>
        <v>0</v>
      </c>
      <c r="L306" s="571">
        <f t="shared" si="71"/>
        <v>0</v>
      </c>
      <c r="M306" s="439">
        <v>4</v>
      </c>
      <c r="N306" s="495">
        <f t="shared" si="80"/>
        <v>2.5316455696202531E-2</v>
      </c>
      <c r="O306" s="505" t="s">
        <v>271</v>
      </c>
      <c r="P306" s="509">
        <v>3.42</v>
      </c>
      <c r="Q306" s="509" t="s">
        <v>272</v>
      </c>
      <c r="R306" s="572">
        <v>2.74</v>
      </c>
      <c r="S306" s="495">
        <f t="shared" si="72"/>
        <v>0.66</v>
      </c>
      <c r="T306" s="571">
        <f t="shared" si="73"/>
        <v>3.4000000000000004</v>
      </c>
    </row>
    <row r="307" spans="1:20" ht="60" x14ac:dyDescent="0.25">
      <c r="A307" s="573" t="s">
        <v>418</v>
      </c>
      <c r="B307" s="573" t="s">
        <v>290</v>
      </c>
      <c r="C307" s="573" t="s">
        <v>291</v>
      </c>
      <c r="D307" s="564" t="s">
        <v>494</v>
      </c>
      <c r="E307" s="439">
        <v>12</v>
      </c>
      <c r="F307" s="495">
        <f>E307/176</f>
        <v>6.8181818181818177E-2</v>
      </c>
      <c r="G307" s="505" t="s">
        <v>271</v>
      </c>
      <c r="H307" s="509">
        <v>3.42</v>
      </c>
      <c r="I307" s="509" t="s">
        <v>949</v>
      </c>
      <c r="J307" s="509">
        <v>20.52</v>
      </c>
      <c r="K307" s="495">
        <f t="shared" si="70"/>
        <v>4.9400000000000004</v>
      </c>
      <c r="L307" s="571">
        <f t="shared" si="71"/>
        <v>25.46</v>
      </c>
      <c r="M307" s="439"/>
      <c r="N307" s="563"/>
      <c r="O307" s="505" t="s">
        <v>271</v>
      </c>
      <c r="P307" s="509">
        <v>3.42</v>
      </c>
      <c r="Q307" s="509"/>
      <c r="R307" s="572"/>
      <c r="S307" s="495">
        <f t="shared" si="72"/>
        <v>0</v>
      </c>
      <c r="T307" s="571">
        <f t="shared" si="73"/>
        <v>0</v>
      </c>
    </row>
    <row r="308" spans="1:20" ht="60" x14ac:dyDescent="0.25">
      <c r="A308" s="573" t="s">
        <v>418</v>
      </c>
      <c r="B308" s="573" t="s">
        <v>290</v>
      </c>
      <c r="C308" s="573" t="s">
        <v>291</v>
      </c>
      <c r="D308" s="564" t="s">
        <v>495</v>
      </c>
      <c r="E308" s="439"/>
      <c r="F308" s="509"/>
      <c r="G308" s="505" t="s">
        <v>271</v>
      </c>
      <c r="H308" s="509">
        <v>3.42</v>
      </c>
      <c r="I308" s="509"/>
      <c r="J308" s="509"/>
      <c r="K308" s="495">
        <f t="shared" si="70"/>
        <v>0</v>
      </c>
      <c r="L308" s="571">
        <f t="shared" si="71"/>
        <v>0</v>
      </c>
      <c r="M308" s="439">
        <v>4</v>
      </c>
      <c r="N308" s="495">
        <f>M308/158</f>
        <v>2.5316455696202531E-2</v>
      </c>
      <c r="O308" s="505" t="s">
        <v>271</v>
      </c>
      <c r="P308" s="509">
        <v>3.42</v>
      </c>
      <c r="Q308" s="509" t="s">
        <v>272</v>
      </c>
      <c r="R308" s="572">
        <v>2.74</v>
      </c>
      <c r="S308" s="495">
        <f t="shared" si="72"/>
        <v>0.66</v>
      </c>
      <c r="T308" s="571">
        <f t="shared" si="73"/>
        <v>3.4000000000000004</v>
      </c>
    </row>
    <row r="309" spans="1:20" ht="60" x14ac:dyDescent="0.25">
      <c r="A309" s="573" t="s">
        <v>418</v>
      </c>
      <c r="B309" s="573" t="s">
        <v>290</v>
      </c>
      <c r="C309" s="573" t="s">
        <v>291</v>
      </c>
      <c r="D309" s="564" t="s">
        <v>495</v>
      </c>
      <c r="E309" s="439">
        <v>12</v>
      </c>
      <c r="F309" s="495">
        <f>E309/176</f>
        <v>6.8181818181818177E-2</v>
      </c>
      <c r="G309" s="505" t="s">
        <v>271</v>
      </c>
      <c r="H309" s="509">
        <v>3.42</v>
      </c>
      <c r="I309" s="509" t="s">
        <v>949</v>
      </c>
      <c r="J309" s="509">
        <v>20.52</v>
      </c>
      <c r="K309" s="495">
        <f t="shared" si="70"/>
        <v>4.9400000000000004</v>
      </c>
      <c r="L309" s="571">
        <f t="shared" si="71"/>
        <v>25.46</v>
      </c>
      <c r="M309" s="439"/>
      <c r="N309" s="563"/>
      <c r="O309" s="505" t="s">
        <v>271</v>
      </c>
      <c r="P309" s="509">
        <v>3.42</v>
      </c>
      <c r="Q309" s="509"/>
      <c r="R309" s="572"/>
      <c r="S309" s="495">
        <f t="shared" si="72"/>
        <v>0</v>
      </c>
      <c r="T309" s="571">
        <f t="shared" si="73"/>
        <v>0</v>
      </c>
    </row>
    <row r="310" spans="1:20" ht="60" x14ac:dyDescent="0.25">
      <c r="A310" s="573" t="s">
        <v>418</v>
      </c>
      <c r="B310" s="573" t="s">
        <v>290</v>
      </c>
      <c r="C310" s="573" t="s">
        <v>291</v>
      </c>
      <c r="D310" s="564" t="s">
        <v>496</v>
      </c>
      <c r="E310" s="439"/>
      <c r="F310" s="509"/>
      <c r="G310" s="505" t="s">
        <v>271</v>
      </c>
      <c r="H310" s="509">
        <v>3.42</v>
      </c>
      <c r="I310" s="509"/>
      <c r="J310" s="509"/>
      <c r="K310" s="495">
        <f t="shared" si="70"/>
        <v>0</v>
      </c>
      <c r="L310" s="571">
        <f t="shared" si="71"/>
        <v>0</v>
      </c>
      <c r="M310" s="439">
        <v>6</v>
      </c>
      <c r="N310" s="495">
        <f>M310/158</f>
        <v>3.7974683544303799E-2</v>
      </c>
      <c r="O310" s="505" t="s">
        <v>271</v>
      </c>
      <c r="P310" s="509">
        <v>3.42</v>
      </c>
      <c r="Q310" s="509" t="s">
        <v>272</v>
      </c>
      <c r="R310" s="572">
        <v>4.0999999999999996</v>
      </c>
      <c r="S310" s="495">
        <f t="shared" si="72"/>
        <v>0.99</v>
      </c>
      <c r="T310" s="571">
        <f t="shared" si="73"/>
        <v>5.09</v>
      </c>
    </row>
    <row r="311" spans="1:20" ht="60" x14ac:dyDescent="0.25">
      <c r="A311" s="573" t="s">
        <v>418</v>
      </c>
      <c r="B311" s="573" t="s">
        <v>290</v>
      </c>
      <c r="C311" s="573" t="s">
        <v>291</v>
      </c>
      <c r="D311" s="564" t="s">
        <v>496</v>
      </c>
      <c r="E311" s="439">
        <v>12</v>
      </c>
      <c r="F311" s="495">
        <f>E311/176</f>
        <v>6.8181818181818177E-2</v>
      </c>
      <c r="G311" s="505" t="s">
        <v>271</v>
      </c>
      <c r="H311" s="509">
        <v>3.42</v>
      </c>
      <c r="I311" s="509" t="s">
        <v>949</v>
      </c>
      <c r="J311" s="509">
        <v>20.52</v>
      </c>
      <c r="K311" s="495">
        <f t="shared" si="70"/>
        <v>4.9400000000000004</v>
      </c>
      <c r="L311" s="571">
        <f t="shared" si="71"/>
        <v>25.46</v>
      </c>
      <c r="M311" s="439"/>
      <c r="N311" s="563"/>
      <c r="O311" s="505" t="s">
        <v>271</v>
      </c>
      <c r="P311" s="509">
        <v>3.42</v>
      </c>
      <c r="Q311" s="509"/>
      <c r="R311" s="572"/>
      <c r="S311" s="495">
        <f t="shared" si="72"/>
        <v>0</v>
      </c>
      <c r="T311" s="571">
        <f t="shared" si="73"/>
        <v>0</v>
      </c>
    </row>
    <row r="312" spans="1:20" ht="60" x14ac:dyDescent="0.25">
      <c r="A312" s="573" t="s">
        <v>418</v>
      </c>
      <c r="B312" s="573" t="s">
        <v>290</v>
      </c>
      <c r="C312" s="573" t="s">
        <v>291</v>
      </c>
      <c r="D312" s="564" t="s">
        <v>497</v>
      </c>
      <c r="E312" s="439"/>
      <c r="F312" s="509"/>
      <c r="G312" s="505" t="s">
        <v>271</v>
      </c>
      <c r="H312" s="509">
        <v>3.42</v>
      </c>
      <c r="I312" s="509"/>
      <c r="J312" s="509"/>
      <c r="K312" s="495">
        <f t="shared" si="70"/>
        <v>0</v>
      </c>
      <c r="L312" s="571">
        <f t="shared" si="71"/>
        <v>0</v>
      </c>
      <c r="M312" s="439">
        <v>2</v>
      </c>
      <c r="N312" s="495">
        <f>M312/158</f>
        <v>1.2658227848101266E-2</v>
      </c>
      <c r="O312" s="505" t="s">
        <v>271</v>
      </c>
      <c r="P312" s="509">
        <v>3.42</v>
      </c>
      <c r="Q312" s="509" t="s">
        <v>272</v>
      </c>
      <c r="R312" s="572">
        <v>1.37</v>
      </c>
      <c r="S312" s="495">
        <f t="shared" si="72"/>
        <v>0.33</v>
      </c>
      <c r="T312" s="571">
        <f t="shared" si="73"/>
        <v>1.7000000000000002</v>
      </c>
    </row>
    <row r="313" spans="1:20" ht="60" x14ac:dyDescent="0.25">
      <c r="A313" s="573" t="s">
        <v>418</v>
      </c>
      <c r="B313" s="573" t="s">
        <v>290</v>
      </c>
      <c r="C313" s="573" t="s">
        <v>291</v>
      </c>
      <c r="D313" s="564" t="s">
        <v>497</v>
      </c>
      <c r="E313" s="439">
        <v>12</v>
      </c>
      <c r="F313" s="495">
        <f>E313/176</f>
        <v>6.8181818181818177E-2</v>
      </c>
      <c r="G313" s="505" t="s">
        <v>271</v>
      </c>
      <c r="H313" s="509">
        <v>3.42</v>
      </c>
      <c r="I313" s="509" t="s">
        <v>949</v>
      </c>
      <c r="J313" s="509">
        <v>20.52</v>
      </c>
      <c r="K313" s="495">
        <f t="shared" si="70"/>
        <v>4.9400000000000004</v>
      </c>
      <c r="L313" s="571">
        <f t="shared" si="71"/>
        <v>25.46</v>
      </c>
      <c r="M313" s="439"/>
      <c r="N313" s="563"/>
      <c r="O313" s="505" t="s">
        <v>271</v>
      </c>
      <c r="P313" s="509">
        <v>3.42</v>
      </c>
      <c r="Q313" s="509"/>
      <c r="R313" s="572"/>
      <c r="S313" s="495">
        <f t="shared" si="72"/>
        <v>0</v>
      </c>
      <c r="T313" s="571">
        <f t="shared" si="73"/>
        <v>0</v>
      </c>
    </row>
    <row r="314" spans="1:20" ht="60" x14ac:dyDescent="0.25">
      <c r="A314" s="573" t="s">
        <v>418</v>
      </c>
      <c r="B314" s="573" t="s">
        <v>290</v>
      </c>
      <c r="C314" s="573" t="s">
        <v>291</v>
      </c>
      <c r="D314" s="564" t="s">
        <v>498</v>
      </c>
      <c r="E314" s="439"/>
      <c r="F314" s="509"/>
      <c r="G314" s="505" t="s">
        <v>271</v>
      </c>
      <c r="H314" s="509">
        <v>3.42</v>
      </c>
      <c r="I314" s="509"/>
      <c r="J314" s="509"/>
      <c r="K314" s="495">
        <f t="shared" si="70"/>
        <v>0</v>
      </c>
      <c r="L314" s="571">
        <f t="shared" si="71"/>
        <v>0</v>
      </c>
      <c r="M314" s="439">
        <v>6</v>
      </c>
      <c r="N314" s="495">
        <f>M314/158</f>
        <v>3.7974683544303799E-2</v>
      </c>
      <c r="O314" s="505" t="s">
        <v>271</v>
      </c>
      <c r="P314" s="509">
        <v>3.42</v>
      </c>
      <c r="Q314" s="509" t="s">
        <v>272</v>
      </c>
      <c r="R314" s="572">
        <v>4.0999999999999996</v>
      </c>
      <c r="S314" s="495">
        <f t="shared" si="72"/>
        <v>0.99</v>
      </c>
      <c r="T314" s="571">
        <f t="shared" si="73"/>
        <v>5.09</v>
      </c>
    </row>
    <row r="315" spans="1:20" ht="60" x14ac:dyDescent="0.25">
      <c r="A315" s="573" t="s">
        <v>418</v>
      </c>
      <c r="B315" s="573" t="s">
        <v>290</v>
      </c>
      <c r="C315" s="573" t="s">
        <v>291</v>
      </c>
      <c r="D315" s="564" t="s">
        <v>498</v>
      </c>
      <c r="E315" s="439">
        <v>12</v>
      </c>
      <c r="F315" s="495">
        <f>E315/176</f>
        <v>6.8181818181818177E-2</v>
      </c>
      <c r="G315" s="505" t="s">
        <v>271</v>
      </c>
      <c r="H315" s="509">
        <v>3.42</v>
      </c>
      <c r="I315" s="509" t="s">
        <v>949</v>
      </c>
      <c r="J315" s="509">
        <v>20.52</v>
      </c>
      <c r="K315" s="495">
        <f t="shared" si="70"/>
        <v>4.9400000000000004</v>
      </c>
      <c r="L315" s="571">
        <f t="shared" si="71"/>
        <v>25.46</v>
      </c>
      <c r="M315" s="439"/>
      <c r="N315" s="563"/>
      <c r="O315" s="505" t="s">
        <v>271</v>
      </c>
      <c r="P315" s="509">
        <v>3.42</v>
      </c>
      <c r="Q315" s="509"/>
      <c r="R315" s="572"/>
      <c r="S315" s="495">
        <f t="shared" si="72"/>
        <v>0</v>
      </c>
      <c r="T315" s="571">
        <f t="shared" si="73"/>
        <v>0</v>
      </c>
    </row>
    <row r="316" spans="1:20" ht="60" x14ac:dyDescent="0.25">
      <c r="A316" s="573" t="s">
        <v>418</v>
      </c>
      <c r="B316" s="573" t="s">
        <v>290</v>
      </c>
      <c r="C316" s="573" t="s">
        <v>291</v>
      </c>
      <c r="D316" s="564" t="s">
        <v>499</v>
      </c>
      <c r="E316" s="439"/>
      <c r="F316" s="509"/>
      <c r="G316" s="505" t="s">
        <v>271</v>
      </c>
      <c r="H316" s="509">
        <v>3.42</v>
      </c>
      <c r="I316" s="509"/>
      <c r="J316" s="509"/>
      <c r="K316" s="495">
        <f t="shared" si="70"/>
        <v>0</v>
      </c>
      <c r="L316" s="571">
        <f t="shared" si="71"/>
        <v>0</v>
      </c>
      <c r="M316" s="439">
        <v>4</v>
      </c>
      <c r="N316" s="495">
        <f t="shared" ref="N316:N317" si="81">M316/158</f>
        <v>2.5316455696202531E-2</v>
      </c>
      <c r="O316" s="505" t="s">
        <v>271</v>
      </c>
      <c r="P316" s="509">
        <v>3.42</v>
      </c>
      <c r="Q316" s="509" t="s">
        <v>272</v>
      </c>
      <c r="R316" s="572">
        <v>2.74</v>
      </c>
      <c r="S316" s="495">
        <f t="shared" si="72"/>
        <v>0.66</v>
      </c>
      <c r="T316" s="571">
        <f t="shared" si="73"/>
        <v>3.4000000000000004</v>
      </c>
    </row>
    <row r="317" spans="1:20" ht="60" x14ac:dyDescent="0.25">
      <c r="A317" s="573" t="s">
        <v>418</v>
      </c>
      <c r="B317" s="573" t="s">
        <v>290</v>
      </c>
      <c r="C317" s="573" t="s">
        <v>156</v>
      </c>
      <c r="D317" s="564" t="s">
        <v>500</v>
      </c>
      <c r="E317" s="439"/>
      <c r="F317" s="509"/>
      <c r="G317" s="505" t="s">
        <v>271</v>
      </c>
      <c r="H317" s="509">
        <v>3.94</v>
      </c>
      <c r="I317" s="509"/>
      <c r="J317" s="509"/>
      <c r="K317" s="495">
        <f t="shared" si="70"/>
        <v>0</v>
      </c>
      <c r="L317" s="571">
        <f t="shared" si="71"/>
        <v>0</v>
      </c>
      <c r="M317" s="439">
        <v>2</v>
      </c>
      <c r="N317" s="495">
        <f t="shared" si="81"/>
        <v>1.2658227848101266E-2</v>
      </c>
      <c r="O317" s="505" t="s">
        <v>271</v>
      </c>
      <c r="P317" s="509">
        <v>3.94</v>
      </c>
      <c r="Q317" s="509" t="s">
        <v>272</v>
      </c>
      <c r="R317" s="572">
        <v>1.58</v>
      </c>
      <c r="S317" s="495">
        <f t="shared" si="72"/>
        <v>0.38</v>
      </c>
      <c r="T317" s="571">
        <f t="shared" si="73"/>
        <v>1.96</v>
      </c>
    </row>
    <row r="318" spans="1:20" ht="60" x14ac:dyDescent="0.25">
      <c r="A318" s="573" t="s">
        <v>418</v>
      </c>
      <c r="B318" s="573" t="s">
        <v>290</v>
      </c>
      <c r="C318" s="573" t="s">
        <v>156</v>
      </c>
      <c r="D318" s="564" t="s">
        <v>500</v>
      </c>
      <c r="E318" s="439">
        <v>12</v>
      </c>
      <c r="F318" s="495">
        <f>E318/176</f>
        <v>6.8181818181818177E-2</v>
      </c>
      <c r="G318" s="505" t="s">
        <v>271</v>
      </c>
      <c r="H318" s="509">
        <v>3.94</v>
      </c>
      <c r="I318" s="509" t="s">
        <v>949</v>
      </c>
      <c r="J318" s="509">
        <v>23.64</v>
      </c>
      <c r="K318" s="495">
        <f t="shared" si="70"/>
        <v>5.69</v>
      </c>
      <c r="L318" s="571">
        <f t="shared" si="71"/>
        <v>29.330000000000002</v>
      </c>
      <c r="M318" s="439"/>
      <c r="N318" s="563"/>
      <c r="O318" s="505" t="s">
        <v>271</v>
      </c>
      <c r="P318" s="509">
        <v>3.94</v>
      </c>
      <c r="Q318" s="509"/>
      <c r="R318" s="572"/>
      <c r="S318" s="495">
        <f t="shared" si="72"/>
        <v>0</v>
      </c>
      <c r="T318" s="571">
        <f t="shared" si="73"/>
        <v>0</v>
      </c>
    </row>
    <row r="319" spans="1:20" ht="60" x14ac:dyDescent="0.25">
      <c r="A319" s="573" t="s">
        <v>418</v>
      </c>
      <c r="B319" s="573" t="s">
        <v>290</v>
      </c>
      <c r="C319" s="573" t="s">
        <v>156</v>
      </c>
      <c r="D319" s="564" t="s">
        <v>501</v>
      </c>
      <c r="E319" s="439"/>
      <c r="F319" s="509"/>
      <c r="G319" s="505" t="s">
        <v>271</v>
      </c>
      <c r="H319" s="509">
        <v>4</v>
      </c>
      <c r="I319" s="509"/>
      <c r="J319" s="509"/>
      <c r="K319" s="495">
        <f t="shared" si="70"/>
        <v>0</v>
      </c>
      <c r="L319" s="571">
        <f t="shared" si="71"/>
        <v>0</v>
      </c>
      <c r="M319" s="439">
        <v>12</v>
      </c>
      <c r="N319" s="495">
        <f>M319/158</f>
        <v>7.5949367088607597E-2</v>
      </c>
      <c r="O319" s="505" t="s">
        <v>271</v>
      </c>
      <c r="P319" s="509">
        <v>4</v>
      </c>
      <c r="Q319" s="509" t="s">
        <v>272</v>
      </c>
      <c r="R319" s="572">
        <v>9.6</v>
      </c>
      <c r="S319" s="495">
        <f t="shared" si="72"/>
        <v>2.31</v>
      </c>
      <c r="T319" s="571">
        <f t="shared" si="73"/>
        <v>11.91</v>
      </c>
    </row>
    <row r="320" spans="1:20" ht="60" x14ac:dyDescent="0.25">
      <c r="A320" s="573" t="s">
        <v>418</v>
      </c>
      <c r="B320" s="573" t="s">
        <v>290</v>
      </c>
      <c r="C320" s="573" t="s">
        <v>156</v>
      </c>
      <c r="D320" s="564" t="s">
        <v>501</v>
      </c>
      <c r="E320" s="439">
        <v>12</v>
      </c>
      <c r="F320" s="495">
        <f>E320/176</f>
        <v>6.8181818181818177E-2</v>
      </c>
      <c r="G320" s="505" t="s">
        <v>271</v>
      </c>
      <c r="H320" s="509">
        <v>4</v>
      </c>
      <c r="I320" s="509" t="s">
        <v>949</v>
      </c>
      <c r="J320" s="509">
        <v>24</v>
      </c>
      <c r="K320" s="495">
        <f t="shared" si="70"/>
        <v>5.78</v>
      </c>
      <c r="L320" s="571">
        <f t="shared" si="71"/>
        <v>29.78</v>
      </c>
      <c r="M320" s="439"/>
      <c r="N320" s="563"/>
      <c r="O320" s="505" t="s">
        <v>271</v>
      </c>
      <c r="P320" s="509">
        <v>4</v>
      </c>
      <c r="Q320" s="509"/>
      <c r="R320" s="572"/>
      <c r="S320" s="495">
        <f t="shared" si="72"/>
        <v>0</v>
      </c>
      <c r="T320" s="571">
        <f t="shared" si="73"/>
        <v>0</v>
      </c>
    </row>
    <row r="321" spans="1:20" ht="60" x14ac:dyDescent="0.25">
      <c r="A321" s="573" t="s">
        <v>418</v>
      </c>
      <c r="B321" s="573" t="s">
        <v>290</v>
      </c>
      <c r="C321" s="573" t="s">
        <v>156</v>
      </c>
      <c r="D321" s="564" t="s">
        <v>502</v>
      </c>
      <c r="E321" s="439"/>
      <c r="F321" s="509"/>
      <c r="G321" s="505" t="s">
        <v>271</v>
      </c>
      <c r="H321" s="509">
        <v>4</v>
      </c>
      <c r="I321" s="509"/>
      <c r="J321" s="509"/>
      <c r="K321" s="495">
        <f t="shared" si="70"/>
        <v>0</v>
      </c>
      <c r="L321" s="571">
        <f t="shared" si="71"/>
        <v>0</v>
      </c>
      <c r="M321" s="439">
        <v>16</v>
      </c>
      <c r="N321" s="495">
        <f>M321/158</f>
        <v>0.10126582278481013</v>
      </c>
      <c r="O321" s="505" t="s">
        <v>271</v>
      </c>
      <c r="P321" s="509">
        <v>4</v>
      </c>
      <c r="Q321" s="509" t="s">
        <v>272</v>
      </c>
      <c r="R321" s="572">
        <v>12.8</v>
      </c>
      <c r="S321" s="495">
        <f t="shared" si="72"/>
        <v>3.08</v>
      </c>
      <c r="T321" s="571">
        <f t="shared" si="73"/>
        <v>15.88</v>
      </c>
    </row>
    <row r="322" spans="1:20" ht="60" x14ac:dyDescent="0.25">
      <c r="A322" s="573" t="s">
        <v>418</v>
      </c>
      <c r="B322" s="573" t="s">
        <v>290</v>
      </c>
      <c r="C322" s="573" t="s">
        <v>156</v>
      </c>
      <c r="D322" s="564" t="s">
        <v>502</v>
      </c>
      <c r="E322" s="439">
        <v>24</v>
      </c>
      <c r="F322" s="495">
        <f>E322/176</f>
        <v>0.13636363636363635</v>
      </c>
      <c r="G322" s="505" t="s">
        <v>271</v>
      </c>
      <c r="H322" s="509">
        <v>4</v>
      </c>
      <c r="I322" s="509" t="s">
        <v>949</v>
      </c>
      <c r="J322" s="509">
        <v>48</v>
      </c>
      <c r="K322" s="495">
        <f t="shared" si="70"/>
        <v>11.56</v>
      </c>
      <c r="L322" s="571">
        <f t="shared" si="71"/>
        <v>59.56</v>
      </c>
      <c r="M322" s="439"/>
      <c r="N322" s="563"/>
      <c r="O322" s="505" t="s">
        <v>271</v>
      </c>
      <c r="P322" s="509">
        <v>4</v>
      </c>
      <c r="Q322" s="509"/>
      <c r="R322" s="572"/>
      <c r="S322" s="495">
        <f t="shared" si="72"/>
        <v>0</v>
      </c>
      <c r="T322" s="571">
        <f t="shared" si="73"/>
        <v>0</v>
      </c>
    </row>
    <row r="323" spans="1:20" ht="60" x14ac:dyDescent="0.25">
      <c r="A323" s="573" t="s">
        <v>418</v>
      </c>
      <c r="B323" s="573" t="s">
        <v>290</v>
      </c>
      <c r="C323" s="573" t="s">
        <v>156</v>
      </c>
      <c r="D323" s="564" t="s">
        <v>503</v>
      </c>
      <c r="E323" s="439"/>
      <c r="F323" s="509"/>
      <c r="G323" s="505" t="s">
        <v>271</v>
      </c>
      <c r="H323" s="509">
        <v>3.9</v>
      </c>
      <c r="I323" s="509"/>
      <c r="J323" s="509"/>
      <c r="K323" s="495">
        <f t="shared" si="70"/>
        <v>0</v>
      </c>
      <c r="L323" s="571">
        <f t="shared" si="71"/>
        <v>0</v>
      </c>
      <c r="M323" s="439">
        <v>16</v>
      </c>
      <c r="N323" s="495">
        <f>M323/158</f>
        <v>0.10126582278481013</v>
      </c>
      <c r="O323" s="505" t="s">
        <v>271</v>
      </c>
      <c r="P323" s="509">
        <v>3.9</v>
      </c>
      <c r="Q323" s="509" t="s">
        <v>272</v>
      </c>
      <c r="R323" s="572">
        <v>12.48</v>
      </c>
      <c r="S323" s="495">
        <f t="shared" si="72"/>
        <v>3.01</v>
      </c>
      <c r="T323" s="571">
        <f t="shared" si="73"/>
        <v>15.49</v>
      </c>
    </row>
    <row r="324" spans="1:20" ht="60" x14ac:dyDescent="0.25">
      <c r="A324" s="573" t="s">
        <v>418</v>
      </c>
      <c r="B324" s="573" t="s">
        <v>290</v>
      </c>
      <c r="C324" s="573" t="s">
        <v>156</v>
      </c>
      <c r="D324" s="564" t="s">
        <v>503</v>
      </c>
      <c r="E324" s="439">
        <v>24</v>
      </c>
      <c r="F324" s="495">
        <f>E324/176</f>
        <v>0.13636363636363635</v>
      </c>
      <c r="G324" s="505" t="s">
        <v>271</v>
      </c>
      <c r="H324" s="509">
        <v>3.9</v>
      </c>
      <c r="I324" s="509" t="s">
        <v>949</v>
      </c>
      <c r="J324" s="509">
        <v>46.8</v>
      </c>
      <c r="K324" s="495">
        <f t="shared" si="70"/>
        <v>11.27</v>
      </c>
      <c r="L324" s="571">
        <f t="shared" si="71"/>
        <v>58.069999999999993</v>
      </c>
      <c r="M324" s="439"/>
      <c r="N324" s="563"/>
      <c r="O324" s="505" t="s">
        <v>271</v>
      </c>
      <c r="P324" s="509">
        <v>3.9</v>
      </c>
      <c r="Q324" s="509"/>
      <c r="R324" s="572"/>
      <c r="S324" s="495">
        <f t="shared" si="72"/>
        <v>0</v>
      </c>
      <c r="T324" s="571">
        <f t="shared" si="73"/>
        <v>0</v>
      </c>
    </row>
    <row r="325" spans="1:20" ht="60" x14ac:dyDescent="0.25">
      <c r="A325" s="573" t="s">
        <v>418</v>
      </c>
      <c r="B325" s="573" t="s">
        <v>290</v>
      </c>
      <c r="C325" s="573" t="s">
        <v>156</v>
      </c>
      <c r="D325" s="564" t="s">
        <v>504</v>
      </c>
      <c r="E325" s="439"/>
      <c r="F325" s="509"/>
      <c r="G325" s="505" t="s">
        <v>271</v>
      </c>
      <c r="H325" s="509">
        <v>3.94</v>
      </c>
      <c r="I325" s="509"/>
      <c r="J325" s="509"/>
      <c r="K325" s="495">
        <f t="shared" si="70"/>
        <v>0</v>
      </c>
      <c r="L325" s="571">
        <f t="shared" si="71"/>
        <v>0</v>
      </c>
      <c r="M325" s="439">
        <v>12</v>
      </c>
      <c r="N325" s="495">
        <f>M325/158</f>
        <v>7.5949367088607597E-2</v>
      </c>
      <c r="O325" s="505" t="s">
        <v>271</v>
      </c>
      <c r="P325" s="509">
        <v>3.94</v>
      </c>
      <c r="Q325" s="509" t="s">
        <v>272</v>
      </c>
      <c r="R325" s="572">
        <v>9.4600000000000009</v>
      </c>
      <c r="S325" s="495">
        <f t="shared" si="72"/>
        <v>2.2799999999999998</v>
      </c>
      <c r="T325" s="571">
        <f t="shared" si="73"/>
        <v>11.74</v>
      </c>
    </row>
    <row r="326" spans="1:20" ht="60" x14ac:dyDescent="0.25">
      <c r="A326" s="573" t="s">
        <v>418</v>
      </c>
      <c r="B326" s="573" t="s">
        <v>290</v>
      </c>
      <c r="C326" s="573" t="s">
        <v>156</v>
      </c>
      <c r="D326" s="564" t="s">
        <v>504</v>
      </c>
      <c r="E326" s="439">
        <v>12</v>
      </c>
      <c r="F326" s="495">
        <f>E326/176</f>
        <v>6.8181818181818177E-2</v>
      </c>
      <c r="G326" s="505" t="s">
        <v>271</v>
      </c>
      <c r="H326" s="509">
        <v>3.94</v>
      </c>
      <c r="I326" s="509" t="s">
        <v>949</v>
      </c>
      <c r="J326" s="509">
        <v>23.64</v>
      </c>
      <c r="K326" s="495">
        <f t="shared" si="70"/>
        <v>5.69</v>
      </c>
      <c r="L326" s="571">
        <f t="shared" si="71"/>
        <v>29.330000000000002</v>
      </c>
      <c r="M326" s="439"/>
      <c r="N326" s="563"/>
      <c r="O326" s="505" t="s">
        <v>271</v>
      </c>
      <c r="P326" s="509">
        <v>3.94</v>
      </c>
      <c r="Q326" s="509"/>
      <c r="R326" s="572"/>
      <c r="S326" s="495">
        <f t="shared" si="72"/>
        <v>0</v>
      </c>
      <c r="T326" s="571">
        <f t="shared" si="73"/>
        <v>0</v>
      </c>
    </row>
    <row r="327" spans="1:20" ht="60" x14ac:dyDescent="0.25">
      <c r="A327" s="573" t="s">
        <v>418</v>
      </c>
      <c r="B327" s="573" t="s">
        <v>290</v>
      </c>
      <c r="C327" s="573" t="s">
        <v>156</v>
      </c>
      <c r="D327" s="564" t="s">
        <v>505</v>
      </c>
      <c r="E327" s="439"/>
      <c r="F327" s="509"/>
      <c r="G327" s="505" t="s">
        <v>271</v>
      </c>
      <c r="H327" s="509">
        <v>3.9</v>
      </c>
      <c r="I327" s="509"/>
      <c r="J327" s="509"/>
      <c r="K327" s="495">
        <f t="shared" si="70"/>
        <v>0</v>
      </c>
      <c r="L327" s="571">
        <f t="shared" si="71"/>
        <v>0</v>
      </c>
      <c r="M327" s="439">
        <v>16</v>
      </c>
      <c r="N327" s="495">
        <f>M327/158</f>
        <v>0.10126582278481013</v>
      </c>
      <c r="O327" s="505" t="s">
        <v>271</v>
      </c>
      <c r="P327" s="509">
        <v>3.9</v>
      </c>
      <c r="Q327" s="509" t="s">
        <v>272</v>
      </c>
      <c r="R327" s="572">
        <v>12.48</v>
      </c>
      <c r="S327" s="495">
        <f t="shared" si="72"/>
        <v>3.01</v>
      </c>
      <c r="T327" s="571">
        <f t="shared" si="73"/>
        <v>15.49</v>
      </c>
    </row>
    <row r="328" spans="1:20" ht="60" x14ac:dyDescent="0.25">
      <c r="A328" s="573" t="s">
        <v>418</v>
      </c>
      <c r="B328" s="573" t="s">
        <v>290</v>
      </c>
      <c r="C328" s="573" t="s">
        <v>156</v>
      </c>
      <c r="D328" s="564" t="s">
        <v>505</v>
      </c>
      <c r="E328" s="439">
        <v>12</v>
      </c>
      <c r="F328" s="495">
        <f>E328/176</f>
        <v>6.8181818181818177E-2</v>
      </c>
      <c r="G328" s="505" t="s">
        <v>271</v>
      </c>
      <c r="H328" s="509">
        <v>3.9</v>
      </c>
      <c r="I328" s="509" t="s">
        <v>949</v>
      </c>
      <c r="J328" s="509">
        <v>23.4</v>
      </c>
      <c r="K328" s="495">
        <f t="shared" si="70"/>
        <v>5.64</v>
      </c>
      <c r="L328" s="571">
        <f t="shared" si="71"/>
        <v>29.04</v>
      </c>
      <c r="M328" s="439"/>
      <c r="N328" s="563"/>
      <c r="O328" s="505" t="s">
        <v>271</v>
      </c>
      <c r="P328" s="509">
        <v>3.9</v>
      </c>
      <c r="Q328" s="509"/>
      <c r="R328" s="572"/>
      <c r="S328" s="495">
        <f t="shared" si="72"/>
        <v>0</v>
      </c>
      <c r="T328" s="571">
        <f t="shared" si="73"/>
        <v>0</v>
      </c>
    </row>
    <row r="329" spans="1:20" ht="60" x14ac:dyDescent="0.25">
      <c r="A329" s="573" t="s">
        <v>418</v>
      </c>
      <c r="B329" s="573" t="s">
        <v>290</v>
      </c>
      <c r="C329" s="573" t="s">
        <v>156</v>
      </c>
      <c r="D329" s="564" t="s">
        <v>506</v>
      </c>
      <c r="E329" s="439"/>
      <c r="F329" s="509"/>
      <c r="G329" s="505" t="s">
        <v>271</v>
      </c>
      <c r="H329" s="509">
        <v>3.9</v>
      </c>
      <c r="I329" s="509"/>
      <c r="J329" s="509"/>
      <c r="K329" s="495">
        <f t="shared" si="70"/>
        <v>0</v>
      </c>
      <c r="L329" s="571">
        <f t="shared" si="71"/>
        <v>0</v>
      </c>
      <c r="M329" s="439">
        <v>16</v>
      </c>
      <c r="N329" s="495">
        <f t="shared" ref="N329:N330" si="82">M329/158</f>
        <v>0.10126582278481013</v>
      </c>
      <c r="O329" s="505" t="s">
        <v>271</v>
      </c>
      <c r="P329" s="509">
        <v>3.9</v>
      </c>
      <c r="Q329" s="509" t="s">
        <v>272</v>
      </c>
      <c r="R329" s="572">
        <v>12.48</v>
      </c>
      <c r="S329" s="495">
        <f t="shared" si="72"/>
        <v>3.01</v>
      </c>
      <c r="T329" s="571">
        <f t="shared" si="73"/>
        <v>15.49</v>
      </c>
    </row>
    <row r="330" spans="1:20" ht="60" x14ac:dyDescent="0.25">
      <c r="A330" s="573" t="s">
        <v>418</v>
      </c>
      <c r="B330" s="573" t="s">
        <v>290</v>
      </c>
      <c r="C330" s="573" t="s">
        <v>156</v>
      </c>
      <c r="D330" s="564" t="s">
        <v>507</v>
      </c>
      <c r="E330" s="439"/>
      <c r="F330" s="509"/>
      <c r="G330" s="505" t="s">
        <v>271</v>
      </c>
      <c r="H330" s="509">
        <v>3.9</v>
      </c>
      <c r="I330" s="509"/>
      <c r="J330" s="509"/>
      <c r="K330" s="495">
        <f t="shared" si="70"/>
        <v>0</v>
      </c>
      <c r="L330" s="571">
        <f t="shared" si="71"/>
        <v>0</v>
      </c>
      <c r="M330" s="439">
        <v>16</v>
      </c>
      <c r="N330" s="495">
        <f t="shared" si="82"/>
        <v>0.10126582278481013</v>
      </c>
      <c r="O330" s="505" t="s">
        <v>271</v>
      </c>
      <c r="P330" s="509">
        <v>3.9</v>
      </c>
      <c r="Q330" s="509" t="s">
        <v>272</v>
      </c>
      <c r="R330" s="572">
        <v>12.48</v>
      </c>
      <c r="S330" s="495">
        <f t="shared" si="72"/>
        <v>3.01</v>
      </c>
      <c r="T330" s="571">
        <f t="shared" si="73"/>
        <v>15.49</v>
      </c>
    </row>
    <row r="331" spans="1:20" ht="60" x14ac:dyDescent="0.25">
      <c r="A331" s="573" t="s">
        <v>418</v>
      </c>
      <c r="B331" s="573" t="s">
        <v>290</v>
      </c>
      <c r="C331" s="573" t="s">
        <v>156</v>
      </c>
      <c r="D331" s="564" t="s">
        <v>507</v>
      </c>
      <c r="E331" s="439">
        <v>24</v>
      </c>
      <c r="F331" s="495">
        <f>E331/176</f>
        <v>0.13636363636363635</v>
      </c>
      <c r="G331" s="505" t="s">
        <v>271</v>
      </c>
      <c r="H331" s="509">
        <v>3.9</v>
      </c>
      <c r="I331" s="509" t="s">
        <v>949</v>
      </c>
      <c r="J331" s="509">
        <v>46.8</v>
      </c>
      <c r="K331" s="495">
        <f t="shared" ref="K331:K394" si="83">ROUND(J331*0.2409,2)</f>
        <v>11.27</v>
      </c>
      <c r="L331" s="571">
        <f t="shared" ref="L331:L394" si="84">K331+J331</f>
        <v>58.069999999999993</v>
      </c>
      <c r="M331" s="439"/>
      <c r="N331" s="563"/>
      <c r="O331" s="505" t="s">
        <v>271</v>
      </c>
      <c r="P331" s="509">
        <v>3.9</v>
      </c>
      <c r="Q331" s="509"/>
      <c r="R331" s="572"/>
      <c r="S331" s="495">
        <f t="shared" ref="S331:S394" si="85">ROUND(R331*0.2409,2)</f>
        <v>0</v>
      </c>
      <c r="T331" s="571">
        <f t="shared" ref="T331:T394" si="86">S331+R331</f>
        <v>0</v>
      </c>
    </row>
    <row r="332" spans="1:20" ht="60" x14ac:dyDescent="0.25">
      <c r="A332" s="573" t="s">
        <v>418</v>
      </c>
      <c r="B332" s="573" t="s">
        <v>290</v>
      </c>
      <c r="C332" s="573" t="s">
        <v>156</v>
      </c>
      <c r="D332" s="564" t="s">
        <v>508</v>
      </c>
      <c r="E332" s="439"/>
      <c r="F332" s="509"/>
      <c r="G332" s="505" t="s">
        <v>271</v>
      </c>
      <c r="H332" s="509">
        <v>3.81</v>
      </c>
      <c r="I332" s="509"/>
      <c r="J332" s="509"/>
      <c r="K332" s="495">
        <f t="shared" si="83"/>
        <v>0</v>
      </c>
      <c r="L332" s="571">
        <f t="shared" si="84"/>
        <v>0</v>
      </c>
      <c r="M332" s="439">
        <v>16</v>
      </c>
      <c r="N332" s="495">
        <f>M332/158</f>
        <v>0.10126582278481013</v>
      </c>
      <c r="O332" s="505" t="s">
        <v>271</v>
      </c>
      <c r="P332" s="509">
        <v>3.81</v>
      </c>
      <c r="Q332" s="509" t="s">
        <v>272</v>
      </c>
      <c r="R332" s="572">
        <v>12.19</v>
      </c>
      <c r="S332" s="495">
        <f t="shared" si="85"/>
        <v>2.94</v>
      </c>
      <c r="T332" s="571">
        <f t="shared" si="86"/>
        <v>15.129999999999999</v>
      </c>
    </row>
    <row r="333" spans="1:20" ht="60" x14ac:dyDescent="0.25">
      <c r="A333" s="573" t="s">
        <v>418</v>
      </c>
      <c r="B333" s="573" t="s">
        <v>290</v>
      </c>
      <c r="C333" s="573" t="s">
        <v>156</v>
      </c>
      <c r="D333" s="564" t="s">
        <v>508</v>
      </c>
      <c r="E333" s="439">
        <v>24</v>
      </c>
      <c r="F333" s="495">
        <f>E333/176</f>
        <v>0.13636363636363635</v>
      </c>
      <c r="G333" s="505" t="s">
        <v>271</v>
      </c>
      <c r="H333" s="509">
        <v>3.81</v>
      </c>
      <c r="I333" s="509" t="s">
        <v>949</v>
      </c>
      <c r="J333" s="509">
        <v>45.72</v>
      </c>
      <c r="K333" s="495">
        <f t="shared" si="83"/>
        <v>11.01</v>
      </c>
      <c r="L333" s="571">
        <f t="shared" si="84"/>
        <v>56.73</v>
      </c>
      <c r="M333" s="439"/>
      <c r="N333" s="563"/>
      <c r="O333" s="505" t="s">
        <v>271</v>
      </c>
      <c r="P333" s="509">
        <v>3.81</v>
      </c>
      <c r="Q333" s="509"/>
      <c r="R333" s="572"/>
      <c r="S333" s="495">
        <f t="shared" si="85"/>
        <v>0</v>
      </c>
      <c r="T333" s="571">
        <f t="shared" si="86"/>
        <v>0</v>
      </c>
    </row>
    <row r="334" spans="1:20" ht="60" x14ac:dyDescent="0.25">
      <c r="A334" s="573" t="s">
        <v>418</v>
      </c>
      <c r="B334" s="573" t="s">
        <v>290</v>
      </c>
      <c r="C334" s="573" t="s">
        <v>156</v>
      </c>
      <c r="D334" s="564" t="s">
        <v>509</v>
      </c>
      <c r="E334" s="439"/>
      <c r="F334" s="509"/>
      <c r="G334" s="505" t="s">
        <v>271</v>
      </c>
      <c r="H334" s="509">
        <v>3.81</v>
      </c>
      <c r="I334" s="509"/>
      <c r="J334" s="509"/>
      <c r="K334" s="495">
        <f t="shared" si="83"/>
        <v>0</v>
      </c>
      <c r="L334" s="571">
        <f t="shared" si="84"/>
        <v>0</v>
      </c>
      <c r="M334" s="439">
        <v>14</v>
      </c>
      <c r="N334" s="495">
        <f>M334/158</f>
        <v>8.8607594936708861E-2</v>
      </c>
      <c r="O334" s="505" t="s">
        <v>271</v>
      </c>
      <c r="P334" s="509">
        <v>3.81</v>
      </c>
      <c r="Q334" s="509" t="s">
        <v>272</v>
      </c>
      <c r="R334" s="572">
        <v>10.67</v>
      </c>
      <c r="S334" s="495">
        <f t="shared" si="85"/>
        <v>2.57</v>
      </c>
      <c r="T334" s="571">
        <f t="shared" si="86"/>
        <v>13.24</v>
      </c>
    </row>
    <row r="335" spans="1:20" ht="60" x14ac:dyDescent="0.25">
      <c r="A335" s="573" t="s">
        <v>418</v>
      </c>
      <c r="B335" s="573" t="s">
        <v>290</v>
      </c>
      <c r="C335" s="573" t="s">
        <v>156</v>
      </c>
      <c r="D335" s="564" t="s">
        <v>509</v>
      </c>
      <c r="E335" s="439">
        <v>12</v>
      </c>
      <c r="F335" s="495">
        <f>E335/176</f>
        <v>6.8181818181818177E-2</v>
      </c>
      <c r="G335" s="505" t="s">
        <v>271</v>
      </c>
      <c r="H335" s="509">
        <v>3.81</v>
      </c>
      <c r="I335" s="509" t="s">
        <v>949</v>
      </c>
      <c r="J335" s="509">
        <v>22.86</v>
      </c>
      <c r="K335" s="495">
        <f t="shared" si="83"/>
        <v>5.51</v>
      </c>
      <c r="L335" s="571">
        <f t="shared" si="84"/>
        <v>28.369999999999997</v>
      </c>
      <c r="M335" s="439"/>
      <c r="N335" s="563"/>
      <c r="O335" s="505" t="s">
        <v>271</v>
      </c>
      <c r="P335" s="509">
        <v>3.81</v>
      </c>
      <c r="Q335" s="509"/>
      <c r="R335" s="572"/>
      <c r="S335" s="495">
        <f t="shared" si="85"/>
        <v>0</v>
      </c>
      <c r="T335" s="571">
        <f t="shared" si="86"/>
        <v>0</v>
      </c>
    </row>
    <row r="336" spans="1:20" ht="60" x14ac:dyDescent="0.25">
      <c r="A336" s="573" t="s">
        <v>418</v>
      </c>
      <c r="B336" s="573" t="s">
        <v>290</v>
      </c>
      <c r="C336" s="573" t="s">
        <v>156</v>
      </c>
      <c r="D336" s="564" t="s">
        <v>510</v>
      </c>
      <c r="E336" s="439"/>
      <c r="F336" s="509"/>
      <c r="G336" s="505" t="s">
        <v>271</v>
      </c>
      <c r="H336" s="509">
        <v>3.81</v>
      </c>
      <c r="I336" s="509"/>
      <c r="J336" s="509"/>
      <c r="K336" s="495">
        <f t="shared" si="83"/>
        <v>0</v>
      </c>
      <c r="L336" s="571">
        <f t="shared" si="84"/>
        <v>0</v>
      </c>
      <c r="M336" s="439">
        <v>14</v>
      </c>
      <c r="N336" s="495">
        <f t="shared" ref="N336:N337" si="87">M336/158</f>
        <v>8.8607594936708861E-2</v>
      </c>
      <c r="O336" s="505" t="s">
        <v>271</v>
      </c>
      <c r="P336" s="509">
        <v>3.81</v>
      </c>
      <c r="Q336" s="509" t="s">
        <v>272</v>
      </c>
      <c r="R336" s="572">
        <v>10.67</v>
      </c>
      <c r="S336" s="495">
        <f t="shared" si="85"/>
        <v>2.57</v>
      </c>
      <c r="T336" s="571">
        <f t="shared" si="86"/>
        <v>13.24</v>
      </c>
    </row>
    <row r="337" spans="1:20" ht="60" x14ac:dyDescent="0.25">
      <c r="A337" s="573" t="s">
        <v>418</v>
      </c>
      <c r="B337" s="573" t="s">
        <v>290</v>
      </c>
      <c r="C337" s="573" t="s">
        <v>156</v>
      </c>
      <c r="D337" s="564" t="s">
        <v>511</v>
      </c>
      <c r="E337" s="439"/>
      <c r="F337" s="509"/>
      <c r="G337" s="505" t="s">
        <v>271</v>
      </c>
      <c r="H337" s="509">
        <v>3.94</v>
      </c>
      <c r="I337" s="509"/>
      <c r="J337" s="509"/>
      <c r="K337" s="495">
        <f t="shared" si="83"/>
        <v>0</v>
      </c>
      <c r="L337" s="571">
        <f t="shared" si="84"/>
        <v>0</v>
      </c>
      <c r="M337" s="439">
        <v>14</v>
      </c>
      <c r="N337" s="495">
        <f t="shared" si="87"/>
        <v>8.8607594936708861E-2</v>
      </c>
      <c r="O337" s="505" t="s">
        <v>271</v>
      </c>
      <c r="P337" s="509">
        <v>3.94</v>
      </c>
      <c r="Q337" s="509" t="s">
        <v>272</v>
      </c>
      <c r="R337" s="572">
        <v>11.03</v>
      </c>
      <c r="S337" s="495">
        <f t="shared" si="85"/>
        <v>2.66</v>
      </c>
      <c r="T337" s="571">
        <f t="shared" si="86"/>
        <v>13.69</v>
      </c>
    </row>
    <row r="338" spans="1:20" ht="60" x14ac:dyDescent="0.25">
      <c r="A338" s="573" t="s">
        <v>418</v>
      </c>
      <c r="B338" s="573" t="s">
        <v>290</v>
      </c>
      <c r="C338" s="573" t="s">
        <v>156</v>
      </c>
      <c r="D338" s="564" t="s">
        <v>511</v>
      </c>
      <c r="E338" s="439">
        <v>12</v>
      </c>
      <c r="F338" s="495">
        <f>E338/176</f>
        <v>6.8181818181818177E-2</v>
      </c>
      <c r="G338" s="505" t="s">
        <v>271</v>
      </c>
      <c r="H338" s="509">
        <v>3.94</v>
      </c>
      <c r="I338" s="509" t="s">
        <v>949</v>
      </c>
      <c r="J338" s="509">
        <v>23.64</v>
      </c>
      <c r="K338" s="495">
        <f t="shared" si="83"/>
        <v>5.69</v>
      </c>
      <c r="L338" s="571">
        <f t="shared" si="84"/>
        <v>29.330000000000002</v>
      </c>
      <c r="M338" s="439"/>
      <c r="N338" s="563"/>
      <c r="O338" s="505" t="s">
        <v>271</v>
      </c>
      <c r="P338" s="509">
        <v>3.94</v>
      </c>
      <c r="Q338" s="509"/>
      <c r="R338" s="572"/>
      <c r="S338" s="495">
        <f t="shared" si="85"/>
        <v>0</v>
      </c>
      <c r="T338" s="571">
        <f t="shared" si="86"/>
        <v>0</v>
      </c>
    </row>
    <row r="339" spans="1:20" ht="60" x14ac:dyDescent="0.25">
      <c r="A339" s="573" t="s">
        <v>418</v>
      </c>
      <c r="B339" s="573" t="s">
        <v>290</v>
      </c>
      <c r="C339" s="573" t="s">
        <v>156</v>
      </c>
      <c r="D339" s="564" t="s">
        <v>512</v>
      </c>
      <c r="E339" s="439"/>
      <c r="F339" s="509"/>
      <c r="G339" s="505" t="s">
        <v>271</v>
      </c>
      <c r="H339" s="509">
        <v>3.81</v>
      </c>
      <c r="I339" s="509"/>
      <c r="J339" s="509"/>
      <c r="K339" s="495">
        <f t="shared" si="83"/>
        <v>0</v>
      </c>
      <c r="L339" s="571">
        <f t="shared" si="84"/>
        <v>0</v>
      </c>
      <c r="M339" s="439">
        <v>18</v>
      </c>
      <c r="N339" s="495">
        <f>M339/158</f>
        <v>0.11392405063291139</v>
      </c>
      <c r="O339" s="505" t="s">
        <v>271</v>
      </c>
      <c r="P339" s="509">
        <v>3.81</v>
      </c>
      <c r="Q339" s="509" t="s">
        <v>272</v>
      </c>
      <c r="R339" s="572">
        <v>13.72</v>
      </c>
      <c r="S339" s="495">
        <f t="shared" si="85"/>
        <v>3.31</v>
      </c>
      <c r="T339" s="571">
        <f t="shared" si="86"/>
        <v>17.03</v>
      </c>
    </row>
    <row r="340" spans="1:20" ht="60" x14ac:dyDescent="0.25">
      <c r="A340" s="573" t="s">
        <v>418</v>
      </c>
      <c r="B340" s="573" t="s">
        <v>290</v>
      </c>
      <c r="C340" s="573" t="s">
        <v>156</v>
      </c>
      <c r="D340" s="564" t="s">
        <v>512</v>
      </c>
      <c r="E340" s="439">
        <v>12</v>
      </c>
      <c r="F340" s="495">
        <f>E340/176</f>
        <v>6.8181818181818177E-2</v>
      </c>
      <c r="G340" s="505" t="s">
        <v>271</v>
      </c>
      <c r="H340" s="509">
        <v>3.81</v>
      </c>
      <c r="I340" s="509" t="s">
        <v>949</v>
      </c>
      <c r="J340" s="509">
        <v>22.86</v>
      </c>
      <c r="K340" s="495">
        <f t="shared" si="83"/>
        <v>5.51</v>
      </c>
      <c r="L340" s="571">
        <f t="shared" si="84"/>
        <v>28.369999999999997</v>
      </c>
      <c r="M340" s="439"/>
      <c r="N340" s="563"/>
      <c r="O340" s="505" t="s">
        <v>271</v>
      </c>
      <c r="P340" s="509">
        <v>3.81</v>
      </c>
      <c r="Q340" s="509"/>
      <c r="R340" s="572"/>
      <c r="S340" s="495">
        <f t="shared" si="85"/>
        <v>0</v>
      </c>
      <c r="T340" s="571">
        <f t="shared" si="86"/>
        <v>0</v>
      </c>
    </row>
    <row r="341" spans="1:20" ht="60" x14ac:dyDescent="0.25">
      <c r="A341" s="573" t="s">
        <v>418</v>
      </c>
      <c r="B341" s="573" t="s">
        <v>290</v>
      </c>
      <c r="C341" s="573" t="s">
        <v>156</v>
      </c>
      <c r="D341" s="564" t="s">
        <v>513</v>
      </c>
      <c r="E341" s="439"/>
      <c r="F341" s="509"/>
      <c r="G341" s="505" t="s">
        <v>271</v>
      </c>
      <c r="H341" s="509">
        <v>3.81</v>
      </c>
      <c r="I341" s="509"/>
      <c r="J341" s="509"/>
      <c r="K341" s="495">
        <f t="shared" si="83"/>
        <v>0</v>
      </c>
      <c r="L341" s="571">
        <f t="shared" si="84"/>
        <v>0</v>
      </c>
      <c r="M341" s="439">
        <v>2</v>
      </c>
      <c r="N341" s="495">
        <f>M341/158</f>
        <v>1.2658227848101266E-2</v>
      </c>
      <c r="O341" s="505" t="s">
        <v>271</v>
      </c>
      <c r="P341" s="509">
        <v>3.81</v>
      </c>
      <c r="Q341" s="509" t="s">
        <v>272</v>
      </c>
      <c r="R341" s="572">
        <v>1.52</v>
      </c>
      <c r="S341" s="495">
        <f t="shared" si="85"/>
        <v>0.37</v>
      </c>
      <c r="T341" s="571">
        <f t="shared" si="86"/>
        <v>1.8900000000000001</v>
      </c>
    </row>
    <row r="342" spans="1:20" ht="60.75" thickBot="1" x14ac:dyDescent="0.3">
      <c r="A342" s="574" t="s">
        <v>418</v>
      </c>
      <c r="B342" s="574" t="s">
        <v>290</v>
      </c>
      <c r="C342" s="574" t="s">
        <v>156</v>
      </c>
      <c r="D342" s="575" t="s">
        <v>513</v>
      </c>
      <c r="E342" s="576">
        <v>12</v>
      </c>
      <c r="F342" s="577">
        <f t="shared" ref="F342:F343" si="88">E342/176</f>
        <v>6.8181818181818177E-2</v>
      </c>
      <c r="G342" s="578" t="s">
        <v>271</v>
      </c>
      <c r="H342" s="579">
        <v>3.81</v>
      </c>
      <c r="I342" s="579" t="s">
        <v>949</v>
      </c>
      <c r="J342" s="579">
        <v>22.86</v>
      </c>
      <c r="K342" s="577">
        <f t="shared" si="83"/>
        <v>5.51</v>
      </c>
      <c r="L342" s="580">
        <f t="shared" si="84"/>
        <v>28.369999999999997</v>
      </c>
      <c r="M342" s="576"/>
      <c r="N342" s="581"/>
      <c r="O342" s="578" t="s">
        <v>271</v>
      </c>
      <c r="P342" s="579">
        <v>3.81</v>
      </c>
      <c r="Q342" s="579"/>
      <c r="R342" s="582"/>
      <c r="S342" s="577">
        <f t="shared" si="85"/>
        <v>0</v>
      </c>
      <c r="T342" s="580">
        <f t="shared" si="86"/>
        <v>0</v>
      </c>
    </row>
    <row r="343" spans="1:20" ht="95.25" thickBot="1" x14ac:dyDescent="0.3">
      <c r="A343" s="583" t="s">
        <v>514</v>
      </c>
      <c r="B343" s="584"/>
      <c r="C343" s="584"/>
      <c r="D343" s="585"/>
      <c r="E343" s="586">
        <v>933.5</v>
      </c>
      <c r="F343" s="587">
        <f t="shared" si="88"/>
        <v>5.3039772727272725</v>
      </c>
      <c r="G343" s="588"/>
      <c r="H343" s="589"/>
      <c r="I343" s="589"/>
      <c r="J343" s="589">
        <v>2253.5899999999997</v>
      </c>
      <c r="K343" s="587">
        <f t="shared" si="83"/>
        <v>542.89</v>
      </c>
      <c r="L343" s="590">
        <f t="shared" si="84"/>
        <v>2796.4799999999996</v>
      </c>
      <c r="M343" s="586">
        <v>1389</v>
      </c>
      <c r="N343" s="587">
        <f t="shared" ref="N343:N344" si="89">M343/158</f>
        <v>8.7911392405063289</v>
      </c>
      <c r="O343" s="588"/>
      <c r="P343" s="589"/>
      <c r="Q343" s="589"/>
      <c r="R343" s="591">
        <v>1602.8699999999994</v>
      </c>
      <c r="S343" s="587">
        <f t="shared" si="85"/>
        <v>386.13</v>
      </c>
      <c r="T343" s="590">
        <f t="shared" si="86"/>
        <v>1988.9999999999995</v>
      </c>
    </row>
    <row r="344" spans="1:20" ht="75" x14ac:dyDescent="0.25">
      <c r="A344" s="592" t="s">
        <v>515</v>
      </c>
      <c r="B344" s="592" t="s">
        <v>362</v>
      </c>
      <c r="C344" s="592" t="s">
        <v>363</v>
      </c>
      <c r="D344" s="593" t="s">
        <v>516</v>
      </c>
      <c r="E344" s="565"/>
      <c r="F344" s="566"/>
      <c r="G344" s="569" t="s">
        <v>271</v>
      </c>
      <c r="H344" s="566">
        <v>6.85</v>
      </c>
      <c r="I344" s="566"/>
      <c r="J344" s="566"/>
      <c r="K344" s="567">
        <f t="shared" si="83"/>
        <v>0</v>
      </c>
      <c r="L344" s="568">
        <f t="shared" si="84"/>
        <v>0</v>
      </c>
      <c r="M344" s="565">
        <v>57</v>
      </c>
      <c r="N344" s="567">
        <f t="shared" si="89"/>
        <v>0.36075949367088606</v>
      </c>
      <c r="O344" s="569" t="s">
        <v>271</v>
      </c>
      <c r="P344" s="566">
        <v>6.85</v>
      </c>
      <c r="Q344" s="566" t="s">
        <v>272</v>
      </c>
      <c r="R344" s="570">
        <v>78.09</v>
      </c>
      <c r="S344" s="567">
        <f t="shared" si="85"/>
        <v>18.809999999999999</v>
      </c>
      <c r="T344" s="568">
        <f t="shared" si="86"/>
        <v>96.9</v>
      </c>
    </row>
    <row r="345" spans="1:20" ht="75" x14ac:dyDescent="0.25">
      <c r="A345" s="573" t="s">
        <v>515</v>
      </c>
      <c r="B345" s="573" t="s">
        <v>362</v>
      </c>
      <c r="C345" s="573" t="s">
        <v>363</v>
      </c>
      <c r="D345" s="564" t="s">
        <v>516</v>
      </c>
      <c r="E345" s="439">
        <v>12</v>
      </c>
      <c r="F345" s="495">
        <f>E345/176</f>
        <v>6.8181818181818177E-2</v>
      </c>
      <c r="G345" s="505" t="s">
        <v>271</v>
      </c>
      <c r="H345" s="509">
        <v>6.85</v>
      </c>
      <c r="I345" s="509" t="s">
        <v>949</v>
      </c>
      <c r="J345" s="509">
        <v>41.1</v>
      </c>
      <c r="K345" s="495">
        <f t="shared" si="83"/>
        <v>9.9</v>
      </c>
      <c r="L345" s="571">
        <f t="shared" si="84"/>
        <v>51</v>
      </c>
      <c r="M345" s="439"/>
      <c r="N345" s="563"/>
      <c r="O345" s="505" t="s">
        <v>271</v>
      </c>
      <c r="P345" s="509">
        <v>6.85</v>
      </c>
      <c r="Q345" s="509"/>
      <c r="R345" s="572"/>
      <c r="S345" s="495">
        <f t="shared" si="85"/>
        <v>0</v>
      </c>
      <c r="T345" s="571">
        <f t="shared" si="86"/>
        <v>0</v>
      </c>
    </row>
    <row r="346" spans="1:20" ht="75" x14ac:dyDescent="0.25">
      <c r="A346" s="573" t="s">
        <v>515</v>
      </c>
      <c r="B346" s="573" t="s">
        <v>362</v>
      </c>
      <c r="C346" s="573" t="s">
        <v>363</v>
      </c>
      <c r="D346" s="564" t="s">
        <v>517</v>
      </c>
      <c r="E346" s="439"/>
      <c r="F346" s="509"/>
      <c r="G346" s="505" t="s">
        <v>271</v>
      </c>
      <c r="H346" s="509">
        <v>6.85</v>
      </c>
      <c r="I346" s="509"/>
      <c r="J346" s="509"/>
      <c r="K346" s="495">
        <f t="shared" si="83"/>
        <v>0</v>
      </c>
      <c r="L346" s="571">
        <f t="shared" si="84"/>
        <v>0</v>
      </c>
      <c r="M346" s="439">
        <v>24</v>
      </c>
      <c r="N346" s="495">
        <f t="shared" ref="N346:N347" si="90">M346/158</f>
        <v>0.15189873417721519</v>
      </c>
      <c r="O346" s="505" t="s">
        <v>271</v>
      </c>
      <c r="P346" s="509">
        <v>6.85</v>
      </c>
      <c r="Q346" s="509" t="s">
        <v>272</v>
      </c>
      <c r="R346" s="572">
        <v>32.880000000000003</v>
      </c>
      <c r="S346" s="495">
        <f t="shared" si="85"/>
        <v>7.92</v>
      </c>
      <c r="T346" s="571">
        <f t="shared" si="86"/>
        <v>40.800000000000004</v>
      </c>
    </row>
    <row r="347" spans="1:20" ht="75" x14ac:dyDescent="0.25">
      <c r="A347" s="573" t="s">
        <v>515</v>
      </c>
      <c r="B347" s="573" t="s">
        <v>362</v>
      </c>
      <c r="C347" s="573" t="s">
        <v>363</v>
      </c>
      <c r="D347" s="564" t="s">
        <v>369</v>
      </c>
      <c r="E347" s="439"/>
      <c r="F347" s="509"/>
      <c r="G347" s="505" t="s">
        <v>271</v>
      </c>
      <c r="H347" s="509">
        <v>6.85</v>
      </c>
      <c r="I347" s="509"/>
      <c r="J347" s="509"/>
      <c r="K347" s="495">
        <f t="shared" si="83"/>
        <v>0</v>
      </c>
      <c r="L347" s="571">
        <f t="shared" si="84"/>
        <v>0</v>
      </c>
      <c r="M347" s="439">
        <v>12</v>
      </c>
      <c r="N347" s="495">
        <f t="shared" si="90"/>
        <v>7.5949367088607597E-2</v>
      </c>
      <c r="O347" s="505" t="s">
        <v>271</v>
      </c>
      <c r="P347" s="509">
        <v>6.85</v>
      </c>
      <c r="Q347" s="509" t="s">
        <v>272</v>
      </c>
      <c r="R347" s="572">
        <v>16.440000000000001</v>
      </c>
      <c r="S347" s="495">
        <f t="shared" si="85"/>
        <v>3.96</v>
      </c>
      <c r="T347" s="571">
        <f t="shared" si="86"/>
        <v>20.400000000000002</v>
      </c>
    </row>
    <row r="348" spans="1:20" ht="75" x14ac:dyDescent="0.25">
      <c r="A348" s="573" t="s">
        <v>515</v>
      </c>
      <c r="B348" s="573" t="s">
        <v>362</v>
      </c>
      <c r="C348" s="573" t="s">
        <v>363</v>
      </c>
      <c r="D348" s="564" t="s">
        <v>369</v>
      </c>
      <c r="E348" s="439">
        <v>12</v>
      </c>
      <c r="F348" s="495">
        <f>E348/176</f>
        <v>6.8181818181818177E-2</v>
      </c>
      <c r="G348" s="505" t="s">
        <v>271</v>
      </c>
      <c r="H348" s="509">
        <v>6.85</v>
      </c>
      <c r="I348" s="509" t="s">
        <v>949</v>
      </c>
      <c r="J348" s="509">
        <v>41.1</v>
      </c>
      <c r="K348" s="495">
        <f t="shared" si="83"/>
        <v>9.9</v>
      </c>
      <c r="L348" s="571">
        <f t="shared" si="84"/>
        <v>51</v>
      </c>
      <c r="M348" s="439"/>
      <c r="N348" s="563"/>
      <c r="O348" s="505" t="s">
        <v>271</v>
      </c>
      <c r="P348" s="509">
        <v>6.85</v>
      </c>
      <c r="Q348" s="509"/>
      <c r="R348" s="572"/>
      <c r="S348" s="495">
        <f t="shared" si="85"/>
        <v>0</v>
      </c>
      <c r="T348" s="571">
        <f t="shared" si="86"/>
        <v>0</v>
      </c>
    </row>
    <row r="349" spans="1:20" ht="75" x14ac:dyDescent="0.25">
      <c r="A349" s="573" t="s">
        <v>515</v>
      </c>
      <c r="B349" s="573" t="s">
        <v>362</v>
      </c>
      <c r="C349" s="573" t="s">
        <v>363</v>
      </c>
      <c r="D349" s="564" t="s">
        <v>518</v>
      </c>
      <c r="E349" s="439"/>
      <c r="F349" s="509"/>
      <c r="G349" s="505" t="s">
        <v>271</v>
      </c>
      <c r="H349" s="509">
        <v>6.85</v>
      </c>
      <c r="I349" s="509"/>
      <c r="J349" s="509"/>
      <c r="K349" s="495">
        <f t="shared" si="83"/>
        <v>0</v>
      </c>
      <c r="L349" s="571">
        <f t="shared" si="84"/>
        <v>0</v>
      </c>
      <c r="M349" s="439">
        <v>8</v>
      </c>
      <c r="N349" s="495">
        <f>M349/158</f>
        <v>5.0632911392405063E-2</v>
      </c>
      <c r="O349" s="505" t="s">
        <v>271</v>
      </c>
      <c r="P349" s="509">
        <v>6.85</v>
      </c>
      <c r="Q349" s="509" t="s">
        <v>272</v>
      </c>
      <c r="R349" s="572">
        <v>10.96</v>
      </c>
      <c r="S349" s="495">
        <f t="shared" si="85"/>
        <v>2.64</v>
      </c>
      <c r="T349" s="571">
        <f t="shared" si="86"/>
        <v>13.600000000000001</v>
      </c>
    </row>
    <row r="350" spans="1:20" ht="75" x14ac:dyDescent="0.25">
      <c r="A350" s="573" t="s">
        <v>515</v>
      </c>
      <c r="B350" s="573" t="s">
        <v>362</v>
      </c>
      <c r="C350" s="573" t="s">
        <v>363</v>
      </c>
      <c r="D350" s="564" t="s">
        <v>518</v>
      </c>
      <c r="E350" s="439">
        <v>24</v>
      </c>
      <c r="F350" s="495">
        <f>E350/176</f>
        <v>0.13636363636363635</v>
      </c>
      <c r="G350" s="505" t="s">
        <v>271</v>
      </c>
      <c r="H350" s="509">
        <v>6.85</v>
      </c>
      <c r="I350" s="509" t="s">
        <v>949</v>
      </c>
      <c r="J350" s="509">
        <v>82.2</v>
      </c>
      <c r="K350" s="495">
        <f t="shared" si="83"/>
        <v>19.8</v>
      </c>
      <c r="L350" s="571">
        <f t="shared" si="84"/>
        <v>102</v>
      </c>
      <c r="M350" s="439"/>
      <c r="N350" s="563"/>
      <c r="O350" s="505" t="s">
        <v>271</v>
      </c>
      <c r="P350" s="509">
        <v>6.85</v>
      </c>
      <c r="Q350" s="509"/>
      <c r="R350" s="572"/>
      <c r="S350" s="495">
        <f t="shared" si="85"/>
        <v>0</v>
      </c>
      <c r="T350" s="571">
        <f t="shared" si="86"/>
        <v>0</v>
      </c>
    </row>
    <row r="351" spans="1:20" ht="75" x14ac:dyDescent="0.25">
      <c r="A351" s="573" t="s">
        <v>515</v>
      </c>
      <c r="B351" s="573" t="s">
        <v>362</v>
      </c>
      <c r="C351" s="573" t="s">
        <v>363</v>
      </c>
      <c r="D351" s="564" t="s">
        <v>519</v>
      </c>
      <c r="E351" s="439"/>
      <c r="F351" s="509"/>
      <c r="G351" s="505" t="s">
        <v>271</v>
      </c>
      <c r="H351" s="509">
        <v>6.85</v>
      </c>
      <c r="I351" s="509"/>
      <c r="J351" s="509"/>
      <c r="K351" s="495">
        <f t="shared" si="83"/>
        <v>0</v>
      </c>
      <c r="L351" s="571">
        <f t="shared" si="84"/>
        <v>0</v>
      </c>
      <c r="M351" s="439">
        <v>8</v>
      </c>
      <c r="N351" s="495">
        <f t="shared" ref="N351:N352" si="91">M351/158</f>
        <v>5.0632911392405063E-2</v>
      </c>
      <c r="O351" s="505" t="s">
        <v>271</v>
      </c>
      <c r="P351" s="509">
        <v>6.85</v>
      </c>
      <c r="Q351" s="509" t="s">
        <v>272</v>
      </c>
      <c r="R351" s="572">
        <v>10.96</v>
      </c>
      <c r="S351" s="495">
        <f t="shared" si="85"/>
        <v>2.64</v>
      </c>
      <c r="T351" s="571">
        <f t="shared" si="86"/>
        <v>13.600000000000001</v>
      </c>
    </row>
    <row r="352" spans="1:20" ht="75" x14ac:dyDescent="0.25">
      <c r="A352" s="573" t="s">
        <v>515</v>
      </c>
      <c r="B352" s="573" t="s">
        <v>362</v>
      </c>
      <c r="C352" s="573" t="s">
        <v>520</v>
      </c>
      <c r="D352" s="564" t="s">
        <v>521</v>
      </c>
      <c r="E352" s="439"/>
      <c r="F352" s="509"/>
      <c r="G352" s="505" t="s">
        <v>289</v>
      </c>
      <c r="H352" s="509">
        <v>1995</v>
      </c>
      <c r="I352" s="509"/>
      <c r="J352" s="509"/>
      <c r="K352" s="495">
        <f t="shared" si="83"/>
        <v>0</v>
      </c>
      <c r="L352" s="571">
        <f t="shared" si="84"/>
        <v>0</v>
      </c>
      <c r="M352" s="439">
        <v>119</v>
      </c>
      <c r="N352" s="495">
        <f t="shared" si="91"/>
        <v>0.75316455696202533</v>
      </c>
      <c r="O352" s="505" t="s">
        <v>289</v>
      </c>
      <c r="P352" s="509">
        <v>1995</v>
      </c>
      <c r="Q352" s="509" t="s">
        <v>272</v>
      </c>
      <c r="R352" s="572">
        <v>300.52999999999997</v>
      </c>
      <c r="S352" s="495">
        <f t="shared" si="85"/>
        <v>72.400000000000006</v>
      </c>
      <c r="T352" s="571">
        <f t="shared" si="86"/>
        <v>372.92999999999995</v>
      </c>
    </row>
    <row r="353" spans="1:20" ht="75" x14ac:dyDescent="0.25">
      <c r="A353" s="573" t="s">
        <v>515</v>
      </c>
      <c r="B353" s="573" t="s">
        <v>362</v>
      </c>
      <c r="C353" s="573" t="s">
        <v>520</v>
      </c>
      <c r="D353" s="564" t="s">
        <v>521</v>
      </c>
      <c r="E353" s="439">
        <v>20</v>
      </c>
      <c r="F353" s="495">
        <f>E353/176</f>
        <v>0.11363636363636363</v>
      </c>
      <c r="G353" s="505" t="s">
        <v>289</v>
      </c>
      <c r="H353" s="509">
        <v>1995</v>
      </c>
      <c r="I353" s="509" t="s">
        <v>950</v>
      </c>
      <c r="J353" s="509">
        <v>68.010000000000005</v>
      </c>
      <c r="K353" s="495">
        <f t="shared" si="83"/>
        <v>16.38</v>
      </c>
      <c r="L353" s="571">
        <f t="shared" si="84"/>
        <v>84.39</v>
      </c>
      <c r="M353" s="439"/>
      <c r="N353" s="563"/>
      <c r="O353" s="505" t="s">
        <v>289</v>
      </c>
      <c r="P353" s="509">
        <v>1995</v>
      </c>
      <c r="Q353" s="509"/>
      <c r="R353" s="572"/>
      <c r="S353" s="495">
        <f t="shared" si="85"/>
        <v>0</v>
      </c>
      <c r="T353" s="571">
        <f t="shared" si="86"/>
        <v>0</v>
      </c>
    </row>
    <row r="354" spans="1:20" ht="75" x14ac:dyDescent="0.25">
      <c r="A354" s="573" t="s">
        <v>515</v>
      </c>
      <c r="B354" s="573" t="s">
        <v>362</v>
      </c>
      <c r="C354" s="573" t="s">
        <v>522</v>
      </c>
      <c r="D354" s="564" t="s">
        <v>523</v>
      </c>
      <c r="E354" s="439"/>
      <c r="F354" s="509"/>
      <c r="G354" s="505" t="s">
        <v>289</v>
      </c>
      <c r="H354" s="509">
        <v>2173.5</v>
      </c>
      <c r="I354" s="509"/>
      <c r="J354" s="509"/>
      <c r="K354" s="495">
        <f t="shared" si="83"/>
        <v>0</v>
      </c>
      <c r="L354" s="571">
        <f t="shared" si="84"/>
        <v>0</v>
      </c>
      <c r="M354" s="439">
        <v>79</v>
      </c>
      <c r="N354" s="495">
        <f>M354/158</f>
        <v>0.5</v>
      </c>
      <c r="O354" s="505" t="s">
        <v>289</v>
      </c>
      <c r="P354" s="509">
        <v>2173.5</v>
      </c>
      <c r="Q354" s="509" t="s">
        <v>272</v>
      </c>
      <c r="R354" s="572">
        <v>217.35</v>
      </c>
      <c r="S354" s="495">
        <f t="shared" si="85"/>
        <v>52.36</v>
      </c>
      <c r="T354" s="571">
        <f t="shared" si="86"/>
        <v>269.70999999999998</v>
      </c>
    </row>
    <row r="355" spans="1:20" ht="75" x14ac:dyDescent="0.25">
      <c r="A355" s="573" t="s">
        <v>515</v>
      </c>
      <c r="B355" s="573" t="s">
        <v>362</v>
      </c>
      <c r="C355" s="573" t="s">
        <v>522</v>
      </c>
      <c r="D355" s="564" t="s">
        <v>523</v>
      </c>
      <c r="E355" s="439">
        <v>20</v>
      </c>
      <c r="F355" s="495">
        <f t="shared" ref="F355:F356" si="92">E355/176</f>
        <v>0.11363636363636363</v>
      </c>
      <c r="G355" s="505" t="s">
        <v>289</v>
      </c>
      <c r="H355" s="509">
        <v>2173.5</v>
      </c>
      <c r="I355" s="509" t="s">
        <v>950</v>
      </c>
      <c r="J355" s="509">
        <v>74.099999999999994</v>
      </c>
      <c r="K355" s="495">
        <f t="shared" si="83"/>
        <v>17.850000000000001</v>
      </c>
      <c r="L355" s="571">
        <f t="shared" si="84"/>
        <v>91.949999999999989</v>
      </c>
      <c r="M355" s="439"/>
      <c r="N355" s="563"/>
      <c r="O355" s="505" t="s">
        <v>289</v>
      </c>
      <c r="P355" s="509">
        <v>2173.5</v>
      </c>
      <c r="Q355" s="509"/>
      <c r="R355" s="572"/>
      <c r="S355" s="495">
        <f t="shared" si="85"/>
        <v>0</v>
      </c>
      <c r="T355" s="571">
        <f t="shared" si="86"/>
        <v>0</v>
      </c>
    </row>
    <row r="356" spans="1:20" ht="75" x14ac:dyDescent="0.25">
      <c r="A356" s="573" t="s">
        <v>515</v>
      </c>
      <c r="B356" s="573" t="s">
        <v>362</v>
      </c>
      <c r="C356" s="573" t="s">
        <v>374</v>
      </c>
      <c r="D356" s="564" t="s">
        <v>933</v>
      </c>
      <c r="E356" s="439">
        <v>16</v>
      </c>
      <c r="F356" s="495">
        <f t="shared" si="92"/>
        <v>9.0909090909090912E-2</v>
      </c>
      <c r="G356" s="505" t="s">
        <v>271</v>
      </c>
      <c r="H356" s="509">
        <v>8.4499999999999993</v>
      </c>
      <c r="I356" s="509" t="s">
        <v>949</v>
      </c>
      <c r="J356" s="509">
        <v>67.599999999999994</v>
      </c>
      <c r="K356" s="495">
        <f t="shared" si="83"/>
        <v>16.28</v>
      </c>
      <c r="L356" s="571">
        <f t="shared" si="84"/>
        <v>83.88</v>
      </c>
      <c r="M356" s="439"/>
      <c r="N356" s="563"/>
      <c r="O356" s="505" t="s">
        <v>271</v>
      </c>
      <c r="P356" s="509">
        <v>8.4499999999999993</v>
      </c>
      <c r="Q356" s="509"/>
      <c r="R356" s="572"/>
      <c r="S356" s="495">
        <f t="shared" si="85"/>
        <v>0</v>
      </c>
      <c r="T356" s="571">
        <f t="shared" si="86"/>
        <v>0</v>
      </c>
    </row>
    <row r="357" spans="1:20" ht="75" x14ac:dyDescent="0.25">
      <c r="A357" s="573" t="s">
        <v>515</v>
      </c>
      <c r="B357" s="573" t="s">
        <v>362</v>
      </c>
      <c r="C357" s="573" t="s">
        <v>374</v>
      </c>
      <c r="D357" s="564" t="s">
        <v>524</v>
      </c>
      <c r="E357" s="439"/>
      <c r="F357" s="509"/>
      <c r="G357" s="505" t="s">
        <v>271</v>
      </c>
      <c r="H357" s="509">
        <v>8.66</v>
      </c>
      <c r="I357" s="509"/>
      <c r="J357" s="509"/>
      <c r="K357" s="495">
        <f t="shared" si="83"/>
        <v>0</v>
      </c>
      <c r="L357" s="571">
        <f t="shared" si="84"/>
        <v>0</v>
      </c>
      <c r="M357" s="439">
        <v>32</v>
      </c>
      <c r="N357" s="495">
        <f>M357/158</f>
        <v>0.20253164556962025</v>
      </c>
      <c r="O357" s="505" t="s">
        <v>271</v>
      </c>
      <c r="P357" s="509">
        <v>8.66</v>
      </c>
      <c r="Q357" s="509" t="s">
        <v>272</v>
      </c>
      <c r="R357" s="572">
        <v>55.42</v>
      </c>
      <c r="S357" s="495">
        <f t="shared" si="85"/>
        <v>13.35</v>
      </c>
      <c r="T357" s="571">
        <f t="shared" si="86"/>
        <v>68.77</v>
      </c>
    </row>
    <row r="358" spans="1:20" ht="75" x14ac:dyDescent="0.25">
      <c r="A358" s="573" t="s">
        <v>515</v>
      </c>
      <c r="B358" s="573" t="s">
        <v>362</v>
      </c>
      <c r="C358" s="573" t="s">
        <v>374</v>
      </c>
      <c r="D358" s="564" t="s">
        <v>524</v>
      </c>
      <c r="E358" s="439">
        <v>24</v>
      </c>
      <c r="F358" s="495">
        <f>E358/176</f>
        <v>0.13636363636363635</v>
      </c>
      <c r="G358" s="505" t="s">
        <v>271</v>
      </c>
      <c r="H358" s="509">
        <v>8.66</v>
      </c>
      <c r="I358" s="509" t="s">
        <v>949</v>
      </c>
      <c r="J358" s="509">
        <v>103.92</v>
      </c>
      <c r="K358" s="495">
        <f t="shared" si="83"/>
        <v>25.03</v>
      </c>
      <c r="L358" s="571">
        <f t="shared" si="84"/>
        <v>128.94999999999999</v>
      </c>
      <c r="M358" s="439"/>
      <c r="N358" s="563"/>
      <c r="O358" s="505" t="s">
        <v>271</v>
      </c>
      <c r="P358" s="509">
        <v>8.66</v>
      </c>
      <c r="Q358" s="509"/>
      <c r="R358" s="572"/>
      <c r="S358" s="495">
        <f t="shared" si="85"/>
        <v>0</v>
      </c>
      <c r="T358" s="571">
        <f t="shared" si="86"/>
        <v>0</v>
      </c>
    </row>
    <row r="359" spans="1:20" ht="75" x14ac:dyDescent="0.25">
      <c r="A359" s="573" t="s">
        <v>515</v>
      </c>
      <c r="B359" s="573" t="s">
        <v>362</v>
      </c>
      <c r="C359" s="573" t="s">
        <v>374</v>
      </c>
      <c r="D359" s="564" t="s">
        <v>525</v>
      </c>
      <c r="E359" s="439"/>
      <c r="F359" s="509"/>
      <c r="G359" s="505" t="s">
        <v>271</v>
      </c>
      <c r="H359" s="509">
        <v>9.76</v>
      </c>
      <c r="I359" s="509"/>
      <c r="J359" s="509"/>
      <c r="K359" s="495">
        <f t="shared" si="83"/>
        <v>0</v>
      </c>
      <c r="L359" s="571">
        <f t="shared" si="84"/>
        <v>0</v>
      </c>
      <c r="M359" s="439">
        <v>20</v>
      </c>
      <c r="N359" s="495">
        <f t="shared" ref="N359:N364" si="93">M359/158</f>
        <v>0.12658227848101267</v>
      </c>
      <c r="O359" s="505" t="s">
        <v>271</v>
      </c>
      <c r="P359" s="509">
        <v>9.76</v>
      </c>
      <c r="Q359" s="509" t="s">
        <v>272</v>
      </c>
      <c r="R359" s="572">
        <v>39.04</v>
      </c>
      <c r="S359" s="495">
        <f t="shared" si="85"/>
        <v>9.4</v>
      </c>
      <c r="T359" s="571">
        <f t="shared" si="86"/>
        <v>48.44</v>
      </c>
    </row>
    <row r="360" spans="1:20" ht="75" x14ac:dyDescent="0.25">
      <c r="A360" s="573" t="s">
        <v>515</v>
      </c>
      <c r="B360" s="573" t="s">
        <v>362</v>
      </c>
      <c r="C360" s="573" t="s">
        <v>374</v>
      </c>
      <c r="D360" s="564" t="s">
        <v>526</v>
      </c>
      <c r="E360" s="439"/>
      <c r="F360" s="509"/>
      <c r="G360" s="505" t="s">
        <v>271</v>
      </c>
      <c r="H360" s="509">
        <v>10</v>
      </c>
      <c r="I360" s="509"/>
      <c r="J360" s="509"/>
      <c r="K360" s="495">
        <f t="shared" si="83"/>
        <v>0</v>
      </c>
      <c r="L360" s="571">
        <f t="shared" si="84"/>
        <v>0</v>
      </c>
      <c r="M360" s="439">
        <v>40</v>
      </c>
      <c r="N360" s="495">
        <f t="shared" si="93"/>
        <v>0.25316455696202533</v>
      </c>
      <c r="O360" s="505" t="s">
        <v>271</v>
      </c>
      <c r="P360" s="509">
        <v>10</v>
      </c>
      <c r="Q360" s="509" t="s">
        <v>272</v>
      </c>
      <c r="R360" s="572">
        <v>80</v>
      </c>
      <c r="S360" s="495">
        <f t="shared" si="85"/>
        <v>19.27</v>
      </c>
      <c r="T360" s="571">
        <f t="shared" si="86"/>
        <v>99.27</v>
      </c>
    </row>
    <row r="361" spans="1:20" ht="75" x14ac:dyDescent="0.25">
      <c r="A361" s="573" t="s">
        <v>515</v>
      </c>
      <c r="B361" s="573" t="s">
        <v>362</v>
      </c>
      <c r="C361" s="573" t="s">
        <v>374</v>
      </c>
      <c r="D361" s="564" t="s">
        <v>523</v>
      </c>
      <c r="E361" s="439"/>
      <c r="F361" s="509"/>
      <c r="G361" s="505" t="s">
        <v>271</v>
      </c>
      <c r="H361" s="509">
        <v>11.09</v>
      </c>
      <c r="I361" s="509"/>
      <c r="J361" s="509"/>
      <c r="K361" s="495">
        <f t="shared" si="83"/>
        <v>0</v>
      </c>
      <c r="L361" s="571">
        <f t="shared" si="84"/>
        <v>0</v>
      </c>
      <c r="M361" s="439">
        <v>16</v>
      </c>
      <c r="N361" s="495">
        <f t="shared" si="93"/>
        <v>0.10126582278481013</v>
      </c>
      <c r="O361" s="505" t="s">
        <v>271</v>
      </c>
      <c r="P361" s="509">
        <v>11.09</v>
      </c>
      <c r="Q361" s="509" t="s">
        <v>272</v>
      </c>
      <c r="R361" s="572">
        <v>35.49</v>
      </c>
      <c r="S361" s="495">
        <f t="shared" si="85"/>
        <v>8.5500000000000007</v>
      </c>
      <c r="T361" s="571">
        <f t="shared" si="86"/>
        <v>44.040000000000006</v>
      </c>
    </row>
    <row r="362" spans="1:20" ht="75" x14ac:dyDescent="0.25">
      <c r="A362" s="573" t="s">
        <v>515</v>
      </c>
      <c r="B362" s="573" t="s">
        <v>362</v>
      </c>
      <c r="C362" s="573" t="s">
        <v>374</v>
      </c>
      <c r="D362" s="564" t="s">
        <v>527</v>
      </c>
      <c r="E362" s="439"/>
      <c r="F362" s="509"/>
      <c r="G362" s="505" t="s">
        <v>271</v>
      </c>
      <c r="H362" s="509">
        <v>8.4499999999999993</v>
      </c>
      <c r="I362" s="509"/>
      <c r="J362" s="509"/>
      <c r="K362" s="495">
        <f t="shared" si="83"/>
        <v>0</v>
      </c>
      <c r="L362" s="571">
        <f t="shared" si="84"/>
        <v>0</v>
      </c>
      <c r="M362" s="439">
        <v>24</v>
      </c>
      <c r="N362" s="495">
        <f t="shared" si="93"/>
        <v>0.15189873417721519</v>
      </c>
      <c r="O362" s="505" t="s">
        <v>271</v>
      </c>
      <c r="P362" s="509">
        <v>8.4499999999999993</v>
      </c>
      <c r="Q362" s="509" t="s">
        <v>272</v>
      </c>
      <c r="R362" s="572">
        <v>40.56</v>
      </c>
      <c r="S362" s="495">
        <f t="shared" si="85"/>
        <v>9.77</v>
      </c>
      <c r="T362" s="571">
        <f t="shared" si="86"/>
        <v>50.33</v>
      </c>
    </row>
    <row r="363" spans="1:20" ht="75" x14ac:dyDescent="0.25">
      <c r="A363" s="573" t="s">
        <v>515</v>
      </c>
      <c r="B363" s="573" t="s">
        <v>362</v>
      </c>
      <c r="C363" s="573" t="s">
        <v>374</v>
      </c>
      <c r="D363" s="564" t="s">
        <v>528</v>
      </c>
      <c r="E363" s="439"/>
      <c r="F363" s="509"/>
      <c r="G363" s="505" t="s">
        <v>271</v>
      </c>
      <c r="H363" s="509">
        <v>8.66</v>
      </c>
      <c r="I363" s="509"/>
      <c r="J363" s="509"/>
      <c r="K363" s="495">
        <f t="shared" si="83"/>
        <v>0</v>
      </c>
      <c r="L363" s="571">
        <f t="shared" si="84"/>
        <v>0</v>
      </c>
      <c r="M363" s="439">
        <v>9</v>
      </c>
      <c r="N363" s="495">
        <f t="shared" si="93"/>
        <v>5.6962025316455694E-2</v>
      </c>
      <c r="O363" s="505" t="s">
        <v>271</v>
      </c>
      <c r="P363" s="509">
        <v>8.66</v>
      </c>
      <c r="Q363" s="509" t="s">
        <v>272</v>
      </c>
      <c r="R363" s="572">
        <v>15.59</v>
      </c>
      <c r="S363" s="495">
        <f t="shared" si="85"/>
        <v>3.76</v>
      </c>
      <c r="T363" s="571">
        <f t="shared" si="86"/>
        <v>19.350000000000001</v>
      </c>
    </row>
    <row r="364" spans="1:20" ht="75" x14ac:dyDescent="0.25">
      <c r="A364" s="573" t="s">
        <v>515</v>
      </c>
      <c r="B364" s="573" t="s">
        <v>362</v>
      </c>
      <c r="C364" s="573" t="s">
        <v>374</v>
      </c>
      <c r="D364" s="564" t="s">
        <v>529</v>
      </c>
      <c r="E364" s="439"/>
      <c r="F364" s="509"/>
      <c r="G364" s="505" t="s">
        <v>271</v>
      </c>
      <c r="H364" s="509">
        <v>8.4499999999999993</v>
      </c>
      <c r="I364" s="509"/>
      <c r="J364" s="509"/>
      <c r="K364" s="495">
        <f t="shared" si="83"/>
        <v>0</v>
      </c>
      <c r="L364" s="571">
        <f t="shared" si="84"/>
        <v>0</v>
      </c>
      <c r="M364" s="439">
        <v>12</v>
      </c>
      <c r="N364" s="495">
        <f t="shared" si="93"/>
        <v>7.5949367088607597E-2</v>
      </c>
      <c r="O364" s="505" t="s">
        <v>271</v>
      </c>
      <c r="P364" s="509">
        <v>8.4499999999999993</v>
      </c>
      <c r="Q364" s="509" t="s">
        <v>272</v>
      </c>
      <c r="R364" s="572">
        <v>20.28</v>
      </c>
      <c r="S364" s="495">
        <f t="shared" si="85"/>
        <v>4.8899999999999997</v>
      </c>
      <c r="T364" s="571">
        <f t="shared" si="86"/>
        <v>25.17</v>
      </c>
    </row>
    <row r="365" spans="1:20" ht="75" x14ac:dyDescent="0.25">
      <c r="A365" s="573" t="s">
        <v>515</v>
      </c>
      <c r="B365" s="573" t="s">
        <v>362</v>
      </c>
      <c r="C365" s="573" t="s">
        <v>374</v>
      </c>
      <c r="D365" s="564" t="s">
        <v>529</v>
      </c>
      <c r="E365" s="439">
        <v>12</v>
      </c>
      <c r="F365" s="495">
        <f>E365/176</f>
        <v>6.8181818181818177E-2</v>
      </c>
      <c r="G365" s="505" t="s">
        <v>271</v>
      </c>
      <c r="H365" s="509">
        <v>8.4499999999999993</v>
      </c>
      <c r="I365" s="509" t="s">
        <v>949</v>
      </c>
      <c r="J365" s="509">
        <v>50.7</v>
      </c>
      <c r="K365" s="495">
        <f t="shared" si="83"/>
        <v>12.21</v>
      </c>
      <c r="L365" s="571">
        <f t="shared" si="84"/>
        <v>62.910000000000004</v>
      </c>
      <c r="M365" s="439"/>
      <c r="N365" s="563"/>
      <c r="O365" s="505" t="s">
        <v>271</v>
      </c>
      <c r="P365" s="509">
        <v>8.4499999999999993</v>
      </c>
      <c r="Q365" s="509"/>
      <c r="R365" s="572"/>
      <c r="S365" s="495">
        <f t="shared" si="85"/>
        <v>0</v>
      </c>
      <c r="T365" s="571">
        <f t="shared" si="86"/>
        <v>0</v>
      </c>
    </row>
    <row r="366" spans="1:20" ht="75" x14ac:dyDescent="0.25">
      <c r="A366" s="573" t="s">
        <v>515</v>
      </c>
      <c r="B366" s="573" t="s">
        <v>362</v>
      </c>
      <c r="C366" s="573" t="s">
        <v>374</v>
      </c>
      <c r="D366" s="564" t="s">
        <v>530</v>
      </c>
      <c r="E366" s="439"/>
      <c r="F366" s="509"/>
      <c r="G366" s="505" t="s">
        <v>271</v>
      </c>
      <c r="H366" s="509">
        <v>8.66</v>
      </c>
      <c r="I366" s="509"/>
      <c r="J366" s="509"/>
      <c r="K366" s="495">
        <f t="shared" si="83"/>
        <v>0</v>
      </c>
      <c r="L366" s="571">
        <f t="shared" si="84"/>
        <v>0</v>
      </c>
      <c r="M366" s="439">
        <v>24</v>
      </c>
      <c r="N366" s="495">
        <f t="shared" ref="N366:N369" si="94">M366/158</f>
        <v>0.15189873417721519</v>
      </c>
      <c r="O366" s="505" t="s">
        <v>271</v>
      </c>
      <c r="P366" s="509">
        <v>8.66</v>
      </c>
      <c r="Q366" s="509" t="s">
        <v>272</v>
      </c>
      <c r="R366" s="572">
        <v>41.57</v>
      </c>
      <c r="S366" s="495">
        <f t="shared" si="85"/>
        <v>10.01</v>
      </c>
      <c r="T366" s="571">
        <f t="shared" si="86"/>
        <v>51.58</v>
      </c>
    </row>
    <row r="367" spans="1:20" ht="75" x14ac:dyDescent="0.25">
      <c r="A367" s="573" t="s">
        <v>515</v>
      </c>
      <c r="B367" s="573" t="s">
        <v>362</v>
      </c>
      <c r="C367" s="573" t="s">
        <v>374</v>
      </c>
      <c r="D367" s="564" t="s">
        <v>531</v>
      </c>
      <c r="E367" s="439"/>
      <c r="F367" s="509"/>
      <c r="G367" s="505" t="s">
        <v>271</v>
      </c>
      <c r="H367" s="509">
        <v>8.4499999999999993</v>
      </c>
      <c r="I367" s="509"/>
      <c r="J367" s="509"/>
      <c r="K367" s="495">
        <f t="shared" si="83"/>
        <v>0</v>
      </c>
      <c r="L367" s="571">
        <f t="shared" si="84"/>
        <v>0</v>
      </c>
      <c r="M367" s="439">
        <v>9</v>
      </c>
      <c r="N367" s="495">
        <f t="shared" si="94"/>
        <v>5.6962025316455694E-2</v>
      </c>
      <c r="O367" s="505" t="s">
        <v>271</v>
      </c>
      <c r="P367" s="509">
        <v>8.4499999999999993</v>
      </c>
      <c r="Q367" s="509" t="s">
        <v>272</v>
      </c>
      <c r="R367" s="572">
        <v>15.21</v>
      </c>
      <c r="S367" s="495">
        <f t="shared" si="85"/>
        <v>3.66</v>
      </c>
      <c r="T367" s="571">
        <f t="shared" si="86"/>
        <v>18.87</v>
      </c>
    </row>
    <row r="368" spans="1:20" ht="75" x14ac:dyDescent="0.25">
      <c r="A368" s="573" t="s">
        <v>515</v>
      </c>
      <c r="B368" s="573" t="s">
        <v>362</v>
      </c>
      <c r="C368" s="573" t="s">
        <v>374</v>
      </c>
      <c r="D368" s="564" t="s">
        <v>532</v>
      </c>
      <c r="E368" s="439"/>
      <c r="F368" s="509"/>
      <c r="G368" s="505" t="s">
        <v>271</v>
      </c>
      <c r="H368" s="509">
        <v>9.76</v>
      </c>
      <c r="I368" s="509"/>
      <c r="J368" s="509"/>
      <c r="K368" s="495">
        <f t="shared" si="83"/>
        <v>0</v>
      </c>
      <c r="L368" s="571">
        <f t="shared" si="84"/>
        <v>0</v>
      </c>
      <c r="M368" s="439">
        <v>20</v>
      </c>
      <c r="N368" s="495">
        <f t="shared" si="94"/>
        <v>0.12658227848101267</v>
      </c>
      <c r="O368" s="505" t="s">
        <v>271</v>
      </c>
      <c r="P368" s="509">
        <v>9.76</v>
      </c>
      <c r="Q368" s="509" t="s">
        <v>272</v>
      </c>
      <c r="R368" s="572">
        <v>39.04</v>
      </c>
      <c r="S368" s="495">
        <f t="shared" si="85"/>
        <v>9.4</v>
      </c>
      <c r="T368" s="571">
        <f t="shared" si="86"/>
        <v>48.44</v>
      </c>
    </row>
    <row r="369" spans="1:20" ht="75" x14ac:dyDescent="0.25">
      <c r="A369" s="573" t="s">
        <v>515</v>
      </c>
      <c r="B369" s="573" t="s">
        <v>362</v>
      </c>
      <c r="C369" s="573" t="s">
        <v>374</v>
      </c>
      <c r="D369" s="564" t="s">
        <v>533</v>
      </c>
      <c r="E369" s="439"/>
      <c r="F369" s="509"/>
      <c r="G369" s="505" t="s">
        <v>271</v>
      </c>
      <c r="H369" s="509">
        <v>8.66</v>
      </c>
      <c r="I369" s="509"/>
      <c r="J369" s="509"/>
      <c r="K369" s="495">
        <f t="shared" si="83"/>
        <v>0</v>
      </c>
      <c r="L369" s="571">
        <f t="shared" si="84"/>
        <v>0</v>
      </c>
      <c r="M369" s="439">
        <v>8</v>
      </c>
      <c r="N369" s="495">
        <f t="shared" si="94"/>
        <v>5.0632911392405063E-2</v>
      </c>
      <c r="O369" s="505" t="s">
        <v>271</v>
      </c>
      <c r="P369" s="509">
        <v>8.66</v>
      </c>
      <c r="Q369" s="509" t="s">
        <v>272</v>
      </c>
      <c r="R369" s="572">
        <v>13.86</v>
      </c>
      <c r="S369" s="495">
        <f t="shared" si="85"/>
        <v>3.34</v>
      </c>
      <c r="T369" s="571">
        <f t="shared" si="86"/>
        <v>17.2</v>
      </c>
    </row>
    <row r="370" spans="1:20" ht="75" x14ac:dyDescent="0.25">
      <c r="A370" s="573" t="s">
        <v>515</v>
      </c>
      <c r="B370" s="573" t="s">
        <v>362</v>
      </c>
      <c r="C370" s="573" t="s">
        <v>374</v>
      </c>
      <c r="D370" s="564" t="s">
        <v>533</v>
      </c>
      <c r="E370" s="439">
        <v>24</v>
      </c>
      <c r="F370" s="495">
        <f>E370/176</f>
        <v>0.13636363636363635</v>
      </c>
      <c r="G370" s="505" t="s">
        <v>271</v>
      </c>
      <c r="H370" s="509">
        <v>8.66</v>
      </c>
      <c r="I370" s="509" t="s">
        <v>949</v>
      </c>
      <c r="J370" s="509">
        <v>103.92</v>
      </c>
      <c r="K370" s="495">
        <f t="shared" si="83"/>
        <v>25.03</v>
      </c>
      <c r="L370" s="571">
        <f t="shared" si="84"/>
        <v>128.94999999999999</v>
      </c>
      <c r="M370" s="439"/>
      <c r="N370" s="563"/>
      <c r="O370" s="505" t="s">
        <v>271</v>
      </c>
      <c r="P370" s="509">
        <v>8.66</v>
      </c>
      <c r="Q370" s="509"/>
      <c r="R370" s="572"/>
      <c r="S370" s="495">
        <f t="shared" si="85"/>
        <v>0</v>
      </c>
      <c r="T370" s="571">
        <f t="shared" si="86"/>
        <v>0</v>
      </c>
    </row>
    <row r="371" spans="1:20" ht="75" x14ac:dyDescent="0.25">
      <c r="A371" s="573" t="s">
        <v>515</v>
      </c>
      <c r="B371" s="573" t="s">
        <v>362</v>
      </c>
      <c r="C371" s="573" t="s">
        <v>374</v>
      </c>
      <c r="D371" s="564" t="s">
        <v>534</v>
      </c>
      <c r="E371" s="439"/>
      <c r="F371" s="509"/>
      <c r="G371" s="505" t="s">
        <v>271</v>
      </c>
      <c r="H371" s="509">
        <v>8.66</v>
      </c>
      <c r="I371" s="509"/>
      <c r="J371" s="509"/>
      <c r="K371" s="495">
        <f t="shared" si="83"/>
        <v>0</v>
      </c>
      <c r="L371" s="571">
        <f t="shared" si="84"/>
        <v>0</v>
      </c>
      <c r="M371" s="439">
        <v>16</v>
      </c>
      <c r="N371" s="495">
        <f t="shared" ref="N371:N374" si="95">M371/158</f>
        <v>0.10126582278481013</v>
      </c>
      <c r="O371" s="505" t="s">
        <v>271</v>
      </c>
      <c r="P371" s="509">
        <v>8.66</v>
      </c>
      <c r="Q371" s="509" t="s">
        <v>272</v>
      </c>
      <c r="R371" s="572">
        <v>27.71</v>
      </c>
      <c r="S371" s="495">
        <f t="shared" si="85"/>
        <v>6.68</v>
      </c>
      <c r="T371" s="571">
        <f t="shared" si="86"/>
        <v>34.39</v>
      </c>
    </row>
    <row r="372" spans="1:20" ht="75" x14ac:dyDescent="0.25">
      <c r="A372" s="573" t="s">
        <v>515</v>
      </c>
      <c r="B372" s="573" t="s">
        <v>362</v>
      </c>
      <c r="C372" s="573" t="s">
        <v>374</v>
      </c>
      <c r="D372" s="564" t="s">
        <v>535</v>
      </c>
      <c r="E372" s="439"/>
      <c r="F372" s="509"/>
      <c r="G372" s="505" t="s">
        <v>271</v>
      </c>
      <c r="H372" s="509">
        <v>8.4499999999999993</v>
      </c>
      <c r="I372" s="509"/>
      <c r="J372" s="509"/>
      <c r="K372" s="495">
        <f t="shared" si="83"/>
        <v>0</v>
      </c>
      <c r="L372" s="571">
        <f t="shared" si="84"/>
        <v>0</v>
      </c>
      <c r="M372" s="439">
        <v>36</v>
      </c>
      <c r="N372" s="495">
        <f t="shared" si="95"/>
        <v>0.22784810126582278</v>
      </c>
      <c r="O372" s="505" t="s">
        <v>271</v>
      </c>
      <c r="P372" s="509">
        <v>8.4499999999999993</v>
      </c>
      <c r="Q372" s="509" t="s">
        <v>272</v>
      </c>
      <c r="R372" s="572">
        <v>60.84</v>
      </c>
      <c r="S372" s="495">
        <f t="shared" si="85"/>
        <v>14.66</v>
      </c>
      <c r="T372" s="571">
        <f t="shared" si="86"/>
        <v>75.5</v>
      </c>
    </row>
    <row r="373" spans="1:20" ht="75" x14ac:dyDescent="0.25">
      <c r="A373" s="573" t="s">
        <v>515</v>
      </c>
      <c r="B373" s="573" t="s">
        <v>362</v>
      </c>
      <c r="C373" s="573" t="s">
        <v>374</v>
      </c>
      <c r="D373" s="564" t="s">
        <v>536</v>
      </c>
      <c r="E373" s="439"/>
      <c r="F373" s="509"/>
      <c r="G373" s="505" t="s">
        <v>271</v>
      </c>
      <c r="H373" s="509">
        <v>8.4499999999999993</v>
      </c>
      <c r="I373" s="509"/>
      <c r="J373" s="509"/>
      <c r="K373" s="495">
        <f t="shared" si="83"/>
        <v>0</v>
      </c>
      <c r="L373" s="571">
        <f t="shared" si="84"/>
        <v>0</v>
      </c>
      <c r="M373" s="439">
        <v>21</v>
      </c>
      <c r="N373" s="495">
        <f t="shared" si="95"/>
        <v>0.13291139240506328</v>
      </c>
      <c r="O373" s="505" t="s">
        <v>271</v>
      </c>
      <c r="P373" s="509">
        <v>8.4499999999999993</v>
      </c>
      <c r="Q373" s="509" t="s">
        <v>272</v>
      </c>
      <c r="R373" s="572">
        <v>35.49</v>
      </c>
      <c r="S373" s="495">
        <f t="shared" si="85"/>
        <v>8.5500000000000007</v>
      </c>
      <c r="T373" s="571">
        <f t="shared" si="86"/>
        <v>44.040000000000006</v>
      </c>
    </row>
    <row r="374" spans="1:20" ht="75" x14ac:dyDescent="0.25">
      <c r="A374" s="573" t="s">
        <v>515</v>
      </c>
      <c r="B374" s="573" t="s">
        <v>362</v>
      </c>
      <c r="C374" s="573" t="s">
        <v>374</v>
      </c>
      <c r="D374" s="564" t="s">
        <v>537</v>
      </c>
      <c r="E374" s="439"/>
      <c r="F374" s="509"/>
      <c r="G374" s="505" t="s">
        <v>271</v>
      </c>
      <c r="H374" s="509">
        <v>8.4499999999999993</v>
      </c>
      <c r="I374" s="509"/>
      <c r="J374" s="509"/>
      <c r="K374" s="495">
        <f t="shared" si="83"/>
        <v>0</v>
      </c>
      <c r="L374" s="571">
        <f t="shared" si="84"/>
        <v>0</v>
      </c>
      <c r="M374" s="439">
        <v>24</v>
      </c>
      <c r="N374" s="495">
        <f t="shared" si="95"/>
        <v>0.15189873417721519</v>
      </c>
      <c r="O374" s="505" t="s">
        <v>271</v>
      </c>
      <c r="P374" s="509">
        <v>8.4499999999999993</v>
      </c>
      <c r="Q374" s="509" t="s">
        <v>272</v>
      </c>
      <c r="R374" s="572">
        <v>40.56</v>
      </c>
      <c r="S374" s="495">
        <f t="shared" si="85"/>
        <v>9.77</v>
      </c>
      <c r="T374" s="571">
        <f t="shared" si="86"/>
        <v>50.33</v>
      </c>
    </row>
    <row r="375" spans="1:20" ht="75" x14ac:dyDescent="0.25">
      <c r="A375" s="573" t="s">
        <v>515</v>
      </c>
      <c r="B375" s="573" t="s">
        <v>362</v>
      </c>
      <c r="C375" s="573" t="s">
        <v>374</v>
      </c>
      <c r="D375" s="564" t="s">
        <v>537</v>
      </c>
      <c r="E375" s="439">
        <v>12</v>
      </c>
      <c r="F375" s="495">
        <f>E375/176</f>
        <v>6.8181818181818177E-2</v>
      </c>
      <c r="G375" s="505" t="s">
        <v>271</v>
      </c>
      <c r="H375" s="509">
        <v>8.4499999999999993</v>
      </c>
      <c r="I375" s="509" t="s">
        <v>949</v>
      </c>
      <c r="J375" s="509">
        <v>50.7</v>
      </c>
      <c r="K375" s="495">
        <f t="shared" si="83"/>
        <v>12.21</v>
      </c>
      <c r="L375" s="571">
        <f t="shared" si="84"/>
        <v>62.910000000000004</v>
      </c>
      <c r="M375" s="439"/>
      <c r="N375" s="563"/>
      <c r="O375" s="505" t="s">
        <v>271</v>
      </c>
      <c r="P375" s="509">
        <v>8.4499999999999993</v>
      </c>
      <c r="Q375" s="509"/>
      <c r="R375" s="572"/>
      <c r="S375" s="495">
        <f t="shared" si="85"/>
        <v>0</v>
      </c>
      <c r="T375" s="571">
        <f t="shared" si="86"/>
        <v>0</v>
      </c>
    </row>
    <row r="376" spans="1:20" ht="75" x14ac:dyDescent="0.25">
      <c r="A376" s="573" t="s">
        <v>515</v>
      </c>
      <c r="B376" s="573" t="s">
        <v>362</v>
      </c>
      <c r="C376" s="573" t="s">
        <v>374</v>
      </c>
      <c r="D376" s="564" t="s">
        <v>538</v>
      </c>
      <c r="E376" s="439"/>
      <c r="F376" s="509"/>
      <c r="G376" s="505" t="s">
        <v>271</v>
      </c>
      <c r="H376" s="509">
        <v>8.4499999999999993</v>
      </c>
      <c r="I376" s="509"/>
      <c r="J376" s="509"/>
      <c r="K376" s="495">
        <f t="shared" si="83"/>
        <v>0</v>
      </c>
      <c r="L376" s="571">
        <f t="shared" si="84"/>
        <v>0</v>
      </c>
      <c r="M376" s="439">
        <v>28</v>
      </c>
      <c r="N376" s="495">
        <f>M376/158</f>
        <v>0.17721518987341772</v>
      </c>
      <c r="O376" s="505" t="s">
        <v>271</v>
      </c>
      <c r="P376" s="509">
        <v>8.4499999999999993</v>
      </c>
      <c r="Q376" s="509" t="s">
        <v>272</v>
      </c>
      <c r="R376" s="572">
        <v>47.32</v>
      </c>
      <c r="S376" s="495">
        <f t="shared" si="85"/>
        <v>11.4</v>
      </c>
      <c r="T376" s="571">
        <f t="shared" si="86"/>
        <v>58.72</v>
      </c>
    </row>
    <row r="377" spans="1:20" ht="75" x14ac:dyDescent="0.25">
      <c r="A377" s="573" t="s">
        <v>515</v>
      </c>
      <c r="B377" s="573" t="s">
        <v>362</v>
      </c>
      <c r="C377" s="573" t="s">
        <v>374</v>
      </c>
      <c r="D377" s="564" t="s">
        <v>538</v>
      </c>
      <c r="E377" s="439">
        <v>12</v>
      </c>
      <c r="F377" s="495">
        <f>E377/176</f>
        <v>6.8181818181818177E-2</v>
      </c>
      <c r="G377" s="505" t="s">
        <v>271</v>
      </c>
      <c r="H377" s="509">
        <v>8.4499999999999993</v>
      </c>
      <c r="I377" s="509" t="s">
        <v>949</v>
      </c>
      <c r="J377" s="509">
        <v>50.7</v>
      </c>
      <c r="K377" s="495">
        <f t="shared" si="83"/>
        <v>12.21</v>
      </c>
      <c r="L377" s="571">
        <f t="shared" si="84"/>
        <v>62.910000000000004</v>
      </c>
      <c r="M377" s="439"/>
      <c r="N377" s="563"/>
      <c r="O377" s="505" t="s">
        <v>271</v>
      </c>
      <c r="P377" s="509">
        <v>8.4499999999999993</v>
      </c>
      <c r="Q377" s="509"/>
      <c r="R377" s="572"/>
      <c r="S377" s="495">
        <f t="shared" si="85"/>
        <v>0</v>
      </c>
      <c r="T377" s="571">
        <f t="shared" si="86"/>
        <v>0</v>
      </c>
    </row>
    <row r="378" spans="1:20" ht="75" x14ac:dyDescent="0.25">
      <c r="A378" s="573" t="s">
        <v>515</v>
      </c>
      <c r="B378" s="573" t="s">
        <v>362</v>
      </c>
      <c r="C378" s="573" t="s">
        <v>374</v>
      </c>
      <c r="D378" s="564" t="s">
        <v>539</v>
      </c>
      <c r="E378" s="439"/>
      <c r="F378" s="509"/>
      <c r="G378" s="505" t="s">
        <v>271</v>
      </c>
      <c r="H378" s="509">
        <v>10</v>
      </c>
      <c r="I378" s="509"/>
      <c r="J378" s="509"/>
      <c r="K378" s="495">
        <f t="shared" si="83"/>
        <v>0</v>
      </c>
      <c r="L378" s="571">
        <f t="shared" si="84"/>
        <v>0</v>
      </c>
      <c r="M378" s="439">
        <v>56</v>
      </c>
      <c r="N378" s="495">
        <f>M378/158</f>
        <v>0.35443037974683544</v>
      </c>
      <c r="O378" s="505" t="s">
        <v>271</v>
      </c>
      <c r="P378" s="509">
        <v>10</v>
      </c>
      <c r="Q378" s="509" t="s">
        <v>272</v>
      </c>
      <c r="R378" s="572">
        <v>112</v>
      </c>
      <c r="S378" s="495">
        <f t="shared" si="85"/>
        <v>26.98</v>
      </c>
      <c r="T378" s="571">
        <f t="shared" si="86"/>
        <v>138.97999999999999</v>
      </c>
    </row>
    <row r="379" spans="1:20" ht="75" x14ac:dyDescent="0.25">
      <c r="A379" s="573" t="s">
        <v>515</v>
      </c>
      <c r="B379" s="573" t="s">
        <v>362</v>
      </c>
      <c r="C379" s="573" t="s">
        <v>374</v>
      </c>
      <c r="D379" s="564" t="s">
        <v>539</v>
      </c>
      <c r="E379" s="439">
        <v>48</v>
      </c>
      <c r="F379" s="495">
        <f>E379/176</f>
        <v>0.27272727272727271</v>
      </c>
      <c r="G379" s="505" t="s">
        <v>271</v>
      </c>
      <c r="H379" s="509">
        <v>10</v>
      </c>
      <c r="I379" s="509" t="s">
        <v>949</v>
      </c>
      <c r="J379" s="509">
        <v>240</v>
      </c>
      <c r="K379" s="495">
        <f t="shared" si="83"/>
        <v>57.82</v>
      </c>
      <c r="L379" s="571">
        <f t="shared" si="84"/>
        <v>297.82</v>
      </c>
      <c r="M379" s="439"/>
      <c r="N379" s="563"/>
      <c r="O379" s="505" t="s">
        <v>271</v>
      </c>
      <c r="P379" s="509">
        <v>10</v>
      </c>
      <c r="Q379" s="509"/>
      <c r="R379" s="572"/>
      <c r="S379" s="495">
        <f t="shared" si="85"/>
        <v>0</v>
      </c>
      <c r="T379" s="571">
        <f t="shared" si="86"/>
        <v>0</v>
      </c>
    </row>
    <row r="380" spans="1:20" ht="75" x14ac:dyDescent="0.25">
      <c r="A380" s="573" t="s">
        <v>515</v>
      </c>
      <c r="B380" s="573" t="s">
        <v>362</v>
      </c>
      <c r="C380" s="573" t="s">
        <v>374</v>
      </c>
      <c r="D380" s="564" t="s">
        <v>540</v>
      </c>
      <c r="E380" s="439"/>
      <c r="F380" s="509"/>
      <c r="G380" s="505" t="s">
        <v>271</v>
      </c>
      <c r="H380" s="509">
        <v>8.4499999999999993</v>
      </c>
      <c r="I380" s="509"/>
      <c r="J380" s="509"/>
      <c r="K380" s="495">
        <f t="shared" si="83"/>
        <v>0</v>
      </c>
      <c r="L380" s="571">
        <f t="shared" si="84"/>
        <v>0</v>
      </c>
      <c r="M380" s="439">
        <v>16</v>
      </c>
      <c r="N380" s="495">
        <f>M380/158</f>
        <v>0.10126582278481013</v>
      </c>
      <c r="O380" s="505" t="s">
        <v>271</v>
      </c>
      <c r="P380" s="509">
        <v>8.4499999999999993</v>
      </c>
      <c r="Q380" s="509" t="s">
        <v>272</v>
      </c>
      <c r="R380" s="572">
        <v>27.04</v>
      </c>
      <c r="S380" s="495">
        <f t="shared" si="85"/>
        <v>6.51</v>
      </c>
      <c r="T380" s="571">
        <f t="shared" si="86"/>
        <v>33.549999999999997</v>
      </c>
    </row>
    <row r="381" spans="1:20" ht="75" x14ac:dyDescent="0.25">
      <c r="A381" s="573" t="s">
        <v>515</v>
      </c>
      <c r="B381" s="573" t="s">
        <v>362</v>
      </c>
      <c r="C381" s="573" t="s">
        <v>374</v>
      </c>
      <c r="D381" s="564" t="s">
        <v>540</v>
      </c>
      <c r="E381" s="439">
        <v>36</v>
      </c>
      <c r="F381" s="495">
        <f>E381/176</f>
        <v>0.20454545454545456</v>
      </c>
      <c r="G381" s="505" t="s">
        <v>271</v>
      </c>
      <c r="H381" s="509">
        <v>8.4499999999999993</v>
      </c>
      <c r="I381" s="509" t="s">
        <v>949</v>
      </c>
      <c r="J381" s="509">
        <v>152.1</v>
      </c>
      <c r="K381" s="495">
        <f t="shared" si="83"/>
        <v>36.64</v>
      </c>
      <c r="L381" s="571">
        <f t="shared" si="84"/>
        <v>188.74</v>
      </c>
      <c r="M381" s="439"/>
      <c r="N381" s="563"/>
      <c r="O381" s="505" t="s">
        <v>271</v>
      </c>
      <c r="P381" s="509">
        <v>8.4499999999999993</v>
      </c>
      <c r="Q381" s="509"/>
      <c r="R381" s="572"/>
      <c r="S381" s="495">
        <f t="shared" si="85"/>
        <v>0</v>
      </c>
      <c r="T381" s="571">
        <f t="shared" si="86"/>
        <v>0</v>
      </c>
    </row>
    <row r="382" spans="1:20" ht="75" x14ac:dyDescent="0.25">
      <c r="A382" s="573" t="s">
        <v>515</v>
      </c>
      <c r="B382" s="573" t="s">
        <v>362</v>
      </c>
      <c r="C382" s="573" t="s">
        <v>374</v>
      </c>
      <c r="D382" s="564" t="s">
        <v>541</v>
      </c>
      <c r="E382" s="439"/>
      <c r="F382" s="509"/>
      <c r="G382" s="505" t="s">
        <v>271</v>
      </c>
      <c r="H382" s="509">
        <v>8.4499999999999993</v>
      </c>
      <c r="I382" s="509"/>
      <c r="J382" s="509"/>
      <c r="K382" s="495">
        <f t="shared" si="83"/>
        <v>0</v>
      </c>
      <c r="L382" s="571">
        <f t="shared" si="84"/>
        <v>0</v>
      </c>
      <c r="M382" s="439">
        <v>36</v>
      </c>
      <c r="N382" s="495">
        <f>M382/158</f>
        <v>0.22784810126582278</v>
      </c>
      <c r="O382" s="505" t="s">
        <v>271</v>
      </c>
      <c r="P382" s="509">
        <v>8.4499999999999993</v>
      </c>
      <c r="Q382" s="509" t="s">
        <v>272</v>
      </c>
      <c r="R382" s="572">
        <v>60.84</v>
      </c>
      <c r="S382" s="495">
        <f t="shared" si="85"/>
        <v>14.66</v>
      </c>
      <c r="T382" s="571">
        <f t="shared" si="86"/>
        <v>75.5</v>
      </c>
    </row>
    <row r="383" spans="1:20" ht="75" x14ac:dyDescent="0.25">
      <c r="A383" s="573" t="s">
        <v>515</v>
      </c>
      <c r="B383" s="573" t="s">
        <v>362</v>
      </c>
      <c r="C383" s="573" t="s">
        <v>374</v>
      </c>
      <c r="D383" s="564" t="s">
        <v>541</v>
      </c>
      <c r="E383" s="439">
        <v>12</v>
      </c>
      <c r="F383" s="495">
        <f>E383/176</f>
        <v>6.8181818181818177E-2</v>
      </c>
      <c r="G383" s="505" t="s">
        <v>271</v>
      </c>
      <c r="H383" s="509">
        <v>8.4499999999999993</v>
      </c>
      <c r="I383" s="509" t="s">
        <v>949</v>
      </c>
      <c r="J383" s="509">
        <v>50.7</v>
      </c>
      <c r="K383" s="495">
        <f t="shared" si="83"/>
        <v>12.21</v>
      </c>
      <c r="L383" s="571">
        <f t="shared" si="84"/>
        <v>62.910000000000004</v>
      </c>
      <c r="M383" s="439"/>
      <c r="N383" s="563"/>
      <c r="O383" s="505" t="s">
        <v>271</v>
      </c>
      <c r="P383" s="509">
        <v>8.4499999999999993</v>
      </c>
      <c r="Q383" s="509"/>
      <c r="R383" s="572"/>
      <c r="S383" s="495">
        <f t="shared" si="85"/>
        <v>0</v>
      </c>
      <c r="T383" s="571">
        <f t="shared" si="86"/>
        <v>0</v>
      </c>
    </row>
    <row r="384" spans="1:20" ht="75" x14ac:dyDescent="0.25">
      <c r="A384" s="573" t="s">
        <v>515</v>
      </c>
      <c r="B384" s="573" t="s">
        <v>362</v>
      </c>
      <c r="C384" s="573" t="s">
        <v>374</v>
      </c>
      <c r="D384" s="564" t="s">
        <v>542</v>
      </c>
      <c r="E384" s="439"/>
      <c r="F384" s="509"/>
      <c r="G384" s="505" t="s">
        <v>271</v>
      </c>
      <c r="H384" s="509">
        <v>8.4499999999999993</v>
      </c>
      <c r="I384" s="509"/>
      <c r="J384" s="509"/>
      <c r="K384" s="495">
        <f t="shared" si="83"/>
        <v>0</v>
      </c>
      <c r="L384" s="571">
        <f t="shared" si="84"/>
        <v>0</v>
      </c>
      <c r="M384" s="439">
        <v>24</v>
      </c>
      <c r="N384" s="495">
        <f>M384/158</f>
        <v>0.15189873417721519</v>
      </c>
      <c r="O384" s="505" t="s">
        <v>271</v>
      </c>
      <c r="P384" s="509">
        <v>8.4499999999999993</v>
      </c>
      <c r="Q384" s="509" t="s">
        <v>272</v>
      </c>
      <c r="R384" s="572">
        <v>40.56</v>
      </c>
      <c r="S384" s="495">
        <f t="shared" si="85"/>
        <v>9.77</v>
      </c>
      <c r="T384" s="571">
        <f t="shared" si="86"/>
        <v>50.33</v>
      </c>
    </row>
    <row r="385" spans="1:20" ht="75" x14ac:dyDescent="0.25">
      <c r="A385" s="573" t="s">
        <v>515</v>
      </c>
      <c r="B385" s="573" t="s">
        <v>362</v>
      </c>
      <c r="C385" s="573" t="s">
        <v>374</v>
      </c>
      <c r="D385" s="564" t="s">
        <v>542</v>
      </c>
      <c r="E385" s="439">
        <v>12</v>
      </c>
      <c r="F385" s="495">
        <f>E385/176</f>
        <v>6.8181818181818177E-2</v>
      </c>
      <c r="G385" s="505" t="s">
        <v>271</v>
      </c>
      <c r="H385" s="509">
        <v>8.4499999999999993</v>
      </c>
      <c r="I385" s="509" t="s">
        <v>949</v>
      </c>
      <c r="J385" s="509">
        <v>50.7</v>
      </c>
      <c r="K385" s="495">
        <f t="shared" si="83"/>
        <v>12.21</v>
      </c>
      <c r="L385" s="571">
        <f t="shared" si="84"/>
        <v>62.910000000000004</v>
      </c>
      <c r="M385" s="439"/>
      <c r="N385" s="563"/>
      <c r="O385" s="505" t="s">
        <v>271</v>
      </c>
      <c r="P385" s="509">
        <v>8.4499999999999993</v>
      </c>
      <c r="Q385" s="509"/>
      <c r="R385" s="572"/>
      <c r="S385" s="495">
        <f t="shared" si="85"/>
        <v>0</v>
      </c>
      <c r="T385" s="571">
        <f t="shared" si="86"/>
        <v>0</v>
      </c>
    </row>
    <row r="386" spans="1:20" ht="75" x14ac:dyDescent="0.25">
      <c r="A386" s="573" t="s">
        <v>515</v>
      </c>
      <c r="B386" s="573" t="s">
        <v>362</v>
      </c>
      <c r="C386" s="573" t="s">
        <v>374</v>
      </c>
      <c r="D386" s="564" t="s">
        <v>543</v>
      </c>
      <c r="E386" s="439"/>
      <c r="F386" s="509"/>
      <c r="G386" s="505" t="s">
        <v>271</v>
      </c>
      <c r="H386" s="509">
        <v>8.4499999999999993</v>
      </c>
      <c r="I386" s="509"/>
      <c r="J386" s="509"/>
      <c r="K386" s="495">
        <f t="shared" si="83"/>
        <v>0</v>
      </c>
      <c r="L386" s="571">
        <f t="shared" si="84"/>
        <v>0</v>
      </c>
      <c r="M386" s="439">
        <v>40</v>
      </c>
      <c r="N386" s="495">
        <f t="shared" ref="N386:N387" si="96">M386/158</f>
        <v>0.25316455696202533</v>
      </c>
      <c r="O386" s="505" t="s">
        <v>271</v>
      </c>
      <c r="P386" s="509">
        <v>8.4499999999999993</v>
      </c>
      <c r="Q386" s="509" t="s">
        <v>272</v>
      </c>
      <c r="R386" s="572">
        <v>67.599999999999994</v>
      </c>
      <c r="S386" s="495">
        <f t="shared" si="85"/>
        <v>16.28</v>
      </c>
      <c r="T386" s="571">
        <f t="shared" si="86"/>
        <v>83.88</v>
      </c>
    </row>
    <row r="387" spans="1:20" ht="75" x14ac:dyDescent="0.25">
      <c r="A387" s="573" t="s">
        <v>515</v>
      </c>
      <c r="B387" s="573" t="s">
        <v>362</v>
      </c>
      <c r="C387" s="573" t="s">
        <v>374</v>
      </c>
      <c r="D387" s="564" t="s">
        <v>544</v>
      </c>
      <c r="E387" s="439"/>
      <c r="F387" s="509"/>
      <c r="G387" s="505" t="s">
        <v>271</v>
      </c>
      <c r="H387" s="509">
        <v>8.4499999999999993</v>
      </c>
      <c r="I387" s="509"/>
      <c r="J387" s="509"/>
      <c r="K387" s="495">
        <f t="shared" si="83"/>
        <v>0</v>
      </c>
      <c r="L387" s="571">
        <f t="shared" si="84"/>
        <v>0</v>
      </c>
      <c r="M387" s="439">
        <v>8</v>
      </c>
      <c r="N387" s="495">
        <f t="shared" si="96"/>
        <v>5.0632911392405063E-2</v>
      </c>
      <c r="O387" s="505" t="s">
        <v>271</v>
      </c>
      <c r="P387" s="509">
        <v>8.4499999999999993</v>
      </c>
      <c r="Q387" s="509" t="s">
        <v>272</v>
      </c>
      <c r="R387" s="572">
        <v>13.52</v>
      </c>
      <c r="S387" s="495">
        <f t="shared" si="85"/>
        <v>3.26</v>
      </c>
      <c r="T387" s="571">
        <f t="shared" si="86"/>
        <v>16.78</v>
      </c>
    </row>
    <row r="388" spans="1:20" ht="75" x14ac:dyDescent="0.25">
      <c r="A388" s="573" t="s">
        <v>515</v>
      </c>
      <c r="B388" s="573" t="s">
        <v>362</v>
      </c>
      <c r="C388" s="573" t="s">
        <v>374</v>
      </c>
      <c r="D388" s="564" t="s">
        <v>544</v>
      </c>
      <c r="E388" s="439">
        <v>12</v>
      </c>
      <c r="F388" s="495">
        <f>E388/176</f>
        <v>6.8181818181818177E-2</v>
      </c>
      <c r="G388" s="505" t="s">
        <v>271</v>
      </c>
      <c r="H388" s="509">
        <v>8.4499999999999993</v>
      </c>
      <c r="I388" s="509" t="s">
        <v>949</v>
      </c>
      <c r="J388" s="509">
        <v>50.7</v>
      </c>
      <c r="K388" s="495">
        <f t="shared" si="83"/>
        <v>12.21</v>
      </c>
      <c r="L388" s="571">
        <f t="shared" si="84"/>
        <v>62.910000000000004</v>
      </c>
      <c r="M388" s="439"/>
      <c r="N388" s="563"/>
      <c r="O388" s="505" t="s">
        <v>271</v>
      </c>
      <c r="P388" s="509">
        <v>8.4499999999999993</v>
      </c>
      <c r="Q388" s="509"/>
      <c r="R388" s="572"/>
      <c r="S388" s="495">
        <f t="shared" si="85"/>
        <v>0</v>
      </c>
      <c r="T388" s="571">
        <f t="shared" si="86"/>
        <v>0</v>
      </c>
    </row>
    <row r="389" spans="1:20" ht="75" x14ac:dyDescent="0.25">
      <c r="A389" s="573" t="s">
        <v>515</v>
      </c>
      <c r="B389" s="573" t="s">
        <v>362</v>
      </c>
      <c r="C389" s="573" t="s">
        <v>374</v>
      </c>
      <c r="D389" s="564" t="s">
        <v>545</v>
      </c>
      <c r="E389" s="439"/>
      <c r="F389" s="509"/>
      <c r="G389" s="505" t="s">
        <v>271</v>
      </c>
      <c r="H389" s="509">
        <v>10</v>
      </c>
      <c r="I389" s="509"/>
      <c r="J389" s="509"/>
      <c r="K389" s="495">
        <f t="shared" si="83"/>
        <v>0</v>
      </c>
      <c r="L389" s="571">
        <f t="shared" si="84"/>
        <v>0</v>
      </c>
      <c r="M389" s="439">
        <v>59</v>
      </c>
      <c r="N389" s="495">
        <f>M389/158</f>
        <v>0.37341772151898733</v>
      </c>
      <c r="O389" s="505" t="s">
        <v>271</v>
      </c>
      <c r="P389" s="509">
        <v>10</v>
      </c>
      <c r="Q389" s="509" t="s">
        <v>272</v>
      </c>
      <c r="R389" s="572">
        <v>118</v>
      </c>
      <c r="S389" s="495">
        <f t="shared" si="85"/>
        <v>28.43</v>
      </c>
      <c r="T389" s="571">
        <f t="shared" si="86"/>
        <v>146.43</v>
      </c>
    </row>
    <row r="390" spans="1:20" ht="75" x14ac:dyDescent="0.25">
      <c r="A390" s="573" t="s">
        <v>515</v>
      </c>
      <c r="B390" s="573" t="s">
        <v>362</v>
      </c>
      <c r="C390" s="573" t="s">
        <v>374</v>
      </c>
      <c r="D390" s="564" t="s">
        <v>545</v>
      </c>
      <c r="E390" s="439">
        <v>24</v>
      </c>
      <c r="F390" s="495">
        <f>E390/176</f>
        <v>0.13636363636363635</v>
      </c>
      <c r="G390" s="505" t="s">
        <v>271</v>
      </c>
      <c r="H390" s="509">
        <v>10</v>
      </c>
      <c r="I390" s="509" t="s">
        <v>949</v>
      </c>
      <c r="J390" s="509">
        <v>120</v>
      </c>
      <c r="K390" s="495">
        <f t="shared" si="83"/>
        <v>28.91</v>
      </c>
      <c r="L390" s="571">
        <f t="shared" si="84"/>
        <v>148.91</v>
      </c>
      <c r="M390" s="439"/>
      <c r="N390" s="563"/>
      <c r="O390" s="505" t="s">
        <v>271</v>
      </c>
      <c r="P390" s="509">
        <v>10</v>
      </c>
      <c r="Q390" s="509"/>
      <c r="R390" s="572"/>
      <c r="S390" s="495">
        <f t="shared" si="85"/>
        <v>0</v>
      </c>
      <c r="T390" s="571">
        <f t="shared" si="86"/>
        <v>0</v>
      </c>
    </row>
    <row r="391" spans="1:20" ht="75.75" thickBot="1" x14ac:dyDescent="0.3">
      <c r="A391" s="574" t="s">
        <v>515</v>
      </c>
      <c r="B391" s="574" t="s">
        <v>362</v>
      </c>
      <c r="C391" s="574" t="s">
        <v>374</v>
      </c>
      <c r="D391" s="575" t="s">
        <v>375</v>
      </c>
      <c r="E391" s="576"/>
      <c r="F391" s="579"/>
      <c r="G391" s="578" t="s">
        <v>271</v>
      </c>
      <c r="H391" s="579">
        <v>8.4499999999999993</v>
      </c>
      <c r="I391" s="579"/>
      <c r="J391" s="579"/>
      <c r="K391" s="577">
        <f t="shared" si="83"/>
        <v>0</v>
      </c>
      <c r="L391" s="580">
        <f t="shared" si="84"/>
        <v>0</v>
      </c>
      <c r="M391" s="576">
        <v>20</v>
      </c>
      <c r="N391" s="577">
        <f t="shared" ref="N391:N393" si="97">M391/158</f>
        <v>0.12658227848101267</v>
      </c>
      <c r="O391" s="578" t="s">
        <v>271</v>
      </c>
      <c r="P391" s="579">
        <v>8.4499999999999993</v>
      </c>
      <c r="Q391" s="579" t="s">
        <v>272</v>
      </c>
      <c r="R391" s="582">
        <v>33.799999999999997</v>
      </c>
      <c r="S391" s="577">
        <f t="shared" si="85"/>
        <v>8.14</v>
      </c>
      <c r="T391" s="580">
        <f t="shared" si="86"/>
        <v>41.94</v>
      </c>
    </row>
    <row r="392" spans="1:20" ht="95.25" thickBot="1" x14ac:dyDescent="0.3">
      <c r="A392" s="583" t="s">
        <v>546</v>
      </c>
      <c r="B392" s="584"/>
      <c r="C392" s="584"/>
      <c r="D392" s="585"/>
      <c r="E392" s="586">
        <v>332</v>
      </c>
      <c r="F392" s="587">
        <f>E392/176</f>
        <v>1.8863636363636365</v>
      </c>
      <c r="G392" s="588"/>
      <c r="H392" s="589"/>
      <c r="I392" s="589"/>
      <c r="J392" s="589">
        <v>1398.2500000000002</v>
      </c>
      <c r="K392" s="587">
        <f t="shared" si="83"/>
        <v>336.84</v>
      </c>
      <c r="L392" s="590">
        <f t="shared" si="84"/>
        <v>1735.0900000000001</v>
      </c>
      <c r="M392" s="586">
        <v>905</v>
      </c>
      <c r="N392" s="587">
        <f t="shared" si="97"/>
        <v>5.7278481012658231</v>
      </c>
      <c r="O392" s="588"/>
      <c r="P392" s="589"/>
      <c r="Q392" s="589"/>
      <c r="R392" s="591">
        <v>1748.5499999999995</v>
      </c>
      <c r="S392" s="587">
        <f t="shared" si="85"/>
        <v>421.23</v>
      </c>
      <c r="T392" s="590">
        <f t="shared" si="86"/>
        <v>2169.7799999999997</v>
      </c>
    </row>
    <row r="393" spans="1:20" ht="30" x14ac:dyDescent="0.25">
      <c r="A393" s="592" t="s">
        <v>547</v>
      </c>
      <c r="B393" s="592" t="s">
        <v>305</v>
      </c>
      <c r="C393" s="592" t="s">
        <v>548</v>
      </c>
      <c r="D393" s="593" t="s">
        <v>549</v>
      </c>
      <c r="E393" s="565"/>
      <c r="F393" s="566"/>
      <c r="G393" s="569" t="s">
        <v>289</v>
      </c>
      <c r="H393" s="566">
        <v>2120</v>
      </c>
      <c r="I393" s="566"/>
      <c r="J393" s="566"/>
      <c r="K393" s="567">
        <f t="shared" si="83"/>
        <v>0</v>
      </c>
      <c r="L393" s="568">
        <f t="shared" si="84"/>
        <v>0</v>
      </c>
      <c r="M393" s="565">
        <v>40</v>
      </c>
      <c r="N393" s="567">
        <f t="shared" si="97"/>
        <v>0.25316455696202533</v>
      </c>
      <c r="O393" s="569" t="s">
        <v>289</v>
      </c>
      <c r="P393" s="566">
        <v>2120</v>
      </c>
      <c r="Q393" s="566" t="s">
        <v>272</v>
      </c>
      <c r="R393" s="570">
        <v>107.34</v>
      </c>
      <c r="S393" s="567">
        <f t="shared" si="85"/>
        <v>25.86</v>
      </c>
      <c r="T393" s="568">
        <f t="shared" si="86"/>
        <v>133.19999999999999</v>
      </c>
    </row>
    <row r="394" spans="1:20" ht="30" x14ac:dyDescent="0.25">
      <c r="A394" s="573" t="s">
        <v>547</v>
      </c>
      <c r="B394" s="573" t="s">
        <v>305</v>
      </c>
      <c r="C394" s="573" t="s">
        <v>548</v>
      </c>
      <c r="D394" s="564" t="s">
        <v>549</v>
      </c>
      <c r="E394" s="439">
        <v>10</v>
      </c>
      <c r="F394" s="495">
        <f>E394/176</f>
        <v>5.6818181818181816E-2</v>
      </c>
      <c r="G394" s="505" t="s">
        <v>289</v>
      </c>
      <c r="H394" s="509">
        <v>2120</v>
      </c>
      <c r="I394" s="509" t="s">
        <v>950</v>
      </c>
      <c r="J394" s="509">
        <v>36.14</v>
      </c>
      <c r="K394" s="495">
        <f t="shared" si="83"/>
        <v>8.7100000000000009</v>
      </c>
      <c r="L394" s="571">
        <f t="shared" si="84"/>
        <v>44.85</v>
      </c>
      <c r="M394" s="439"/>
      <c r="N394" s="563"/>
      <c r="O394" s="505" t="s">
        <v>289</v>
      </c>
      <c r="P394" s="509">
        <v>2120</v>
      </c>
      <c r="Q394" s="509"/>
      <c r="R394" s="572"/>
      <c r="S394" s="495">
        <f t="shared" si="85"/>
        <v>0</v>
      </c>
      <c r="T394" s="571">
        <f t="shared" si="86"/>
        <v>0</v>
      </c>
    </row>
    <row r="395" spans="1:20" ht="30" x14ac:dyDescent="0.25">
      <c r="A395" s="573" t="s">
        <v>547</v>
      </c>
      <c r="B395" s="573" t="s">
        <v>305</v>
      </c>
      <c r="C395" s="573" t="s">
        <v>550</v>
      </c>
      <c r="D395" s="564" t="s">
        <v>551</v>
      </c>
      <c r="E395" s="439"/>
      <c r="F395" s="509"/>
      <c r="G395" s="505" t="s">
        <v>289</v>
      </c>
      <c r="H395" s="509">
        <v>3000</v>
      </c>
      <c r="I395" s="509"/>
      <c r="J395" s="509"/>
      <c r="K395" s="495">
        <f t="shared" ref="K395:K454" si="98">ROUND(J395*0.2409,2)</f>
        <v>0</v>
      </c>
      <c r="L395" s="571">
        <f t="shared" ref="L395:L454" si="99">K395+J395</f>
        <v>0</v>
      </c>
      <c r="M395" s="439">
        <v>79</v>
      </c>
      <c r="N395" s="495">
        <f>M395/158</f>
        <v>0.5</v>
      </c>
      <c r="O395" s="505" t="s">
        <v>289</v>
      </c>
      <c r="P395" s="509">
        <v>3000</v>
      </c>
      <c r="Q395" s="509" t="s">
        <v>272</v>
      </c>
      <c r="R395" s="572">
        <v>299.99</v>
      </c>
      <c r="S395" s="495">
        <f t="shared" ref="S395:S454" si="100">ROUND(R395*0.2409,2)</f>
        <v>72.27</v>
      </c>
      <c r="T395" s="571">
        <f t="shared" ref="T395:T454" si="101">S395+R395</f>
        <v>372.26</v>
      </c>
    </row>
    <row r="396" spans="1:20" ht="30" x14ac:dyDescent="0.25">
      <c r="A396" s="573" t="s">
        <v>547</v>
      </c>
      <c r="B396" s="573" t="s">
        <v>305</v>
      </c>
      <c r="C396" s="573" t="s">
        <v>550</v>
      </c>
      <c r="D396" s="564" t="s">
        <v>551</v>
      </c>
      <c r="E396" s="439">
        <v>20</v>
      </c>
      <c r="F396" s="495">
        <f>E396/176</f>
        <v>0.11363636363636363</v>
      </c>
      <c r="G396" s="505" t="s">
        <v>289</v>
      </c>
      <c r="H396" s="509">
        <v>3000</v>
      </c>
      <c r="I396" s="509" t="s">
        <v>950</v>
      </c>
      <c r="J396" s="509">
        <v>102.27000000000001</v>
      </c>
      <c r="K396" s="495">
        <f t="shared" si="98"/>
        <v>24.64</v>
      </c>
      <c r="L396" s="571">
        <f t="shared" si="99"/>
        <v>126.91000000000001</v>
      </c>
      <c r="M396" s="439"/>
      <c r="N396" s="563"/>
      <c r="O396" s="505" t="s">
        <v>289</v>
      </c>
      <c r="P396" s="509">
        <v>3000</v>
      </c>
      <c r="Q396" s="509"/>
      <c r="R396" s="572"/>
      <c r="S396" s="495">
        <f t="shared" si="100"/>
        <v>0</v>
      </c>
      <c r="T396" s="571">
        <f t="shared" si="101"/>
        <v>0</v>
      </c>
    </row>
    <row r="397" spans="1:20" ht="30" x14ac:dyDescent="0.25">
      <c r="A397" s="573" t="s">
        <v>547</v>
      </c>
      <c r="B397" s="573" t="s">
        <v>305</v>
      </c>
      <c r="C397" s="573" t="s">
        <v>552</v>
      </c>
      <c r="D397" s="564" t="s">
        <v>553</v>
      </c>
      <c r="E397" s="439"/>
      <c r="F397" s="509"/>
      <c r="G397" s="505" t="s">
        <v>289</v>
      </c>
      <c r="H397" s="509">
        <v>1500</v>
      </c>
      <c r="I397" s="509"/>
      <c r="J397" s="509"/>
      <c r="K397" s="495">
        <f t="shared" si="98"/>
        <v>0</v>
      </c>
      <c r="L397" s="571">
        <f t="shared" si="99"/>
        <v>0</v>
      </c>
      <c r="M397" s="439">
        <v>40</v>
      </c>
      <c r="N397" s="495">
        <f>M397/158</f>
        <v>0.25316455696202533</v>
      </c>
      <c r="O397" s="505" t="s">
        <v>289</v>
      </c>
      <c r="P397" s="509">
        <v>1500</v>
      </c>
      <c r="Q397" s="509" t="s">
        <v>272</v>
      </c>
      <c r="R397" s="572">
        <v>75.95</v>
      </c>
      <c r="S397" s="495">
        <f t="shared" si="100"/>
        <v>18.3</v>
      </c>
      <c r="T397" s="571">
        <f t="shared" si="101"/>
        <v>94.25</v>
      </c>
    </row>
    <row r="398" spans="1:20" ht="30.75" thickBot="1" x14ac:dyDescent="0.3">
      <c r="A398" s="574" t="s">
        <v>547</v>
      </c>
      <c r="B398" s="574" t="s">
        <v>305</v>
      </c>
      <c r="C398" s="574" t="s">
        <v>552</v>
      </c>
      <c r="D398" s="575" t="s">
        <v>553</v>
      </c>
      <c r="E398" s="576">
        <v>10</v>
      </c>
      <c r="F398" s="577">
        <f t="shared" ref="F398:F399" si="102">E398/176</f>
        <v>5.6818181818181816E-2</v>
      </c>
      <c r="G398" s="578" t="s">
        <v>289</v>
      </c>
      <c r="H398" s="579">
        <v>1500</v>
      </c>
      <c r="I398" s="579" t="s">
        <v>950</v>
      </c>
      <c r="J398" s="579">
        <v>25.57</v>
      </c>
      <c r="K398" s="577">
        <f t="shared" si="98"/>
        <v>6.16</v>
      </c>
      <c r="L398" s="580">
        <f t="shared" si="99"/>
        <v>31.73</v>
      </c>
      <c r="M398" s="576"/>
      <c r="N398" s="581"/>
      <c r="O398" s="578" t="s">
        <v>289</v>
      </c>
      <c r="P398" s="579">
        <v>1500</v>
      </c>
      <c r="Q398" s="579"/>
      <c r="R398" s="582"/>
      <c r="S398" s="577">
        <f t="shared" si="100"/>
        <v>0</v>
      </c>
      <c r="T398" s="580">
        <f t="shared" si="101"/>
        <v>0</v>
      </c>
    </row>
    <row r="399" spans="1:20" ht="27" customHeight="1" thickBot="1" x14ac:dyDescent="0.3">
      <c r="A399" s="583" t="s">
        <v>554</v>
      </c>
      <c r="B399" s="584"/>
      <c r="C399" s="584"/>
      <c r="D399" s="585"/>
      <c r="E399" s="586">
        <v>40</v>
      </c>
      <c r="F399" s="587">
        <f t="shared" si="102"/>
        <v>0.22727272727272727</v>
      </c>
      <c r="G399" s="588"/>
      <c r="H399" s="589"/>
      <c r="I399" s="589"/>
      <c r="J399" s="589">
        <v>163.98000000000002</v>
      </c>
      <c r="K399" s="587">
        <f t="shared" si="98"/>
        <v>39.5</v>
      </c>
      <c r="L399" s="590">
        <f t="shared" si="99"/>
        <v>203.48000000000002</v>
      </c>
      <c r="M399" s="586">
        <v>159</v>
      </c>
      <c r="N399" s="587">
        <f t="shared" ref="N399:N400" si="103">M399/158</f>
        <v>1.0063291139240507</v>
      </c>
      <c r="O399" s="588"/>
      <c r="P399" s="589"/>
      <c r="Q399" s="589"/>
      <c r="R399" s="591">
        <v>483.28000000000003</v>
      </c>
      <c r="S399" s="587">
        <f t="shared" si="100"/>
        <v>116.42</v>
      </c>
      <c r="T399" s="590">
        <f t="shared" si="101"/>
        <v>599.70000000000005</v>
      </c>
    </row>
    <row r="400" spans="1:20" ht="30" x14ac:dyDescent="0.25">
      <c r="A400" s="592" t="s">
        <v>555</v>
      </c>
      <c r="B400" s="592" t="s">
        <v>362</v>
      </c>
      <c r="C400" s="592" t="s">
        <v>22</v>
      </c>
      <c r="D400" s="593" t="s">
        <v>556</v>
      </c>
      <c r="E400" s="565"/>
      <c r="F400" s="566"/>
      <c r="G400" s="569" t="s">
        <v>271</v>
      </c>
      <c r="H400" s="566">
        <v>7.46</v>
      </c>
      <c r="I400" s="566"/>
      <c r="J400" s="566"/>
      <c r="K400" s="567">
        <f t="shared" si="98"/>
        <v>0</v>
      </c>
      <c r="L400" s="568">
        <f t="shared" si="99"/>
        <v>0</v>
      </c>
      <c r="M400" s="565">
        <v>16</v>
      </c>
      <c r="N400" s="567">
        <f t="shared" si="103"/>
        <v>0.10126582278481013</v>
      </c>
      <c r="O400" s="569" t="s">
        <v>271</v>
      </c>
      <c r="P400" s="566">
        <v>7.46</v>
      </c>
      <c r="Q400" s="566" t="s">
        <v>272</v>
      </c>
      <c r="R400" s="570">
        <v>23.87</v>
      </c>
      <c r="S400" s="567">
        <f t="shared" si="100"/>
        <v>5.75</v>
      </c>
      <c r="T400" s="568">
        <f t="shared" si="101"/>
        <v>29.62</v>
      </c>
    </row>
    <row r="401" spans="1:20" ht="30" x14ac:dyDescent="0.25">
      <c r="A401" s="573" t="s">
        <v>555</v>
      </c>
      <c r="B401" s="573" t="s">
        <v>362</v>
      </c>
      <c r="C401" s="573" t="s">
        <v>22</v>
      </c>
      <c r="D401" s="564" t="s">
        <v>556</v>
      </c>
      <c r="E401" s="439">
        <v>12</v>
      </c>
      <c r="F401" s="495">
        <f>E401/176</f>
        <v>6.8181818181818177E-2</v>
      </c>
      <c r="G401" s="505" t="s">
        <v>271</v>
      </c>
      <c r="H401" s="509">
        <v>7.46</v>
      </c>
      <c r="I401" s="509" t="s">
        <v>949</v>
      </c>
      <c r="J401" s="509">
        <v>44.76</v>
      </c>
      <c r="K401" s="495">
        <f t="shared" si="98"/>
        <v>10.78</v>
      </c>
      <c r="L401" s="571">
        <f t="shared" si="99"/>
        <v>55.54</v>
      </c>
      <c r="M401" s="439"/>
      <c r="N401" s="563"/>
      <c r="O401" s="505" t="s">
        <v>271</v>
      </c>
      <c r="P401" s="509">
        <v>7.46</v>
      </c>
      <c r="Q401" s="509"/>
      <c r="R401" s="572"/>
      <c r="S401" s="495">
        <f t="shared" si="100"/>
        <v>0</v>
      </c>
      <c r="T401" s="571">
        <f t="shared" si="101"/>
        <v>0</v>
      </c>
    </row>
    <row r="402" spans="1:20" ht="30" x14ac:dyDescent="0.25">
      <c r="A402" s="573" t="s">
        <v>555</v>
      </c>
      <c r="B402" s="573" t="s">
        <v>362</v>
      </c>
      <c r="C402" s="573" t="s">
        <v>22</v>
      </c>
      <c r="D402" s="564" t="s">
        <v>557</v>
      </c>
      <c r="E402" s="439"/>
      <c r="F402" s="509"/>
      <c r="G402" s="505" t="s">
        <v>271</v>
      </c>
      <c r="H402" s="509">
        <v>7.46</v>
      </c>
      <c r="I402" s="509"/>
      <c r="J402" s="509"/>
      <c r="K402" s="495">
        <f t="shared" si="98"/>
        <v>0</v>
      </c>
      <c r="L402" s="571">
        <f t="shared" si="99"/>
        <v>0</v>
      </c>
      <c r="M402" s="439">
        <v>64</v>
      </c>
      <c r="N402" s="495">
        <f>M402/158</f>
        <v>0.4050632911392405</v>
      </c>
      <c r="O402" s="505" t="s">
        <v>271</v>
      </c>
      <c r="P402" s="509">
        <v>7.46</v>
      </c>
      <c r="Q402" s="509" t="s">
        <v>272</v>
      </c>
      <c r="R402" s="572">
        <v>95.49</v>
      </c>
      <c r="S402" s="495">
        <f t="shared" si="100"/>
        <v>23</v>
      </c>
      <c r="T402" s="571">
        <f t="shared" si="101"/>
        <v>118.49</v>
      </c>
    </row>
    <row r="403" spans="1:20" ht="30" x14ac:dyDescent="0.25">
      <c r="A403" s="573" t="s">
        <v>555</v>
      </c>
      <c r="B403" s="573" t="s">
        <v>362</v>
      </c>
      <c r="C403" s="573" t="s">
        <v>22</v>
      </c>
      <c r="D403" s="564" t="s">
        <v>557</v>
      </c>
      <c r="E403" s="439">
        <v>12</v>
      </c>
      <c r="F403" s="495">
        <f>E403/176</f>
        <v>6.8181818181818177E-2</v>
      </c>
      <c r="G403" s="505" t="s">
        <v>271</v>
      </c>
      <c r="H403" s="509">
        <v>7.46</v>
      </c>
      <c r="I403" s="509" t="s">
        <v>949</v>
      </c>
      <c r="J403" s="509">
        <v>44.76</v>
      </c>
      <c r="K403" s="495">
        <f t="shared" si="98"/>
        <v>10.78</v>
      </c>
      <c r="L403" s="571">
        <f t="shared" si="99"/>
        <v>55.54</v>
      </c>
      <c r="M403" s="439"/>
      <c r="N403" s="563"/>
      <c r="O403" s="505" t="s">
        <v>271</v>
      </c>
      <c r="P403" s="509">
        <v>7.46</v>
      </c>
      <c r="Q403" s="509"/>
      <c r="R403" s="572"/>
      <c r="S403" s="495">
        <f t="shared" si="100"/>
        <v>0</v>
      </c>
      <c r="T403" s="571">
        <f t="shared" si="101"/>
        <v>0</v>
      </c>
    </row>
    <row r="404" spans="1:20" ht="30" x14ac:dyDescent="0.25">
      <c r="A404" s="573" t="s">
        <v>555</v>
      </c>
      <c r="B404" s="573" t="s">
        <v>362</v>
      </c>
      <c r="C404" s="573" t="s">
        <v>22</v>
      </c>
      <c r="D404" s="564" t="s">
        <v>558</v>
      </c>
      <c r="E404" s="439"/>
      <c r="F404" s="509"/>
      <c r="G404" s="505" t="s">
        <v>271</v>
      </c>
      <c r="H404" s="509">
        <v>7.46</v>
      </c>
      <c r="I404" s="509"/>
      <c r="J404" s="509"/>
      <c r="K404" s="495">
        <f t="shared" si="98"/>
        <v>0</v>
      </c>
      <c r="L404" s="571">
        <f t="shared" si="99"/>
        <v>0</v>
      </c>
      <c r="M404" s="439">
        <v>16</v>
      </c>
      <c r="N404" s="495">
        <f>M404/158</f>
        <v>0.10126582278481013</v>
      </c>
      <c r="O404" s="505" t="s">
        <v>271</v>
      </c>
      <c r="P404" s="509">
        <v>7.46</v>
      </c>
      <c r="Q404" s="509" t="s">
        <v>272</v>
      </c>
      <c r="R404" s="572">
        <v>23.87</v>
      </c>
      <c r="S404" s="495">
        <f t="shared" si="100"/>
        <v>5.75</v>
      </c>
      <c r="T404" s="571">
        <f t="shared" si="101"/>
        <v>29.62</v>
      </c>
    </row>
    <row r="405" spans="1:20" ht="30" x14ac:dyDescent="0.25">
      <c r="A405" s="573" t="s">
        <v>555</v>
      </c>
      <c r="B405" s="573" t="s">
        <v>362</v>
      </c>
      <c r="C405" s="573" t="s">
        <v>22</v>
      </c>
      <c r="D405" s="564" t="s">
        <v>558</v>
      </c>
      <c r="E405" s="439">
        <v>24</v>
      </c>
      <c r="F405" s="495">
        <f t="shared" ref="F405:F410" si="104">E405/176</f>
        <v>0.13636363636363635</v>
      </c>
      <c r="G405" s="505" t="s">
        <v>271</v>
      </c>
      <c r="H405" s="509">
        <v>7.46</v>
      </c>
      <c r="I405" s="509" t="s">
        <v>949</v>
      </c>
      <c r="J405" s="509">
        <v>89.52</v>
      </c>
      <c r="K405" s="495">
        <f t="shared" si="98"/>
        <v>21.57</v>
      </c>
      <c r="L405" s="571">
        <f t="shared" si="99"/>
        <v>111.09</v>
      </c>
      <c r="M405" s="439"/>
      <c r="N405" s="563"/>
      <c r="O405" s="505" t="s">
        <v>271</v>
      </c>
      <c r="P405" s="509">
        <v>7.46</v>
      </c>
      <c r="Q405" s="509"/>
      <c r="R405" s="572"/>
      <c r="S405" s="495">
        <f t="shared" si="100"/>
        <v>0</v>
      </c>
      <c r="T405" s="571">
        <f t="shared" si="101"/>
        <v>0</v>
      </c>
    </row>
    <row r="406" spans="1:20" ht="30" x14ac:dyDescent="0.25">
      <c r="A406" s="573" t="s">
        <v>555</v>
      </c>
      <c r="B406" s="573" t="s">
        <v>362</v>
      </c>
      <c r="C406" s="573" t="s">
        <v>22</v>
      </c>
      <c r="D406" s="564" t="s">
        <v>934</v>
      </c>
      <c r="E406" s="439">
        <v>28</v>
      </c>
      <c r="F406" s="495">
        <f t="shared" si="104"/>
        <v>0.15909090909090909</v>
      </c>
      <c r="G406" s="505" t="s">
        <v>271</v>
      </c>
      <c r="H406" s="509">
        <v>6.79</v>
      </c>
      <c r="I406" s="509" t="s">
        <v>949</v>
      </c>
      <c r="J406" s="509">
        <v>95.06</v>
      </c>
      <c r="K406" s="495">
        <f t="shared" si="98"/>
        <v>22.9</v>
      </c>
      <c r="L406" s="571">
        <f t="shared" si="99"/>
        <v>117.96000000000001</v>
      </c>
      <c r="M406" s="439"/>
      <c r="N406" s="563"/>
      <c r="O406" s="505" t="s">
        <v>271</v>
      </c>
      <c r="P406" s="509">
        <v>6.79</v>
      </c>
      <c r="Q406" s="509"/>
      <c r="R406" s="572"/>
      <c r="S406" s="495">
        <f t="shared" si="100"/>
        <v>0</v>
      </c>
      <c r="T406" s="571">
        <f t="shared" si="101"/>
        <v>0</v>
      </c>
    </row>
    <row r="407" spans="1:20" ht="30" x14ac:dyDescent="0.25">
      <c r="A407" s="573" t="s">
        <v>555</v>
      </c>
      <c r="B407" s="573" t="s">
        <v>362</v>
      </c>
      <c r="C407" s="573" t="s">
        <v>22</v>
      </c>
      <c r="D407" s="564" t="s">
        <v>544</v>
      </c>
      <c r="E407" s="439">
        <v>12</v>
      </c>
      <c r="F407" s="495">
        <f t="shared" si="104"/>
        <v>6.8181818181818177E-2</v>
      </c>
      <c r="G407" s="505" t="s">
        <v>271</v>
      </c>
      <c r="H407" s="509">
        <v>7.46</v>
      </c>
      <c r="I407" s="509" t="s">
        <v>949</v>
      </c>
      <c r="J407" s="509">
        <v>44.76</v>
      </c>
      <c r="K407" s="495">
        <f t="shared" si="98"/>
        <v>10.78</v>
      </c>
      <c r="L407" s="571">
        <f t="shared" si="99"/>
        <v>55.54</v>
      </c>
      <c r="M407" s="439"/>
      <c r="N407" s="563"/>
      <c r="O407" s="505" t="s">
        <v>271</v>
      </c>
      <c r="P407" s="509">
        <v>7.46</v>
      </c>
      <c r="Q407" s="509"/>
      <c r="R407" s="572"/>
      <c r="S407" s="495">
        <f t="shared" si="100"/>
        <v>0</v>
      </c>
      <c r="T407" s="571">
        <f t="shared" si="101"/>
        <v>0</v>
      </c>
    </row>
    <row r="408" spans="1:20" ht="30" x14ac:dyDescent="0.25">
      <c r="A408" s="573" t="s">
        <v>555</v>
      </c>
      <c r="B408" s="573" t="s">
        <v>362</v>
      </c>
      <c r="C408" s="573" t="s">
        <v>22</v>
      </c>
      <c r="D408" s="564" t="s">
        <v>935</v>
      </c>
      <c r="E408" s="439">
        <v>12</v>
      </c>
      <c r="F408" s="495">
        <f t="shared" si="104"/>
        <v>6.8181818181818177E-2</v>
      </c>
      <c r="G408" s="505" t="s">
        <v>271</v>
      </c>
      <c r="H408" s="509">
        <v>7.46</v>
      </c>
      <c r="I408" s="509" t="s">
        <v>949</v>
      </c>
      <c r="J408" s="509">
        <v>44.76</v>
      </c>
      <c r="K408" s="495">
        <f t="shared" si="98"/>
        <v>10.78</v>
      </c>
      <c r="L408" s="571">
        <f t="shared" si="99"/>
        <v>55.54</v>
      </c>
      <c r="M408" s="439"/>
      <c r="N408" s="563"/>
      <c r="O408" s="505" t="s">
        <v>271</v>
      </c>
      <c r="P408" s="509">
        <v>7.46</v>
      </c>
      <c r="Q408" s="509"/>
      <c r="R408" s="572"/>
      <c r="S408" s="495">
        <f t="shared" si="100"/>
        <v>0</v>
      </c>
      <c r="T408" s="571">
        <f t="shared" si="101"/>
        <v>0</v>
      </c>
    </row>
    <row r="409" spans="1:20" ht="30" x14ac:dyDescent="0.25">
      <c r="A409" s="573" t="s">
        <v>555</v>
      </c>
      <c r="B409" s="573" t="s">
        <v>362</v>
      </c>
      <c r="C409" s="573" t="s">
        <v>22</v>
      </c>
      <c r="D409" s="564" t="s">
        <v>936</v>
      </c>
      <c r="E409" s="439">
        <v>12</v>
      </c>
      <c r="F409" s="495">
        <f t="shared" si="104"/>
        <v>6.8181818181818177E-2</v>
      </c>
      <c r="G409" s="505" t="s">
        <v>271</v>
      </c>
      <c r="H409" s="509">
        <v>7.46</v>
      </c>
      <c r="I409" s="509" t="s">
        <v>949</v>
      </c>
      <c r="J409" s="509">
        <v>44.76</v>
      </c>
      <c r="K409" s="495">
        <f t="shared" si="98"/>
        <v>10.78</v>
      </c>
      <c r="L409" s="571">
        <f t="shared" si="99"/>
        <v>55.54</v>
      </c>
      <c r="M409" s="439"/>
      <c r="N409" s="563"/>
      <c r="O409" s="505" t="s">
        <v>271</v>
      </c>
      <c r="P409" s="509">
        <v>7.46</v>
      </c>
      <c r="Q409" s="509"/>
      <c r="R409" s="572"/>
      <c r="S409" s="495">
        <f t="shared" si="100"/>
        <v>0</v>
      </c>
      <c r="T409" s="571">
        <f t="shared" si="101"/>
        <v>0</v>
      </c>
    </row>
    <row r="410" spans="1:20" ht="30" x14ac:dyDescent="0.25">
      <c r="A410" s="573" t="s">
        <v>555</v>
      </c>
      <c r="B410" s="573" t="s">
        <v>362</v>
      </c>
      <c r="C410" s="573" t="s">
        <v>22</v>
      </c>
      <c r="D410" s="564" t="s">
        <v>926</v>
      </c>
      <c r="E410" s="439">
        <v>76</v>
      </c>
      <c r="F410" s="495">
        <f t="shared" si="104"/>
        <v>0.43181818181818182</v>
      </c>
      <c r="G410" s="505" t="s">
        <v>271</v>
      </c>
      <c r="H410" s="509">
        <v>7.46</v>
      </c>
      <c r="I410" s="509" t="s">
        <v>949</v>
      </c>
      <c r="J410" s="509">
        <v>283.48</v>
      </c>
      <c r="K410" s="495">
        <f t="shared" si="98"/>
        <v>68.290000000000006</v>
      </c>
      <c r="L410" s="571">
        <f t="shared" si="99"/>
        <v>351.77000000000004</v>
      </c>
      <c r="M410" s="439"/>
      <c r="N410" s="563"/>
      <c r="O410" s="505" t="s">
        <v>271</v>
      </c>
      <c r="P410" s="509">
        <v>7.46</v>
      </c>
      <c r="Q410" s="509"/>
      <c r="R410" s="572"/>
      <c r="S410" s="495">
        <f t="shared" si="100"/>
        <v>0</v>
      </c>
      <c r="T410" s="571">
        <f t="shared" si="101"/>
        <v>0</v>
      </c>
    </row>
    <row r="411" spans="1:20" ht="30" x14ac:dyDescent="0.25">
      <c r="A411" s="573" t="s">
        <v>555</v>
      </c>
      <c r="B411" s="573" t="s">
        <v>362</v>
      </c>
      <c r="C411" s="573" t="s">
        <v>22</v>
      </c>
      <c r="D411" s="564" t="s">
        <v>559</v>
      </c>
      <c r="E411" s="439"/>
      <c r="F411" s="509"/>
      <c r="G411" s="505" t="s">
        <v>271</v>
      </c>
      <c r="H411" s="509">
        <v>7.46</v>
      </c>
      <c r="I411" s="509"/>
      <c r="J411" s="509"/>
      <c r="K411" s="495">
        <f t="shared" si="98"/>
        <v>0</v>
      </c>
      <c r="L411" s="571">
        <f t="shared" si="99"/>
        <v>0</v>
      </c>
      <c r="M411" s="439">
        <v>128</v>
      </c>
      <c r="N411" s="495">
        <f>M411/158</f>
        <v>0.810126582278481</v>
      </c>
      <c r="O411" s="505" t="s">
        <v>271</v>
      </c>
      <c r="P411" s="509">
        <v>7.46</v>
      </c>
      <c r="Q411" s="509" t="s">
        <v>272</v>
      </c>
      <c r="R411" s="572">
        <v>190.98</v>
      </c>
      <c r="S411" s="495">
        <f t="shared" si="100"/>
        <v>46.01</v>
      </c>
      <c r="T411" s="571">
        <f t="shared" si="101"/>
        <v>236.98999999999998</v>
      </c>
    </row>
    <row r="412" spans="1:20" ht="30" x14ac:dyDescent="0.25">
      <c r="A412" s="573" t="s">
        <v>555</v>
      </c>
      <c r="B412" s="573" t="s">
        <v>362</v>
      </c>
      <c r="C412" s="573" t="s">
        <v>22</v>
      </c>
      <c r="D412" s="564" t="s">
        <v>559</v>
      </c>
      <c r="E412" s="439">
        <v>64</v>
      </c>
      <c r="F412" s="495">
        <f>E412/176</f>
        <v>0.36363636363636365</v>
      </c>
      <c r="G412" s="505" t="s">
        <v>271</v>
      </c>
      <c r="H412" s="509">
        <v>7.46</v>
      </c>
      <c r="I412" s="509" t="s">
        <v>949</v>
      </c>
      <c r="J412" s="509">
        <v>238.72</v>
      </c>
      <c r="K412" s="495">
        <f t="shared" si="98"/>
        <v>57.51</v>
      </c>
      <c r="L412" s="571">
        <f t="shared" si="99"/>
        <v>296.23</v>
      </c>
      <c r="M412" s="439"/>
      <c r="N412" s="563"/>
      <c r="O412" s="505" t="s">
        <v>271</v>
      </c>
      <c r="P412" s="509">
        <v>7.46</v>
      </c>
      <c r="Q412" s="509"/>
      <c r="R412" s="572"/>
      <c r="S412" s="495">
        <f t="shared" si="100"/>
        <v>0</v>
      </c>
      <c r="T412" s="571">
        <f t="shared" si="101"/>
        <v>0</v>
      </c>
    </row>
    <row r="413" spans="1:20" ht="30" x14ac:dyDescent="0.25">
      <c r="A413" s="573" t="s">
        <v>555</v>
      </c>
      <c r="B413" s="573" t="s">
        <v>362</v>
      </c>
      <c r="C413" s="573" t="s">
        <v>22</v>
      </c>
      <c r="D413" s="564" t="s">
        <v>560</v>
      </c>
      <c r="E413" s="439"/>
      <c r="F413" s="509"/>
      <c r="G413" s="505" t="s">
        <v>271</v>
      </c>
      <c r="H413" s="509">
        <v>6.79</v>
      </c>
      <c r="I413" s="509"/>
      <c r="J413" s="509"/>
      <c r="K413" s="495">
        <f t="shared" si="98"/>
        <v>0</v>
      </c>
      <c r="L413" s="571">
        <f t="shared" si="99"/>
        <v>0</v>
      </c>
      <c r="M413" s="439">
        <v>136</v>
      </c>
      <c r="N413" s="495">
        <f>M413/158</f>
        <v>0.86075949367088611</v>
      </c>
      <c r="O413" s="505" t="s">
        <v>271</v>
      </c>
      <c r="P413" s="509">
        <v>6.79</v>
      </c>
      <c r="Q413" s="509" t="s">
        <v>272</v>
      </c>
      <c r="R413" s="572">
        <v>184.69</v>
      </c>
      <c r="S413" s="495">
        <f t="shared" si="100"/>
        <v>44.49</v>
      </c>
      <c r="T413" s="571">
        <f t="shared" si="101"/>
        <v>229.18</v>
      </c>
    </row>
    <row r="414" spans="1:20" ht="30.75" thickBot="1" x14ac:dyDescent="0.3">
      <c r="A414" s="574" t="s">
        <v>555</v>
      </c>
      <c r="B414" s="574" t="s">
        <v>362</v>
      </c>
      <c r="C414" s="574" t="s">
        <v>22</v>
      </c>
      <c r="D414" s="575" t="s">
        <v>937</v>
      </c>
      <c r="E414" s="576">
        <v>24</v>
      </c>
      <c r="F414" s="577">
        <f t="shared" ref="F414:F415" si="105">E414/176</f>
        <v>0.13636363636363635</v>
      </c>
      <c r="G414" s="578" t="s">
        <v>271</v>
      </c>
      <c r="H414" s="579">
        <v>7.46</v>
      </c>
      <c r="I414" s="579" t="s">
        <v>949</v>
      </c>
      <c r="J414" s="579">
        <v>89.52</v>
      </c>
      <c r="K414" s="577">
        <f t="shared" si="98"/>
        <v>21.57</v>
      </c>
      <c r="L414" s="580">
        <f t="shared" si="99"/>
        <v>111.09</v>
      </c>
      <c r="M414" s="576"/>
      <c r="N414" s="581"/>
      <c r="O414" s="578" t="s">
        <v>271</v>
      </c>
      <c r="P414" s="579">
        <v>7.46</v>
      </c>
      <c r="Q414" s="579"/>
      <c r="R414" s="582"/>
      <c r="S414" s="577">
        <f t="shared" si="100"/>
        <v>0</v>
      </c>
      <c r="T414" s="580">
        <f t="shared" si="101"/>
        <v>0</v>
      </c>
    </row>
    <row r="415" spans="1:20" ht="17.25" thickBot="1" x14ac:dyDescent="0.3">
      <c r="A415" s="583" t="s">
        <v>561</v>
      </c>
      <c r="B415" s="584"/>
      <c r="C415" s="584"/>
      <c r="D415" s="585"/>
      <c r="E415" s="586">
        <v>276</v>
      </c>
      <c r="F415" s="587">
        <f t="shared" si="105"/>
        <v>1.5681818181818181</v>
      </c>
      <c r="G415" s="588"/>
      <c r="H415" s="589"/>
      <c r="I415" s="589"/>
      <c r="J415" s="589">
        <v>1020.1</v>
      </c>
      <c r="K415" s="587">
        <f t="shared" si="98"/>
        <v>245.74</v>
      </c>
      <c r="L415" s="590">
        <f t="shared" si="99"/>
        <v>1265.8400000000001</v>
      </c>
      <c r="M415" s="586">
        <v>360</v>
      </c>
      <c r="N415" s="587">
        <f t="shared" ref="N415:N416" si="106">M415/158</f>
        <v>2.278481012658228</v>
      </c>
      <c r="O415" s="588"/>
      <c r="P415" s="589"/>
      <c r="Q415" s="589"/>
      <c r="R415" s="591">
        <v>518.9</v>
      </c>
      <c r="S415" s="587">
        <f t="shared" si="100"/>
        <v>125</v>
      </c>
      <c r="T415" s="590">
        <f t="shared" si="101"/>
        <v>643.9</v>
      </c>
    </row>
    <row r="416" spans="1:20" ht="30" x14ac:dyDescent="0.25">
      <c r="A416" s="592" t="s">
        <v>562</v>
      </c>
      <c r="B416" s="592" t="s">
        <v>305</v>
      </c>
      <c r="C416" s="592" t="s">
        <v>162</v>
      </c>
      <c r="D416" s="593" t="s">
        <v>563</v>
      </c>
      <c r="E416" s="565"/>
      <c r="F416" s="566"/>
      <c r="G416" s="569" t="s">
        <v>289</v>
      </c>
      <c r="H416" s="566">
        <v>780</v>
      </c>
      <c r="I416" s="566"/>
      <c r="J416" s="566"/>
      <c r="K416" s="567">
        <f t="shared" si="98"/>
        <v>0</v>
      </c>
      <c r="L416" s="568">
        <f t="shared" si="99"/>
        <v>0</v>
      </c>
      <c r="M416" s="565">
        <v>33</v>
      </c>
      <c r="N416" s="567">
        <f t="shared" si="106"/>
        <v>0.20886075949367089</v>
      </c>
      <c r="O416" s="569" t="s">
        <v>289</v>
      </c>
      <c r="P416" s="566">
        <v>780</v>
      </c>
      <c r="Q416" s="566" t="s">
        <v>272</v>
      </c>
      <c r="R416" s="570">
        <v>32.58</v>
      </c>
      <c r="S416" s="567">
        <f t="shared" si="100"/>
        <v>7.85</v>
      </c>
      <c r="T416" s="568">
        <f t="shared" si="101"/>
        <v>40.43</v>
      </c>
    </row>
    <row r="417" spans="1:20" ht="30" x14ac:dyDescent="0.25">
      <c r="A417" s="573" t="s">
        <v>562</v>
      </c>
      <c r="B417" s="573" t="s">
        <v>305</v>
      </c>
      <c r="C417" s="573" t="s">
        <v>162</v>
      </c>
      <c r="D417" s="564" t="s">
        <v>563</v>
      </c>
      <c r="E417" s="439">
        <v>30</v>
      </c>
      <c r="F417" s="495">
        <f>E417/176</f>
        <v>0.17045454545454544</v>
      </c>
      <c r="G417" s="505" t="s">
        <v>289</v>
      </c>
      <c r="H417" s="509">
        <v>780</v>
      </c>
      <c r="I417" s="509" t="s">
        <v>949</v>
      </c>
      <c r="J417" s="509">
        <v>66.48</v>
      </c>
      <c r="K417" s="495">
        <f t="shared" si="98"/>
        <v>16.02</v>
      </c>
      <c r="L417" s="571">
        <f t="shared" si="99"/>
        <v>82.5</v>
      </c>
      <c r="M417" s="439"/>
      <c r="N417" s="563"/>
      <c r="O417" s="505" t="s">
        <v>289</v>
      </c>
      <c r="P417" s="509">
        <v>780</v>
      </c>
      <c r="Q417" s="509"/>
      <c r="R417" s="572"/>
      <c r="S417" s="495">
        <f t="shared" si="100"/>
        <v>0</v>
      </c>
      <c r="T417" s="571">
        <f t="shared" si="101"/>
        <v>0</v>
      </c>
    </row>
    <row r="418" spans="1:20" ht="30" x14ac:dyDescent="0.25">
      <c r="A418" s="573" t="s">
        <v>562</v>
      </c>
      <c r="B418" s="573" t="s">
        <v>305</v>
      </c>
      <c r="C418" s="573" t="s">
        <v>162</v>
      </c>
      <c r="D418" s="564" t="s">
        <v>564</v>
      </c>
      <c r="E418" s="439"/>
      <c r="F418" s="509"/>
      <c r="G418" s="505" t="s">
        <v>289</v>
      </c>
      <c r="H418" s="509">
        <v>780</v>
      </c>
      <c r="I418" s="509"/>
      <c r="J418" s="509"/>
      <c r="K418" s="495">
        <f t="shared" si="98"/>
        <v>0</v>
      </c>
      <c r="L418" s="571">
        <f t="shared" si="99"/>
        <v>0</v>
      </c>
      <c r="M418" s="439">
        <v>15</v>
      </c>
      <c r="N418" s="495">
        <f>M418/158</f>
        <v>9.49367088607595E-2</v>
      </c>
      <c r="O418" s="505" t="s">
        <v>289</v>
      </c>
      <c r="P418" s="509">
        <v>780</v>
      </c>
      <c r="Q418" s="509" t="s">
        <v>272</v>
      </c>
      <c r="R418" s="572">
        <v>14.81</v>
      </c>
      <c r="S418" s="495">
        <f t="shared" si="100"/>
        <v>3.57</v>
      </c>
      <c r="T418" s="571">
        <f t="shared" si="101"/>
        <v>18.38</v>
      </c>
    </row>
    <row r="419" spans="1:20" ht="30" x14ac:dyDescent="0.25">
      <c r="A419" s="573" t="s">
        <v>562</v>
      </c>
      <c r="B419" s="573" t="s">
        <v>305</v>
      </c>
      <c r="C419" s="573" t="s">
        <v>162</v>
      </c>
      <c r="D419" s="564" t="s">
        <v>564</v>
      </c>
      <c r="E419" s="439">
        <v>30</v>
      </c>
      <c r="F419" s="495">
        <f>E419/176</f>
        <v>0.17045454545454544</v>
      </c>
      <c r="G419" s="505" t="s">
        <v>289</v>
      </c>
      <c r="H419" s="509">
        <v>780</v>
      </c>
      <c r="I419" s="509" t="s">
        <v>949</v>
      </c>
      <c r="J419" s="509">
        <v>66.48</v>
      </c>
      <c r="K419" s="495">
        <f t="shared" si="98"/>
        <v>16.02</v>
      </c>
      <c r="L419" s="571">
        <f t="shared" si="99"/>
        <v>82.5</v>
      </c>
      <c r="M419" s="439"/>
      <c r="N419" s="563"/>
      <c r="O419" s="505" t="s">
        <v>289</v>
      </c>
      <c r="P419" s="509">
        <v>780</v>
      </c>
      <c r="Q419" s="509"/>
      <c r="R419" s="572"/>
      <c r="S419" s="495">
        <f t="shared" si="100"/>
        <v>0</v>
      </c>
      <c r="T419" s="571">
        <f t="shared" si="101"/>
        <v>0</v>
      </c>
    </row>
    <row r="420" spans="1:20" ht="30" x14ac:dyDescent="0.25">
      <c r="A420" s="573" t="s">
        <v>562</v>
      </c>
      <c r="B420" s="573" t="s">
        <v>305</v>
      </c>
      <c r="C420" s="573" t="s">
        <v>162</v>
      </c>
      <c r="D420" s="564" t="s">
        <v>565</v>
      </c>
      <c r="E420" s="439"/>
      <c r="F420" s="509"/>
      <c r="G420" s="505" t="s">
        <v>289</v>
      </c>
      <c r="H420" s="509">
        <v>780</v>
      </c>
      <c r="I420" s="509"/>
      <c r="J420" s="509"/>
      <c r="K420" s="495">
        <f t="shared" si="98"/>
        <v>0</v>
      </c>
      <c r="L420" s="571">
        <f t="shared" si="99"/>
        <v>0</v>
      </c>
      <c r="M420" s="439">
        <v>20</v>
      </c>
      <c r="N420" s="495">
        <f>M420/158</f>
        <v>0.12658227848101267</v>
      </c>
      <c r="O420" s="505" t="s">
        <v>289</v>
      </c>
      <c r="P420" s="509">
        <v>780</v>
      </c>
      <c r="Q420" s="509" t="s">
        <v>272</v>
      </c>
      <c r="R420" s="572">
        <v>19.75</v>
      </c>
      <c r="S420" s="495">
        <f t="shared" si="100"/>
        <v>4.76</v>
      </c>
      <c r="T420" s="571">
        <f t="shared" si="101"/>
        <v>24.509999999999998</v>
      </c>
    </row>
    <row r="421" spans="1:20" ht="30" x14ac:dyDescent="0.25">
      <c r="A421" s="573" t="s">
        <v>562</v>
      </c>
      <c r="B421" s="573" t="s">
        <v>305</v>
      </c>
      <c r="C421" s="573" t="s">
        <v>162</v>
      </c>
      <c r="D421" s="564" t="s">
        <v>565</v>
      </c>
      <c r="E421" s="439">
        <v>22</v>
      </c>
      <c r="F421" s="495">
        <f t="shared" ref="F421:F423" si="107">E421/176</f>
        <v>0.125</v>
      </c>
      <c r="G421" s="505" t="s">
        <v>289</v>
      </c>
      <c r="H421" s="509">
        <v>780</v>
      </c>
      <c r="I421" s="509" t="s">
        <v>949</v>
      </c>
      <c r="J421" s="509">
        <v>48.75</v>
      </c>
      <c r="K421" s="495">
        <f t="shared" si="98"/>
        <v>11.74</v>
      </c>
      <c r="L421" s="571">
        <f t="shared" si="99"/>
        <v>60.49</v>
      </c>
      <c r="M421" s="439"/>
      <c r="N421" s="563"/>
      <c r="O421" s="505" t="s">
        <v>289</v>
      </c>
      <c r="P421" s="509">
        <v>780</v>
      </c>
      <c r="Q421" s="509"/>
      <c r="R421" s="572"/>
      <c r="S421" s="495">
        <f t="shared" si="100"/>
        <v>0</v>
      </c>
      <c r="T421" s="571">
        <f t="shared" si="101"/>
        <v>0</v>
      </c>
    </row>
    <row r="422" spans="1:20" ht="30" x14ac:dyDescent="0.25">
      <c r="A422" s="573" t="s">
        <v>562</v>
      </c>
      <c r="B422" s="573" t="s">
        <v>305</v>
      </c>
      <c r="C422" s="573" t="s">
        <v>162</v>
      </c>
      <c r="D422" s="564" t="s">
        <v>938</v>
      </c>
      <c r="E422" s="439">
        <v>22</v>
      </c>
      <c r="F422" s="495">
        <f t="shared" si="107"/>
        <v>0.125</v>
      </c>
      <c r="G422" s="505" t="s">
        <v>289</v>
      </c>
      <c r="H422" s="509">
        <v>780</v>
      </c>
      <c r="I422" s="509" t="s">
        <v>949</v>
      </c>
      <c r="J422" s="509">
        <v>48.75</v>
      </c>
      <c r="K422" s="495">
        <f t="shared" si="98"/>
        <v>11.74</v>
      </c>
      <c r="L422" s="571">
        <f t="shared" si="99"/>
        <v>60.49</v>
      </c>
      <c r="M422" s="439"/>
      <c r="N422" s="563"/>
      <c r="O422" s="505" t="s">
        <v>289</v>
      </c>
      <c r="P422" s="509">
        <v>780</v>
      </c>
      <c r="Q422" s="509"/>
      <c r="R422" s="572"/>
      <c r="S422" s="495">
        <f t="shared" si="100"/>
        <v>0</v>
      </c>
      <c r="T422" s="571">
        <f t="shared" si="101"/>
        <v>0</v>
      </c>
    </row>
    <row r="423" spans="1:20" ht="30" x14ac:dyDescent="0.25">
      <c r="A423" s="573" t="s">
        <v>562</v>
      </c>
      <c r="B423" s="573" t="s">
        <v>305</v>
      </c>
      <c r="C423" s="573" t="s">
        <v>162</v>
      </c>
      <c r="D423" s="564" t="s">
        <v>939</v>
      </c>
      <c r="E423" s="439">
        <v>22</v>
      </c>
      <c r="F423" s="495">
        <f t="shared" si="107"/>
        <v>0.125</v>
      </c>
      <c r="G423" s="505" t="s">
        <v>289</v>
      </c>
      <c r="H423" s="509">
        <v>780</v>
      </c>
      <c r="I423" s="509" t="s">
        <v>949</v>
      </c>
      <c r="J423" s="509">
        <v>48.75</v>
      </c>
      <c r="K423" s="495">
        <f t="shared" si="98"/>
        <v>11.74</v>
      </c>
      <c r="L423" s="571">
        <f t="shared" si="99"/>
        <v>60.49</v>
      </c>
      <c r="M423" s="439"/>
      <c r="N423" s="563"/>
      <c r="O423" s="505" t="s">
        <v>289</v>
      </c>
      <c r="P423" s="509">
        <v>780</v>
      </c>
      <c r="Q423" s="509"/>
      <c r="R423" s="572"/>
      <c r="S423" s="495">
        <f t="shared" si="100"/>
        <v>0</v>
      </c>
      <c r="T423" s="571">
        <f t="shared" si="101"/>
        <v>0</v>
      </c>
    </row>
    <row r="424" spans="1:20" ht="30" x14ac:dyDescent="0.25">
      <c r="A424" s="573" t="s">
        <v>562</v>
      </c>
      <c r="B424" s="573" t="s">
        <v>305</v>
      </c>
      <c r="C424" s="573" t="s">
        <v>162</v>
      </c>
      <c r="D424" s="564" t="s">
        <v>566</v>
      </c>
      <c r="E424" s="439"/>
      <c r="F424" s="509"/>
      <c r="G424" s="505" t="s">
        <v>289</v>
      </c>
      <c r="H424" s="509">
        <v>780</v>
      </c>
      <c r="I424" s="509"/>
      <c r="J424" s="509"/>
      <c r="K424" s="495">
        <f t="shared" si="98"/>
        <v>0</v>
      </c>
      <c r="L424" s="571">
        <f t="shared" si="99"/>
        <v>0</v>
      </c>
      <c r="M424" s="439">
        <v>40</v>
      </c>
      <c r="N424" s="495">
        <f>M424/158</f>
        <v>0.25316455696202533</v>
      </c>
      <c r="O424" s="505" t="s">
        <v>289</v>
      </c>
      <c r="P424" s="509">
        <v>780</v>
      </c>
      <c r="Q424" s="509" t="s">
        <v>272</v>
      </c>
      <c r="R424" s="572">
        <v>39.5</v>
      </c>
      <c r="S424" s="495">
        <f t="shared" si="100"/>
        <v>9.52</v>
      </c>
      <c r="T424" s="571">
        <f t="shared" si="101"/>
        <v>49.019999999999996</v>
      </c>
    </row>
    <row r="425" spans="1:20" ht="30.75" thickBot="1" x14ac:dyDescent="0.3">
      <c r="A425" s="574" t="s">
        <v>562</v>
      </c>
      <c r="B425" s="574" t="s">
        <v>305</v>
      </c>
      <c r="C425" s="574" t="s">
        <v>162</v>
      </c>
      <c r="D425" s="575" t="s">
        <v>566</v>
      </c>
      <c r="E425" s="576">
        <v>30</v>
      </c>
      <c r="F425" s="577">
        <f t="shared" ref="F425:F426" si="108">E425/176</f>
        <v>0.17045454545454544</v>
      </c>
      <c r="G425" s="578" t="s">
        <v>289</v>
      </c>
      <c r="H425" s="579">
        <v>780</v>
      </c>
      <c r="I425" s="579" t="s">
        <v>949</v>
      </c>
      <c r="J425" s="579">
        <v>66.48</v>
      </c>
      <c r="K425" s="577">
        <f t="shared" si="98"/>
        <v>16.02</v>
      </c>
      <c r="L425" s="580">
        <f t="shared" si="99"/>
        <v>82.5</v>
      </c>
      <c r="M425" s="576"/>
      <c r="N425" s="581"/>
      <c r="O425" s="578" t="s">
        <v>289</v>
      </c>
      <c r="P425" s="579">
        <v>780</v>
      </c>
      <c r="Q425" s="579"/>
      <c r="R425" s="582"/>
      <c r="S425" s="577">
        <f t="shared" si="100"/>
        <v>0</v>
      </c>
      <c r="T425" s="580">
        <f t="shared" si="101"/>
        <v>0</v>
      </c>
    </row>
    <row r="426" spans="1:20" ht="48" thickBot="1" x14ac:dyDescent="0.3">
      <c r="A426" s="583" t="s">
        <v>567</v>
      </c>
      <c r="B426" s="584"/>
      <c r="C426" s="584"/>
      <c r="D426" s="585"/>
      <c r="E426" s="586">
        <v>156</v>
      </c>
      <c r="F426" s="587">
        <f t="shared" si="108"/>
        <v>0.88636363636363635</v>
      </c>
      <c r="G426" s="588"/>
      <c r="H426" s="589"/>
      <c r="I426" s="589"/>
      <c r="J426" s="589">
        <v>345.69000000000005</v>
      </c>
      <c r="K426" s="587">
        <f t="shared" si="98"/>
        <v>83.28</v>
      </c>
      <c r="L426" s="590">
        <f t="shared" si="99"/>
        <v>428.97</v>
      </c>
      <c r="M426" s="586">
        <v>108</v>
      </c>
      <c r="N426" s="587">
        <f t="shared" ref="N426:N427" si="109">M426/158</f>
        <v>0.68354430379746833</v>
      </c>
      <c r="O426" s="588"/>
      <c r="P426" s="589"/>
      <c r="Q426" s="589"/>
      <c r="R426" s="591">
        <v>106.64</v>
      </c>
      <c r="S426" s="587">
        <f t="shared" si="100"/>
        <v>25.69</v>
      </c>
      <c r="T426" s="590">
        <f t="shared" si="101"/>
        <v>132.33000000000001</v>
      </c>
    </row>
    <row r="427" spans="1:20" ht="30" x14ac:dyDescent="0.25">
      <c r="A427" s="592" t="s">
        <v>568</v>
      </c>
      <c r="B427" s="592" t="s">
        <v>305</v>
      </c>
      <c r="C427" s="592" t="s">
        <v>158</v>
      </c>
      <c r="D427" s="593" t="s">
        <v>569</v>
      </c>
      <c r="E427" s="565"/>
      <c r="F427" s="566"/>
      <c r="G427" s="569" t="s">
        <v>570</v>
      </c>
      <c r="H427" s="566">
        <v>0</v>
      </c>
      <c r="I427" s="566"/>
      <c r="J427" s="566"/>
      <c r="K427" s="567">
        <f t="shared" si="98"/>
        <v>0</v>
      </c>
      <c r="L427" s="568">
        <f t="shared" si="99"/>
        <v>0</v>
      </c>
      <c r="M427" s="565">
        <v>152</v>
      </c>
      <c r="N427" s="567">
        <f t="shared" si="109"/>
        <v>0.96202531645569622</v>
      </c>
      <c r="O427" s="569" t="s">
        <v>570</v>
      </c>
      <c r="P427" s="566">
        <v>0</v>
      </c>
      <c r="Q427" s="566" t="s">
        <v>272</v>
      </c>
      <c r="R427" s="570">
        <v>134.63</v>
      </c>
      <c r="S427" s="567">
        <f t="shared" si="100"/>
        <v>32.43</v>
      </c>
      <c r="T427" s="568">
        <f t="shared" si="101"/>
        <v>167.06</v>
      </c>
    </row>
    <row r="428" spans="1:20" ht="30" x14ac:dyDescent="0.25">
      <c r="A428" s="573" t="s">
        <v>568</v>
      </c>
      <c r="B428" s="573" t="s">
        <v>305</v>
      </c>
      <c r="C428" s="573" t="s">
        <v>158</v>
      </c>
      <c r="D428" s="564" t="s">
        <v>569</v>
      </c>
      <c r="E428" s="439">
        <v>32</v>
      </c>
      <c r="F428" s="495">
        <f>E428/176</f>
        <v>0.18181818181818182</v>
      </c>
      <c r="G428" s="505" t="s">
        <v>570</v>
      </c>
      <c r="H428" s="509">
        <v>0</v>
      </c>
      <c r="I428" s="509" t="s">
        <v>950</v>
      </c>
      <c r="J428" s="509">
        <v>35.64</v>
      </c>
      <c r="K428" s="495">
        <f t="shared" si="98"/>
        <v>8.59</v>
      </c>
      <c r="L428" s="571">
        <f t="shared" si="99"/>
        <v>44.230000000000004</v>
      </c>
      <c r="M428" s="439"/>
      <c r="N428" s="563"/>
      <c r="O428" s="505" t="s">
        <v>570</v>
      </c>
      <c r="P428" s="509">
        <v>0</v>
      </c>
      <c r="Q428" s="509"/>
      <c r="R428" s="572"/>
      <c r="S428" s="495">
        <f t="shared" si="100"/>
        <v>0</v>
      </c>
      <c r="T428" s="571">
        <f t="shared" si="101"/>
        <v>0</v>
      </c>
    </row>
    <row r="429" spans="1:20" ht="30" x14ac:dyDescent="0.25">
      <c r="A429" s="573" t="s">
        <v>568</v>
      </c>
      <c r="B429" s="573" t="s">
        <v>305</v>
      </c>
      <c r="C429" s="573" t="s">
        <v>158</v>
      </c>
      <c r="D429" s="564" t="s">
        <v>571</v>
      </c>
      <c r="E429" s="439"/>
      <c r="F429" s="509"/>
      <c r="G429" s="505" t="s">
        <v>570</v>
      </c>
      <c r="H429" s="509">
        <v>0</v>
      </c>
      <c r="I429" s="509"/>
      <c r="J429" s="509"/>
      <c r="K429" s="495">
        <f t="shared" si="98"/>
        <v>0</v>
      </c>
      <c r="L429" s="571">
        <f t="shared" si="99"/>
        <v>0</v>
      </c>
      <c r="M429" s="439">
        <v>40</v>
      </c>
      <c r="N429" s="495">
        <f t="shared" ref="N429:N430" si="110">M429/158</f>
        <v>0.25316455696202533</v>
      </c>
      <c r="O429" s="505" t="s">
        <v>570</v>
      </c>
      <c r="P429" s="509">
        <v>0</v>
      </c>
      <c r="Q429" s="509" t="s">
        <v>272</v>
      </c>
      <c r="R429" s="572">
        <v>26.11</v>
      </c>
      <c r="S429" s="495">
        <f t="shared" si="100"/>
        <v>6.29</v>
      </c>
      <c r="T429" s="571">
        <f t="shared" si="101"/>
        <v>32.4</v>
      </c>
    </row>
    <row r="430" spans="1:20" ht="30" x14ac:dyDescent="0.25">
      <c r="A430" s="573" t="s">
        <v>568</v>
      </c>
      <c r="B430" s="573" t="s">
        <v>305</v>
      </c>
      <c r="C430" s="573" t="s">
        <v>158</v>
      </c>
      <c r="D430" s="564" t="s">
        <v>572</v>
      </c>
      <c r="E430" s="439"/>
      <c r="F430" s="509"/>
      <c r="G430" s="505" t="s">
        <v>570</v>
      </c>
      <c r="H430" s="509">
        <v>0</v>
      </c>
      <c r="I430" s="509"/>
      <c r="J430" s="509"/>
      <c r="K430" s="495">
        <f t="shared" si="98"/>
        <v>0</v>
      </c>
      <c r="L430" s="571">
        <f t="shared" si="99"/>
        <v>0</v>
      </c>
      <c r="M430" s="439">
        <v>144</v>
      </c>
      <c r="N430" s="495">
        <f t="shared" si="110"/>
        <v>0.91139240506329111</v>
      </c>
      <c r="O430" s="505" t="s">
        <v>570</v>
      </c>
      <c r="P430" s="509">
        <v>0</v>
      </c>
      <c r="Q430" s="509" t="s">
        <v>272</v>
      </c>
      <c r="R430" s="572">
        <v>142.55000000000001</v>
      </c>
      <c r="S430" s="495">
        <f t="shared" si="100"/>
        <v>34.340000000000003</v>
      </c>
      <c r="T430" s="571">
        <f t="shared" si="101"/>
        <v>176.89000000000001</v>
      </c>
    </row>
    <row r="431" spans="1:20" ht="30" x14ac:dyDescent="0.25">
      <c r="A431" s="573" t="s">
        <v>568</v>
      </c>
      <c r="B431" s="573" t="s">
        <v>305</v>
      </c>
      <c r="C431" s="573" t="s">
        <v>158</v>
      </c>
      <c r="D431" s="564" t="s">
        <v>572</v>
      </c>
      <c r="E431" s="439">
        <v>40</v>
      </c>
      <c r="F431" s="495">
        <f>E431/176</f>
        <v>0.22727272727272727</v>
      </c>
      <c r="G431" s="505" t="s">
        <v>570</v>
      </c>
      <c r="H431" s="509">
        <v>0</v>
      </c>
      <c r="I431" s="509" t="s">
        <v>950</v>
      </c>
      <c r="J431" s="509">
        <v>47.52</v>
      </c>
      <c r="K431" s="495">
        <f t="shared" si="98"/>
        <v>11.45</v>
      </c>
      <c r="L431" s="571">
        <f t="shared" si="99"/>
        <v>58.97</v>
      </c>
      <c r="M431" s="439"/>
      <c r="N431" s="563"/>
      <c r="O431" s="505" t="s">
        <v>570</v>
      </c>
      <c r="P431" s="509">
        <v>0</v>
      </c>
      <c r="Q431" s="509"/>
      <c r="R431" s="572"/>
      <c r="S431" s="495">
        <f t="shared" si="100"/>
        <v>0</v>
      </c>
      <c r="T431" s="571">
        <f t="shared" si="101"/>
        <v>0</v>
      </c>
    </row>
    <row r="432" spans="1:20" ht="30" x14ac:dyDescent="0.25">
      <c r="A432" s="573" t="s">
        <v>568</v>
      </c>
      <c r="B432" s="573" t="s">
        <v>305</v>
      </c>
      <c r="C432" s="573" t="s">
        <v>158</v>
      </c>
      <c r="D432" s="564" t="s">
        <v>573</v>
      </c>
      <c r="E432" s="439"/>
      <c r="F432" s="509"/>
      <c r="G432" s="505" t="s">
        <v>570</v>
      </c>
      <c r="H432" s="509">
        <v>0</v>
      </c>
      <c r="I432" s="509"/>
      <c r="J432" s="509"/>
      <c r="K432" s="495">
        <f t="shared" si="98"/>
        <v>0</v>
      </c>
      <c r="L432" s="571">
        <f t="shared" si="99"/>
        <v>0</v>
      </c>
      <c r="M432" s="439">
        <v>96</v>
      </c>
      <c r="N432" s="495">
        <f t="shared" ref="N432:N433" si="111">M432/158</f>
        <v>0.60759493670886078</v>
      </c>
      <c r="O432" s="505" t="s">
        <v>570</v>
      </c>
      <c r="P432" s="509">
        <v>0</v>
      </c>
      <c r="Q432" s="509" t="s">
        <v>272</v>
      </c>
      <c r="R432" s="572">
        <v>95.03</v>
      </c>
      <c r="S432" s="495">
        <f t="shared" si="100"/>
        <v>22.89</v>
      </c>
      <c r="T432" s="571">
        <f t="shared" si="101"/>
        <v>117.92</v>
      </c>
    </row>
    <row r="433" spans="1:20" ht="30" x14ac:dyDescent="0.25">
      <c r="A433" s="573" t="s">
        <v>568</v>
      </c>
      <c r="B433" s="573" t="s">
        <v>305</v>
      </c>
      <c r="C433" s="573" t="s">
        <v>158</v>
      </c>
      <c r="D433" s="564" t="s">
        <v>574</v>
      </c>
      <c r="E433" s="439"/>
      <c r="F433" s="509"/>
      <c r="G433" s="505" t="s">
        <v>570</v>
      </c>
      <c r="H433" s="509">
        <v>0</v>
      </c>
      <c r="I433" s="509"/>
      <c r="J433" s="509"/>
      <c r="K433" s="495">
        <f t="shared" si="98"/>
        <v>0</v>
      </c>
      <c r="L433" s="571">
        <f t="shared" si="99"/>
        <v>0</v>
      </c>
      <c r="M433" s="439">
        <v>24</v>
      </c>
      <c r="N433" s="495">
        <f t="shared" si="111"/>
        <v>0.15189873417721519</v>
      </c>
      <c r="O433" s="505" t="s">
        <v>570</v>
      </c>
      <c r="P433" s="509">
        <v>0</v>
      </c>
      <c r="Q433" s="509" t="s">
        <v>272</v>
      </c>
      <c r="R433" s="572">
        <v>15.66</v>
      </c>
      <c r="S433" s="495">
        <f t="shared" si="100"/>
        <v>3.77</v>
      </c>
      <c r="T433" s="571">
        <f t="shared" si="101"/>
        <v>19.43</v>
      </c>
    </row>
    <row r="434" spans="1:20" ht="30" x14ac:dyDescent="0.25">
      <c r="A434" s="573" t="s">
        <v>568</v>
      </c>
      <c r="B434" s="573" t="s">
        <v>305</v>
      </c>
      <c r="C434" s="573" t="s">
        <v>158</v>
      </c>
      <c r="D434" s="564" t="s">
        <v>574</v>
      </c>
      <c r="E434" s="439">
        <v>8</v>
      </c>
      <c r="F434" s="495">
        <f>E434/176</f>
        <v>4.5454545454545456E-2</v>
      </c>
      <c r="G434" s="505" t="s">
        <v>570</v>
      </c>
      <c r="H434" s="509">
        <v>0</v>
      </c>
      <c r="I434" s="509" t="s">
        <v>950</v>
      </c>
      <c r="J434" s="509">
        <v>7.83</v>
      </c>
      <c r="K434" s="495">
        <f t="shared" si="98"/>
        <v>1.89</v>
      </c>
      <c r="L434" s="571">
        <f t="shared" si="99"/>
        <v>9.7200000000000006</v>
      </c>
      <c r="M434" s="439"/>
      <c r="N434" s="563"/>
      <c r="O434" s="505" t="s">
        <v>570</v>
      </c>
      <c r="P434" s="509">
        <v>0</v>
      </c>
      <c r="Q434" s="509"/>
      <c r="R434" s="572"/>
      <c r="S434" s="495">
        <f t="shared" si="100"/>
        <v>0</v>
      </c>
      <c r="T434" s="571">
        <f t="shared" si="101"/>
        <v>0</v>
      </c>
    </row>
    <row r="435" spans="1:20" ht="30" x14ac:dyDescent="0.25">
      <c r="A435" s="573" t="s">
        <v>568</v>
      </c>
      <c r="B435" s="573" t="s">
        <v>305</v>
      </c>
      <c r="C435" s="573" t="s">
        <v>158</v>
      </c>
      <c r="D435" s="564" t="s">
        <v>575</v>
      </c>
      <c r="E435" s="439"/>
      <c r="F435" s="509"/>
      <c r="G435" s="505" t="s">
        <v>570</v>
      </c>
      <c r="H435" s="509">
        <v>0</v>
      </c>
      <c r="I435" s="509"/>
      <c r="J435" s="509"/>
      <c r="K435" s="495">
        <f t="shared" si="98"/>
        <v>0</v>
      </c>
      <c r="L435" s="571">
        <f t="shared" si="99"/>
        <v>0</v>
      </c>
      <c r="M435" s="439">
        <v>8</v>
      </c>
      <c r="N435" s="495">
        <f t="shared" ref="N435:N436" si="112">M435/158</f>
        <v>5.0632911392405063E-2</v>
      </c>
      <c r="O435" s="505" t="s">
        <v>570</v>
      </c>
      <c r="P435" s="509">
        <v>0</v>
      </c>
      <c r="Q435" s="509" t="s">
        <v>272</v>
      </c>
      <c r="R435" s="572">
        <v>5.22</v>
      </c>
      <c r="S435" s="495">
        <f t="shared" si="100"/>
        <v>1.26</v>
      </c>
      <c r="T435" s="571">
        <f t="shared" si="101"/>
        <v>6.4799999999999995</v>
      </c>
    </row>
    <row r="436" spans="1:20" ht="30" x14ac:dyDescent="0.25">
      <c r="A436" s="573" t="s">
        <v>568</v>
      </c>
      <c r="B436" s="573" t="s">
        <v>305</v>
      </c>
      <c r="C436" s="573" t="s">
        <v>158</v>
      </c>
      <c r="D436" s="564" t="s">
        <v>576</v>
      </c>
      <c r="E436" s="439"/>
      <c r="F436" s="509"/>
      <c r="G436" s="505" t="s">
        <v>570</v>
      </c>
      <c r="H436" s="509">
        <v>0</v>
      </c>
      <c r="I436" s="509"/>
      <c r="J436" s="509"/>
      <c r="K436" s="495">
        <f t="shared" si="98"/>
        <v>0</v>
      </c>
      <c r="L436" s="571">
        <f t="shared" si="99"/>
        <v>0</v>
      </c>
      <c r="M436" s="439">
        <v>144</v>
      </c>
      <c r="N436" s="495">
        <f t="shared" si="112"/>
        <v>0.91139240506329111</v>
      </c>
      <c r="O436" s="505" t="s">
        <v>570</v>
      </c>
      <c r="P436" s="509">
        <v>0</v>
      </c>
      <c r="Q436" s="509" t="s">
        <v>272</v>
      </c>
      <c r="R436" s="572">
        <v>142.55000000000001</v>
      </c>
      <c r="S436" s="495">
        <f t="shared" si="100"/>
        <v>34.340000000000003</v>
      </c>
      <c r="T436" s="571">
        <f t="shared" si="101"/>
        <v>176.89000000000001</v>
      </c>
    </row>
    <row r="437" spans="1:20" ht="30" x14ac:dyDescent="0.25">
      <c r="A437" s="573" t="s">
        <v>568</v>
      </c>
      <c r="B437" s="573" t="s">
        <v>305</v>
      </c>
      <c r="C437" s="573" t="s">
        <v>158</v>
      </c>
      <c r="D437" s="564" t="s">
        <v>576</v>
      </c>
      <c r="E437" s="439">
        <v>40</v>
      </c>
      <c r="F437" s="495">
        <f>E437/176</f>
        <v>0.22727272727272727</v>
      </c>
      <c r="G437" s="505" t="s">
        <v>570</v>
      </c>
      <c r="H437" s="509">
        <v>0</v>
      </c>
      <c r="I437" s="509" t="s">
        <v>950</v>
      </c>
      <c r="J437" s="509">
        <v>59.4</v>
      </c>
      <c r="K437" s="495">
        <f t="shared" si="98"/>
        <v>14.31</v>
      </c>
      <c r="L437" s="571">
        <f t="shared" si="99"/>
        <v>73.709999999999994</v>
      </c>
      <c r="M437" s="439"/>
      <c r="N437" s="563"/>
      <c r="O437" s="505" t="s">
        <v>570</v>
      </c>
      <c r="P437" s="509">
        <v>0</v>
      </c>
      <c r="Q437" s="509"/>
      <c r="R437" s="572"/>
      <c r="S437" s="495">
        <f t="shared" si="100"/>
        <v>0</v>
      </c>
      <c r="T437" s="571">
        <f t="shared" si="101"/>
        <v>0</v>
      </c>
    </row>
    <row r="438" spans="1:20" ht="30" x14ac:dyDescent="0.25">
      <c r="A438" s="573" t="s">
        <v>568</v>
      </c>
      <c r="B438" s="573" t="s">
        <v>305</v>
      </c>
      <c r="C438" s="573" t="s">
        <v>158</v>
      </c>
      <c r="D438" s="564" t="s">
        <v>577</v>
      </c>
      <c r="E438" s="439"/>
      <c r="F438" s="509"/>
      <c r="G438" s="505" t="s">
        <v>570</v>
      </c>
      <c r="H438" s="509">
        <v>0</v>
      </c>
      <c r="I438" s="509"/>
      <c r="J438" s="509"/>
      <c r="K438" s="495">
        <f t="shared" si="98"/>
        <v>0</v>
      </c>
      <c r="L438" s="571">
        <f t="shared" si="99"/>
        <v>0</v>
      </c>
      <c r="M438" s="439">
        <v>120</v>
      </c>
      <c r="N438" s="495">
        <f>M438/158</f>
        <v>0.759493670886076</v>
      </c>
      <c r="O438" s="505" t="s">
        <v>570</v>
      </c>
      <c r="P438" s="509">
        <v>0</v>
      </c>
      <c r="Q438" s="509" t="s">
        <v>272</v>
      </c>
      <c r="R438" s="572">
        <v>118.79</v>
      </c>
      <c r="S438" s="495">
        <f t="shared" si="100"/>
        <v>28.62</v>
      </c>
      <c r="T438" s="571">
        <f t="shared" si="101"/>
        <v>147.41</v>
      </c>
    </row>
    <row r="439" spans="1:20" ht="30" x14ac:dyDescent="0.25">
      <c r="A439" s="573" t="s">
        <v>568</v>
      </c>
      <c r="B439" s="573" t="s">
        <v>305</v>
      </c>
      <c r="C439" s="573" t="s">
        <v>158</v>
      </c>
      <c r="D439" s="564" t="s">
        <v>577</v>
      </c>
      <c r="E439" s="439">
        <v>40</v>
      </c>
      <c r="F439" s="495">
        <f>E439/176</f>
        <v>0.22727272727272727</v>
      </c>
      <c r="G439" s="505" t="s">
        <v>570</v>
      </c>
      <c r="H439" s="509">
        <v>0</v>
      </c>
      <c r="I439" s="509" t="s">
        <v>950</v>
      </c>
      <c r="J439" s="509">
        <v>47.52</v>
      </c>
      <c r="K439" s="495">
        <f t="shared" si="98"/>
        <v>11.45</v>
      </c>
      <c r="L439" s="571">
        <f t="shared" si="99"/>
        <v>58.97</v>
      </c>
      <c r="M439" s="439"/>
      <c r="N439" s="563"/>
      <c r="O439" s="505" t="s">
        <v>570</v>
      </c>
      <c r="P439" s="509">
        <v>0</v>
      </c>
      <c r="Q439" s="509"/>
      <c r="R439" s="572"/>
      <c r="S439" s="495">
        <f t="shared" si="100"/>
        <v>0</v>
      </c>
      <c r="T439" s="571">
        <f t="shared" si="101"/>
        <v>0</v>
      </c>
    </row>
    <row r="440" spans="1:20" ht="30" x14ac:dyDescent="0.25">
      <c r="A440" s="573" t="s">
        <v>568</v>
      </c>
      <c r="B440" s="573" t="s">
        <v>305</v>
      </c>
      <c r="C440" s="573" t="s">
        <v>158</v>
      </c>
      <c r="D440" s="564" t="s">
        <v>578</v>
      </c>
      <c r="E440" s="439"/>
      <c r="F440" s="509"/>
      <c r="G440" s="505" t="s">
        <v>570</v>
      </c>
      <c r="H440" s="509">
        <v>0</v>
      </c>
      <c r="I440" s="509"/>
      <c r="J440" s="509"/>
      <c r="K440" s="495">
        <f t="shared" si="98"/>
        <v>0</v>
      </c>
      <c r="L440" s="571">
        <f t="shared" si="99"/>
        <v>0</v>
      </c>
      <c r="M440" s="439">
        <v>118</v>
      </c>
      <c r="N440" s="495">
        <f>M440/158</f>
        <v>0.74683544303797467</v>
      </c>
      <c r="O440" s="505" t="s">
        <v>570</v>
      </c>
      <c r="P440" s="509">
        <v>0</v>
      </c>
      <c r="Q440" s="509" t="s">
        <v>272</v>
      </c>
      <c r="R440" s="572">
        <v>78.319999999999993</v>
      </c>
      <c r="S440" s="495">
        <f t="shared" si="100"/>
        <v>18.87</v>
      </c>
      <c r="T440" s="571">
        <f t="shared" si="101"/>
        <v>97.19</v>
      </c>
    </row>
    <row r="441" spans="1:20" ht="30" x14ac:dyDescent="0.25">
      <c r="A441" s="573" t="s">
        <v>568</v>
      </c>
      <c r="B441" s="573" t="s">
        <v>305</v>
      </c>
      <c r="C441" s="573" t="s">
        <v>158</v>
      </c>
      <c r="D441" s="564" t="s">
        <v>578</v>
      </c>
      <c r="E441" s="439">
        <v>40</v>
      </c>
      <c r="F441" s="495">
        <f>E441/176</f>
        <v>0.22727272727272727</v>
      </c>
      <c r="G441" s="505" t="s">
        <v>570</v>
      </c>
      <c r="H441" s="509">
        <v>0</v>
      </c>
      <c r="I441" s="509" t="s">
        <v>950</v>
      </c>
      <c r="J441" s="509">
        <v>46.99</v>
      </c>
      <c r="K441" s="495">
        <f t="shared" si="98"/>
        <v>11.32</v>
      </c>
      <c r="L441" s="571">
        <f t="shared" si="99"/>
        <v>58.31</v>
      </c>
      <c r="M441" s="439"/>
      <c r="N441" s="563"/>
      <c r="O441" s="505" t="s">
        <v>570</v>
      </c>
      <c r="P441" s="509">
        <v>0</v>
      </c>
      <c r="Q441" s="509"/>
      <c r="R441" s="572"/>
      <c r="S441" s="495">
        <f t="shared" si="100"/>
        <v>0</v>
      </c>
      <c r="T441" s="571">
        <f t="shared" si="101"/>
        <v>0</v>
      </c>
    </row>
    <row r="442" spans="1:20" ht="30" x14ac:dyDescent="0.25">
      <c r="A442" s="573" t="s">
        <v>568</v>
      </c>
      <c r="B442" s="573" t="s">
        <v>305</v>
      </c>
      <c r="C442" s="573" t="s">
        <v>158</v>
      </c>
      <c r="D442" s="564" t="s">
        <v>579</v>
      </c>
      <c r="E442" s="439"/>
      <c r="F442" s="509"/>
      <c r="G442" s="505" t="s">
        <v>570</v>
      </c>
      <c r="H442" s="509">
        <v>0</v>
      </c>
      <c r="I442" s="509"/>
      <c r="J442" s="509"/>
      <c r="K442" s="495">
        <f t="shared" si="98"/>
        <v>0</v>
      </c>
      <c r="L442" s="571">
        <f t="shared" si="99"/>
        <v>0</v>
      </c>
      <c r="M442" s="439">
        <v>40</v>
      </c>
      <c r="N442" s="495">
        <f>M442/158</f>
        <v>0.25316455696202533</v>
      </c>
      <c r="O442" s="505" t="s">
        <v>570</v>
      </c>
      <c r="P442" s="509">
        <v>0</v>
      </c>
      <c r="Q442" s="509" t="s">
        <v>272</v>
      </c>
      <c r="R442" s="572">
        <v>26.11</v>
      </c>
      <c r="S442" s="495">
        <f t="shared" si="100"/>
        <v>6.29</v>
      </c>
      <c r="T442" s="571">
        <f t="shared" si="101"/>
        <v>32.4</v>
      </c>
    </row>
    <row r="443" spans="1:20" ht="30" x14ac:dyDescent="0.25">
      <c r="A443" s="573" t="s">
        <v>568</v>
      </c>
      <c r="B443" s="573" t="s">
        <v>305</v>
      </c>
      <c r="C443" s="573" t="s">
        <v>943</v>
      </c>
      <c r="D443" s="564" t="s">
        <v>940</v>
      </c>
      <c r="E443" s="439">
        <v>22</v>
      </c>
      <c r="F443" s="495">
        <f>E443/176</f>
        <v>0.125</v>
      </c>
      <c r="G443" s="505" t="s">
        <v>271</v>
      </c>
      <c r="H443" s="509">
        <v>2.98</v>
      </c>
      <c r="I443" s="509" t="s">
        <v>950</v>
      </c>
      <c r="J443" s="509">
        <v>19.669999999999998</v>
      </c>
      <c r="K443" s="495">
        <f t="shared" si="98"/>
        <v>4.74</v>
      </c>
      <c r="L443" s="571">
        <f t="shared" si="99"/>
        <v>24.409999999999997</v>
      </c>
      <c r="M443" s="439"/>
      <c r="N443" s="563"/>
      <c r="O443" s="505" t="s">
        <v>271</v>
      </c>
      <c r="P443" s="509">
        <v>2.98</v>
      </c>
      <c r="Q443" s="509"/>
      <c r="R443" s="572"/>
      <c r="S443" s="495">
        <f t="shared" si="100"/>
        <v>0</v>
      </c>
      <c r="T443" s="571">
        <f t="shared" si="101"/>
        <v>0</v>
      </c>
    </row>
    <row r="444" spans="1:20" ht="30" x14ac:dyDescent="0.25">
      <c r="A444" s="573" t="s">
        <v>568</v>
      </c>
      <c r="B444" s="573" t="s">
        <v>305</v>
      </c>
      <c r="C444" s="573" t="s">
        <v>580</v>
      </c>
      <c r="D444" s="564" t="s">
        <v>581</v>
      </c>
      <c r="E444" s="439"/>
      <c r="F444" s="509"/>
      <c r="G444" s="505" t="s">
        <v>271</v>
      </c>
      <c r="H444" s="509">
        <v>4.76</v>
      </c>
      <c r="I444" s="509"/>
      <c r="J444" s="509"/>
      <c r="K444" s="495">
        <f t="shared" si="98"/>
        <v>0</v>
      </c>
      <c r="L444" s="571">
        <f t="shared" si="99"/>
        <v>0</v>
      </c>
      <c r="M444" s="439">
        <v>2</v>
      </c>
      <c r="N444" s="495">
        <f>M444/158</f>
        <v>1.2658227848101266E-2</v>
      </c>
      <c r="O444" s="505" t="s">
        <v>271</v>
      </c>
      <c r="P444" s="509">
        <v>4.76</v>
      </c>
      <c r="Q444" s="509" t="s">
        <v>272</v>
      </c>
      <c r="R444" s="572">
        <v>1.9</v>
      </c>
      <c r="S444" s="495">
        <f t="shared" si="100"/>
        <v>0.46</v>
      </c>
      <c r="T444" s="571">
        <f t="shared" si="101"/>
        <v>2.36</v>
      </c>
    </row>
    <row r="445" spans="1:20" ht="30" x14ac:dyDescent="0.25">
      <c r="A445" s="573" t="s">
        <v>568</v>
      </c>
      <c r="B445" s="573" t="s">
        <v>305</v>
      </c>
      <c r="C445" s="573" t="s">
        <v>580</v>
      </c>
      <c r="D445" s="564" t="s">
        <v>581</v>
      </c>
      <c r="E445" s="439">
        <v>22</v>
      </c>
      <c r="F445" s="495">
        <f>E445/176</f>
        <v>0.125</v>
      </c>
      <c r="G445" s="505" t="s">
        <v>271</v>
      </c>
      <c r="H445" s="509">
        <v>4.76</v>
      </c>
      <c r="I445" s="509" t="s">
        <v>950</v>
      </c>
      <c r="J445" s="509">
        <v>31.410000000000004</v>
      </c>
      <c r="K445" s="495">
        <f t="shared" si="98"/>
        <v>7.57</v>
      </c>
      <c r="L445" s="571">
        <f t="shared" si="99"/>
        <v>38.980000000000004</v>
      </c>
      <c r="M445" s="439"/>
      <c r="N445" s="563"/>
      <c r="O445" s="505" t="s">
        <v>271</v>
      </c>
      <c r="P445" s="509">
        <v>4.76</v>
      </c>
      <c r="Q445" s="509"/>
      <c r="R445" s="572"/>
      <c r="S445" s="495">
        <f t="shared" si="100"/>
        <v>0</v>
      </c>
      <c r="T445" s="571">
        <f t="shared" si="101"/>
        <v>0</v>
      </c>
    </row>
    <row r="446" spans="1:20" ht="30" x14ac:dyDescent="0.25">
      <c r="A446" s="573" t="s">
        <v>568</v>
      </c>
      <c r="B446" s="573" t="s">
        <v>305</v>
      </c>
      <c r="C446" s="573" t="s">
        <v>580</v>
      </c>
      <c r="D446" s="564" t="s">
        <v>582</v>
      </c>
      <c r="E446" s="439"/>
      <c r="F446" s="509"/>
      <c r="G446" s="505" t="s">
        <v>271</v>
      </c>
      <c r="H446" s="509">
        <v>4.76</v>
      </c>
      <c r="I446" s="509"/>
      <c r="J446" s="509"/>
      <c r="K446" s="495">
        <f t="shared" si="98"/>
        <v>0</v>
      </c>
      <c r="L446" s="571">
        <f t="shared" si="99"/>
        <v>0</v>
      </c>
      <c r="M446" s="439">
        <v>2</v>
      </c>
      <c r="N446" s="495">
        <f>M446/158</f>
        <v>1.2658227848101266E-2</v>
      </c>
      <c r="O446" s="505" t="s">
        <v>271</v>
      </c>
      <c r="P446" s="509">
        <v>4.76</v>
      </c>
      <c r="Q446" s="509" t="s">
        <v>272</v>
      </c>
      <c r="R446" s="572">
        <v>1.9</v>
      </c>
      <c r="S446" s="495">
        <f t="shared" si="100"/>
        <v>0.46</v>
      </c>
      <c r="T446" s="571">
        <f t="shared" si="101"/>
        <v>2.36</v>
      </c>
    </row>
    <row r="447" spans="1:20" ht="30.75" thickBot="1" x14ac:dyDescent="0.3">
      <c r="A447" s="574" t="s">
        <v>568</v>
      </c>
      <c r="B447" s="574" t="s">
        <v>305</v>
      </c>
      <c r="C447" s="574" t="s">
        <v>580</v>
      </c>
      <c r="D447" s="575" t="s">
        <v>582</v>
      </c>
      <c r="E447" s="576">
        <v>22</v>
      </c>
      <c r="F447" s="577">
        <f t="shared" ref="F447:F448" si="113">E447/176</f>
        <v>0.125</v>
      </c>
      <c r="G447" s="578" t="s">
        <v>271</v>
      </c>
      <c r="H447" s="579">
        <v>4.76</v>
      </c>
      <c r="I447" s="579" t="s">
        <v>950</v>
      </c>
      <c r="J447" s="579">
        <v>31.410000000000004</v>
      </c>
      <c r="K447" s="577">
        <f t="shared" si="98"/>
        <v>7.57</v>
      </c>
      <c r="L447" s="580">
        <f t="shared" si="99"/>
        <v>38.980000000000004</v>
      </c>
      <c r="M447" s="576"/>
      <c r="N447" s="581"/>
      <c r="O447" s="578" t="s">
        <v>271</v>
      </c>
      <c r="P447" s="579">
        <v>4.76</v>
      </c>
      <c r="Q447" s="579"/>
      <c r="R447" s="582"/>
      <c r="S447" s="577">
        <f t="shared" si="100"/>
        <v>0</v>
      </c>
      <c r="T447" s="580">
        <f t="shared" si="101"/>
        <v>0</v>
      </c>
    </row>
    <row r="448" spans="1:20" ht="48" thickBot="1" x14ac:dyDescent="0.3">
      <c r="A448" s="583" t="s">
        <v>583</v>
      </c>
      <c r="B448" s="584"/>
      <c r="C448" s="584"/>
      <c r="D448" s="585"/>
      <c r="E448" s="586">
        <v>266</v>
      </c>
      <c r="F448" s="587">
        <f t="shared" si="113"/>
        <v>1.5113636363636365</v>
      </c>
      <c r="G448" s="588"/>
      <c r="H448" s="589"/>
      <c r="I448" s="589"/>
      <c r="J448" s="589">
        <v>327.39000000000004</v>
      </c>
      <c r="K448" s="587">
        <f t="shared" si="98"/>
        <v>78.87</v>
      </c>
      <c r="L448" s="590">
        <f t="shared" si="99"/>
        <v>406.26000000000005</v>
      </c>
      <c r="M448" s="586">
        <v>890</v>
      </c>
      <c r="N448" s="587">
        <f t="shared" ref="N448:N449" si="114">M448/158</f>
        <v>5.6329113924050631</v>
      </c>
      <c r="O448" s="588"/>
      <c r="P448" s="589"/>
      <c r="Q448" s="589"/>
      <c r="R448" s="591">
        <v>788.7700000000001</v>
      </c>
      <c r="S448" s="587">
        <f t="shared" si="100"/>
        <v>190.01</v>
      </c>
      <c r="T448" s="590">
        <f t="shared" si="101"/>
        <v>978.78000000000009</v>
      </c>
    </row>
    <row r="449" spans="1:20" ht="30" x14ac:dyDescent="0.25">
      <c r="A449" s="592" t="s">
        <v>584</v>
      </c>
      <c r="B449" s="592" t="s">
        <v>305</v>
      </c>
      <c r="C449" s="592" t="s">
        <v>585</v>
      </c>
      <c r="D449" s="593" t="s">
        <v>586</v>
      </c>
      <c r="E449" s="565"/>
      <c r="F449" s="566"/>
      <c r="G449" s="569" t="s">
        <v>570</v>
      </c>
      <c r="H449" s="566">
        <v>0</v>
      </c>
      <c r="I449" s="566"/>
      <c r="J449" s="566"/>
      <c r="K449" s="567">
        <f t="shared" si="98"/>
        <v>0</v>
      </c>
      <c r="L449" s="568">
        <f t="shared" si="99"/>
        <v>0</v>
      </c>
      <c r="M449" s="565">
        <v>1</v>
      </c>
      <c r="N449" s="567">
        <f t="shared" si="114"/>
        <v>6.3291139240506328E-3</v>
      </c>
      <c r="O449" s="569" t="s">
        <v>570</v>
      </c>
      <c r="P449" s="566">
        <v>0</v>
      </c>
      <c r="Q449" s="566" t="s">
        <v>272</v>
      </c>
      <c r="R449" s="570">
        <v>0.45</v>
      </c>
      <c r="S449" s="567">
        <f t="shared" si="100"/>
        <v>0.11</v>
      </c>
      <c r="T449" s="568">
        <f t="shared" si="101"/>
        <v>0.56000000000000005</v>
      </c>
    </row>
    <row r="450" spans="1:20" ht="30" x14ac:dyDescent="0.25">
      <c r="A450" s="573" t="s">
        <v>584</v>
      </c>
      <c r="B450" s="573" t="s">
        <v>305</v>
      </c>
      <c r="C450" s="573" t="s">
        <v>585</v>
      </c>
      <c r="D450" s="564" t="s">
        <v>586</v>
      </c>
      <c r="E450" s="439">
        <v>3</v>
      </c>
      <c r="F450" s="495">
        <f>E450/176</f>
        <v>1.7045454545454544E-2</v>
      </c>
      <c r="G450" s="505" t="s">
        <v>570</v>
      </c>
      <c r="H450" s="509">
        <v>0</v>
      </c>
      <c r="I450" s="509" t="s">
        <v>950</v>
      </c>
      <c r="J450" s="509">
        <v>2.89</v>
      </c>
      <c r="K450" s="495">
        <f t="shared" si="98"/>
        <v>0.7</v>
      </c>
      <c r="L450" s="571">
        <f t="shared" si="99"/>
        <v>3.59</v>
      </c>
      <c r="M450" s="439"/>
      <c r="N450" s="563"/>
      <c r="O450" s="505" t="s">
        <v>570</v>
      </c>
      <c r="P450" s="509">
        <v>0</v>
      </c>
      <c r="Q450" s="509"/>
      <c r="R450" s="572"/>
      <c r="S450" s="495">
        <f t="shared" si="100"/>
        <v>0</v>
      </c>
      <c r="T450" s="571">
        <f t="shared" si="101"/>
        <v>0</v>
      </c>
    </row>
    <row r="451" spans="1:20" ht="30" x14ac:dyDescent="0.25">
      <c r="A451" s="573" t="s">
        <v>584</v>
      </c>
      <c r="B451" s="573" t="s">
        <v>305</v>
      </c>
      <c r="C451" s="573" t="s">
        <v>585</v>
      </c>
      <c r="D451" s="564" t="s">
        <v>587</v>
      </c>
      <c r="E451" s="439"/>
      <c r="F451" s="509"/>
      <c r="G451" s="505" t="s">
        <v>570</v>
      </c>
      <c r="H451" s="509">
        <v>0</v>
      </c>
      <c r="I451" s="509"/>
      <c r="J451" s="509"/>
      <c r="K451" s="495">
        <f t="shared" si="98"/>
        <v>0</v>
      </c>
      <c r="L451" s="571">
        <f t="shared" si="99"/>
        <v>0</v>
      </c>
      <c r="M451" s="439">
        <v>3</v>
      </c>
      <c r="N451" s="495">
        <f t="shared" ref="N451:N452" si="115">M451/158</f>
        <v>1.8987341772151899E-2</v>
      </c>
      <c r="O451" s="505" t="s">
        <v>570</v>
      </c>
      <c r="P451" s="509">
        <v>0</v>
      </c>
      <c r="Q451" s="509" t="s">
        <v>272</v>
      </c>
      <c r="R451" s="572">
        <v>2.44</v>
      </c>
      <c r="S451" s="495">
        <f t="shared" si="100"/>
        <v>0.59</v>
      </c>
      <c r="T451" s="571">
        <f t="shared" si="101"/>
        <v>3.03</v>
      </c>
    </row>
    <row r="452" spans="1:20" ht="30" x14ac:dyDescent="0.25">
      <c r="A452" s="573" t="s">
        <v>584</v>
      </c>
      <c r="B452" s="573" t="s">
        <v>305</v>
      </c>
      <c r="C452" s="573" t="s">
        <v>585</v>
      </c>
      <c r="D452" s="564" t="s">
        <v>588</v>
      </c>
      <c r="E452" s="439"/>
      <c r="F452" s="509"/>
      <c r="G452" s="505" t="s">
        <v>570</v>
      </c>
      <c r="H452" s="509">
        <v>0</v>
      </c>
      <c r="I452" s="509"/>
      <c r="J452" s="509"/>
      <c r="K452" s="495">
        <f t="shared" si="98"/>
        <v>0</v>
      </c>
      <c r="L452" s="571">
        <f t="shared" si="99"/>
        <v>0</v>
      </c>
      <c r="M452" s="439">
        <v>96</v>
      </c>
      <c r="N452" s="495">
        <f t="shared" si="115"/>
        <v>0.60759493670886078</v>
      </c>
      <c r="O452" s="505" t="s">
        <v>570</v>
      </c>
      <c r="P452" s="509">
        <v>0</v>
      </c>
      <c r="Q452" s="509" t="s">
        <v>272</v>
      </c>
      <c r="R452" s="572">
        <v>75.25</v>
      </c>
      <c r="S452" s="495">
        <f t="shared" si="100"/>
        <v>18.13</v>
      </c>
      <c r="T452" s="571">
        <f t="shared" si="101"/>
        <v>93.38</v>
      </c>
    </row>
    <row r="453" spans="1:20" ht="30.75" thickBot="1" x14ac:dyDescent="0.3">
      <c r="A453" s="574" t="s">
        <v>584</v>
      </c>
      <c r="B453" s="574" t="s">
        <v>305</v>
      </c>
      <c r="C453" s="574" t="s">
        <v>585</v>
      </c>
      <c r="D453" s="575" t="s">
        <v>588</v>
      </c>
      <c r="E453" s="576">
        <v>21</v>
      </c>
      <c r="F453" s="577">
        <f>E453/176</f>
        <v>0.11931818181818182</v>
      </c>
      <c r="G453" s="578" t="s">
        <v>570</v>
      </c>
      <c r="H453" s="579">
        <v>0</v>
      </c>
      <c r="I453" s="579" t="s">
        <v>950</v>
      </c>
      <c r="J453" s="579">
        <v>24.48</v>
      </c>
      <c r="K453" s="577">
        <f t="shared" si="98"/>
        <v>5.9</v>
      </c>
      <c r="L453" s="580">
        <f t="shared" si="99"/>
        <v>30.380000000000003</v>
      </c>
      <c r="M453" s="576"/>
      <c r="N453" s="581"/>
      <c r="O453" s="578" t="s">
        <v>570</v>
      </c>
      <c r="P453" s="579">
        <v>0</v>
      </c>
      <c r="Q453" s="579"/>
      <c r="R453" s="582"/>
      <c r="S453" s="577">
        <f t="shared" si="100"/>
        <v>0</v>
      </c>
      <c r="T453" s="580">
        <f t="shared" si="101"/>
        <v>0</v>
      </c>
    </row>
    <row r="454" spans="1:20" ht="29.25" customHeight="1" thickBot="1" x14ac:dyDescent="0.3">
      <c r="A454" s="583" t="s">
        <v>589</v>
      </c>
      <c r="B454" s="584"/>
      <c r="C454" s="584"/>
      <c r="D454" s="585"/>
      <c r="E454" s="586">
        <v>24</v>
      </c>
      <c r="F454" s="587">
        <f>E454/176</f>
        <v>0.13636363636363635</v>
      </c>
      <c r="G454" s="588"/>
      <c r="H454" s="588"/>
      <c r="I454" s="588"/>
      <c r="J454" s="589">
        <v>27.37</v>
      </c>
      <c r="K454" s="587">
        <f t="shared" si="98"/>
        <v>6.59</v>
      </c>
      <c r="L454" s="590">
        <f t="shared" si="99"/>
        <v>33.96</v>
      </c>
      <c r="M454" s="586">
        <v>100</v>
      </c>
      <c r="N454" s="587">
        <f>M454/158</f>
        <v>0.63291139240506333</v>
      </c>
      <c r="O454" s="588"/>
      <c r="P454" s="588"/>
      <c r="Q454" s="588"/>
      <c r="R454" s="591">
        <v>78.14</v>
      </c>
      <c r="S454" s="587">
        <f t="shared" si="100"/>
        <v>18.82</v>
      </c>
      <c r="T454" s="590">
        <f t="shared" si="101"/>
        <v>96.960000000000008</v>
      </c>
    </row>
    <row r="455" spans="1:20" x14ac:dyDescent="0.25">
      <c r="A455" s="510"/>
      <c r="B455" s="510"/>
      <c r="C455" s="510"/>
    </row>
    <row r="456" spans="1:20" x14ac:dyDescent="0.25">
      <c r="A456" s="869" t="s">
        <v>590</v>
      </c>
      <c r="B456" s="869"/>
      <c r="C456" s="869"/>
    </row>
    <row r="457" spans="1:20" x14ac:dyDescent="0.25">
      <c r="B457" s="511"/>
    </row>
    <row r="458" spans="1:20" x14ac:dyDescent="0.25">
      <c r="A458" s="2"/>
      <c r="B458" s="2"/>
      <c r="C458" s="2"/>
    </row>
    <row r="459" spans="1:20" x14ac:dyDescent="0.25">
      <c r="A459" s="2"/>
      <c r="B459" s="2"/>
      <c r="C459" s="2"/>
    </row>
    <row r="460" spans="1:20" x14ac:dyDescent="0.25">
      <c r="A460" s="2"/>
      <c r="B460" s="2"/>
      <c r="C460" s="2"/>
    </row>
    <row r="461" spans="1:20" x14ac:dyDescent="0.25">
      <c r="A461" s="2"/>
      <c r="B461" s="2"/>
      <c r="C461" s="2"/>
    </row>
  </sheetData>
  <autoFilter ref="A9:T454" xr:uid="{00000000-0009-0000-0000-000000000000}"/>
  <mergeCells count="9">
    <mergeCell ref="M6:T6"/>
    <mergeCell ref="A456:C456"/>
    <mergeCell ref="A2:L2"/>
    <mergeCell ref="A6:A7"/>
    <mergeCell ref="B6:B7"/>
    <mergeCell ref="C6:C7"/>
    <mergeCell ref="D6:D7"/>
    <mergeCell ref="E6:L6"/>
    <mergeCell ref="A4:D4"/>
  </mergeCells>
  <pageMargins left="0.31496062992125984" right="0.31496062992125984" top="0.55118110236220474" bottom="0.35433070866141736" header="0.31496062992125984" footer="0.31496062992125984"/>
  <pageSetup paperSize="9" scale="50" fitToHeight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U154"/>
  <sheetViews>
    <sheetView zoomScale="70" zoomScaleNormal="70" zoomScaleSheetLayoutView="80" workbookViewId="0">
      <selection activeCell="T141" sqref="T141"/>
    </sheetView>
  </sheetViews>
  <sheetFormatPr defaultColWidth="9.140625" defaultRowHeight="16.5" x14ac:dyDescent="0.25"/>
  <cols>
    <col min="1" max="1" width="42.7109375" style="2" customWidth="1"/>
    <col min="2" max="2" width="0.140625" style="2" customWidth="1"/>
    <col min="3" max="3" width="16" style="2" customWidth="1"/>
    <col min="4" max="12" width="14" style="2" customWidth="1"/>
    <col min="13" max="13" width="15.5703125" style="2" customWidth="1"/>
    <col min="14" max="19" width="14" style="2" customWidth="1"/>
    <col min="20" max="20" width="17.5703125" style="2" customWidth="1"/>
    <col min="21" max="22" width="15.85546875" style="2" customWidth="1"/>
    <col min="23" max="16384" width="9.140625" style="2"/>
  </cols>
  <sheetData>
    <row r="2" spans="1:21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21" x14ac:dyDescent="0.25">
      <c r="A4" s="2" t="s">
        <v>91</v>
      </c>
    </row>
    <row r="5" spans="1:21" ht="17.25" thickBot="1" x14ac:dyDescent="0.3"/>
    <row r="6" spans="1:21" ht="24" customHeight="1" x14ac:dyDescent="0.25">
      <c r="A6" s="906"/>
      <c r="B6" s="857" t="s">
        <v>2</v>
      </c>
      <c r="C6" s="858"/>
      <c r="D6" s="858"/>
      <c r="E6" s="858"/>
      <c r="F6" s="858"/>
      <c r="G6" s="858"/>
      <c r="H6" s="857" t="s">
        <v>4</v>
      </c>
      <c r="I6" s="858"/>
      <c r="J6" s="858"/>
      <c r="K6" s="858"/>
      <c r="L6" s="858"/>
      <c r="M6" s="859"/>
      <c r="N6" s="858" t="s">
        <v>5</v>
      </c>
      <c r="O6" s="858"/>
      <c r="P6" s="858"/>
      <c r="Q6" s="858"/>
      <c r="R6" s="858"/>
      <c r="S6" s="859"/>
    </row>
    <row r="7" spans="1:21" ht="104.25" customHeight="1" x14ac:dyDescent="0.25">
      <c r="A7" s="907"/>
      <c r="B7" s="3" t="s">
        <v>78</v>
      </c>
      <c r="C7" s="4" t="s">
        <v>10</v>
      </c>
      <c r="D7" s="4" t="s">
        <v>6</v>
      </c>
      <c r="E7" s="4" t="s">
        <v>7</v>
      </c>
      <c r="F7" s="4" t="s">
        <v>8</v>
      </c>
      <c r="G7" s="160" t="s">
        <v>9</v>
      </c>
      <c r="H7" s="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161" t="s">
        <v>78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21" ht="13.7" customHeight="1" x14ac:dyDescent="0.25">
      <c r="A8" s="6"/>
      <c r="B8" s="7"/>
      <c r="C8" s="8"/>
      <c r="D8" s="8"/>
      <c r="E8" s="8"/>
      <c r="F8" s="8"/>
      <c r="G8" s="6"/>
      <c r="H8" s="7"/>
      <c r="I8" s="8"/>
      <c r="J8" s="8"/>
      <c r="K8" s="8"/>
      <c r="L8" s="8"/>
      <c r="M8" s="9"/>
      <c r="N8" s="162"/>
      <c r="O8" s="8"/>
      <c r="P8" s="8"/>
      <c r="Q8" s="8"/>
      <c r="R8" s="8"/>
      <c r="S8" s="9"/>
    </row>
    <row r="9" spans="1:21" s="1" customFormat="1" ht="21.75" customHeight="1" x14ac:dyDescent="0.25">
      <c r="A9" s="10" t="s">
        <v>0</v>
      </c>
      <c r="B9" s="11"/>
      <c r="C9" s="12"/>
      <c r="D9" s="12"/>
      <c r="E9" s="12"/>
      <c r="F9" s="12"/>
      <c r="G9" s="163"/>
      <c r="H9" s="163">
        <f t="shared" ref="H9:J9" si="0">H10+H49+H69+H88+H129+H110</f>
        <v>10.913154108973206</v>
      </c>
      <c r="I9" s="12">
        <f t="shared" si="0"/>
        <v>0</v>
      </c>
      <c r="J9" s="12">
        <f t="shared" si="0"/>
        <v>0</v>
      </c>
      <c r="K9" s="12">
        <f>K10+K49+K69+K88+K129+K110</f>
        <v>9468.9999999999982</v>
      </c>
      <c r="L9" s="12">
        <f t="shared" ref="L9:M9" si="1">L10+L49+L69+L88+L129+L110</f>
        <v>2281.0700000000002</v>
      </c>
      <c r="M9" s="191">
        <f t="shared" si="1"/>
        <v>11750.070000000002</v>
      </c>
      <c r="N9" s="164"/>
      <c r="O9" s="12"/>
      <c r="P9" s="12"/>
      <c r="Q9" s="12"/>
      <c r="R9" s="12"/>
      <c r="S9" s="13"/>
    </row>
    <row r="10" spans="1:21" s="1" customFormat="1" ht="21.75" customHeight="1" x14ac:dyDescent="0.25">
      <c r="A10" s="165" t="s">
        <v>92</v>
      </c>
      <c r="B10" s="15"/>
      <c r="C10" s="16"/>
      <c r="D10" s="16"/>
      <c r="E10" s="16"/>
      <c r="F10" s="16"/>
      <c r="G10" s="166"/>
      <c r="H10" s="176">
        <f>H11+H22+H33+H42</f>
        <v>5.3</v>
      </c>
      <c r="I10" s="192">
        <f t="shared" ref="I10:M10" si="2">I11+I22+I33+I42</f>
        <v>0</v>
      </c>
      <c r="J10" s="177">
        <f t="shared" si="2"/>
        <v>0</v>
      </c>
      <c r="K10" s="177">
        <f t="shared" si="2"/>
        <v>4518.3200000000006</v>
      </c>
      <c r="L10" s="177">
        <f t="shared" si="2"/>
        <v>1088.4699999999998</v>
      </c>
      <c r="M10" s="178">
        <f t="shared" si="2"/>
        <v>5606.7900000000009</v>
      </c>
      <c r="N10" s="167"/>
      <c r="O10" s="16"/>
      <c r="P10" s="16"/>
      <c r="Q10" s="16"/>
      <c r="R10" s="16"/>
      <c r="S10" s="17"/>
    </row>
    <row r="11" spans="1:21" ht="49.5" customHeight="1" x14ac:dyDescent="0.25">
      <c r="A11" s="18" t="s">
        <v>14</v>
      </c>
      <c r="B11" s="19"/>
      <c r="C11" s="20"/>
      <c r="D11" s="20"/>
      <c r="E11" s="20"/>
      <c r="F11" s="20"/>
      <c r="G11" s="168"/>
      <c r="H11" s="173">
        <f>SUM(H12:H21)</f>
        <v>1.5999999999999996</v>
      </c>
      <c r="I11" s="193"/>
      <c r="J11" s="169"/>
      <c r="K11" s="30">
        <f>SUM(K12:K21)</f>
        <v>2059.84</v>
      </c>
      <c r="L11" s="169">
        <f t="shared" ref="L11:M11" si="3">SUM(L12:L21)</f>
        <v>496.21999999999991</v>
      </c>
      <c r="M11" s="185">
        <f t="shared" si="3"/>
        <v>2556.06</v>
      </c>
      <c r="N11" s="171"/>
      <c r="O11" s="20"/>
      <c r="P11" s="20"/>
      <c r="Q11" s="20"/>
      <c r="R11" s="20"/>
      <c r="S11" s="21"/>
    </row>
    <row r="12" spans="1:21" ht="18.95" customHeight="1" x14ac:dyDescent="0.25">
      <c r="A12" s="172" t="s">
        <v>93</v>
      </c>
      <c r="B12" s="19"/>
      <c r="C12" s="20"/>
      <c r="D12" s="20"/>
      <c r="E12" s="20"/>
      <c r="F12" s="20"/>
      <c r="G12" s="168"/>
      <c r="H12" s="174">
        <v>0.2</v>
      </c>
      <c r="I12" s="20">
        <v>1950.05</v>
      </c>
      <c r="J12" s="20">
        <v>20</v>
      </c>
      <c r="K12" s="20">
        <f>ROUND(I12*J12/100,2)</f>
        <v>390.01</v>
      </c>
      <c r="L12" s="20">
        <f>ROUND(K12*24.09/100,2)</f>
        <v>93.95</v>
      </c>
      <c r="M12" s="187">
        <f>K12+L12</f>
        <v>483.96</v>
      </c>
      <c r="N12" s="171"/>
      <c r="O12" s="20"/>
      <c r="P12" s="20"/>
      <c r="Q12" s="20"/>
      <c r="R12" s="20"/>
      <c r="S12" s="21"/>
      <c r="U12" s="28"/>
    </row>
    <row r="13" spans="1:21" ht="18.95" customHeight="1" x14ac:dyDescent="0.25">
      <c r="A13" s="172" t="s">
        <v>94</v>
      </c>
      <c r="B13" s="19"/>
      <c r="C13" s="20"/>
      <c r="D13" s="20"/>
      <c r="E13" s="20"/>
      <c r="F13" s="20"/>
      <c r="G13" s="168"/>
      <c r="H13" s="174">
        <v>0.2</v>
      </c>
      <c r="I13" s="20">
        <v>1822.78</v>
      </c>
      <c r="J13" s="20">
        <v>20</v>
      </c>
      <c r="K13" s="20">
        <f>ROUND(I13*J13/100,2)</f>
        <v>364.56</v>
      </c>
      <c r="L13" s="20">
        <f>ROUND(K13*24.09/100,2)</f>
        <v>87.82</v>
      </c>
      <c r="M13" s="187">
        <f>K13+L13</f>
        <v>452.38</v>
      </c>
      <c r="N13" s="171"/>
      <c r="O13" s="20"/>
      <c r="P13" s="20"/>
      <c r="Q13" s="20"/>
      <c r="R13" s="20"/>
      <c r="S13" s="21"/>
      <c r="U13" s="28"/>
    </row>
    <row r="14" spans="1:21" ht="18.95" customHeight="1" x14ac:dyDescent="0.25">
      <c r="A14" s="172" t="s">
        <v>95</v>
      </c>
      <c r="B14" s="19"/>
      <c r="C14" s="20"/>
      <c r="D14" s="20"/>
      <c r="E14" s="20"/>
      <c r="F14" s="20"/>
      <c r="G14" s="168"/>
      <c r="H14" s="19">
        <v>0.15</v>
      </c>
      <c r="I14" s="20">
        <v>949.52</v>
      </c>
      <c r="J14" s="20">
        <v>15</v>
      </c>
      <c r="K14" s="20">
        <f t="shared" ref="K14:K21" si="4">ROUND(I14*J14/100,2)</f>
        <v>142.43</v>
      </c>
      <c r="L14" s="20">
        <f t="shared" ref="L14:L48" si="5">ROUND(K14*24.09/100,2)</f>
        <v>34.31</v>
      </c>
      <c r="M14" s="21">
        <f t="shared" ref="M14:M21" si="6">K14+L14</f>
        <v>176.74</v>
      </c>
      <c r="N14" s="171"/>
      <c r="O14" s="20"/>
      <c r="P14" s="20"/>
      <c r="Q14" s="20"/>
      <c r="R14" s="20"/>
      <c r="S14" s="21"/>
      <c r="U14" s="28"/>
    </row>
    <row r="15" spans="1:21" ht="18.95" customHeight="1" x14ac:dyDescent="0.25">
      <c r="A15" s="172" t="s">
        <v>95</v>
      </c>
      <c r="B15" s="19"/>
      <c r="C15" s="20"/>
      <c r="D15" s="20"/>
      <c r="E15" s="20"/>
      <c r="F15" s="20"/>
      <c r="G15" s="168"/>
      <c r="H15" s="19">
        <v>0.15</v>
      </c>
      <c r="I15" s="20">
        <v>604.24</v>
      </c>
      <c r="J15" s="20">
        <v>15</v>
      </c>
      <c r="K15" s="20">
        <f t="shared" si="4"/>
        <v>90.64</v>
      </c>
      <c r="L15" s="20">
        <f t="shared" si="5"/>
        <v>21.84</v>
      </c>
      <c r="M15" s="21">
        <f t="shared" si="6"/>
        <v>112.48</v>
      </c>
      <c r="N15" s="171"/>
      <c r="O15" s="20"/>
      <c r="P15" s="20"/>
      <c r="Q15" s="20"/>
      <c r="R15" s="20"/>
      <c r="S15" s="21"/>
      <c r="U15" s="28"/>
    </row>
    <row r="16" spans="1:21" ht="18.95" customHeight="1" x14ac:dyDescent="0.25">
      <c r="A16" s="172" t="s">
        <v>95</v>
      </c>
      <c r="B16" s="19"/>
      <c r="C16" s="20"/>
      <c r="D16" s="20"/>
      <c r="E16" s="20"/>
      <c r="F16" s="20"/>
      <c r="G16" s="168"/>
      <c r="H16" s="19">
        <v>0.15</v>
      </c>
      <c r="I16" s="20">
        <v>517.91999999999996</v>
      </c>
      <c r="J16" s="20">
        <v>15</v>
      </c>
      <c r="K16" s="20">
        <f t="shared" si="4"/>
        <v>77.69</v>
      </c>
      <c r="L16" s="20">
        <f t="shared" si="5"/>
        <v>18.72</v>
      </c>
      <c r="M16" s="21">
        <f t="shared" si="6"/>
        <v>96.41</v>
      </c>
      <c r="N16" s="171"/>
      <c r="O16" s="20"/>
      <c r="P16" s="20"/>
      <c r="Q16" s="20"/>
      <c r="R16" s="20"/>
      <c r="S16" s="21"/>
      <c r="U16" s="28"/>
    </row>
    <row r="17" spans="1:21" ht="18.95" customHeight="1" x14ac:dyDescent="0.25">
      <c r="A17" s="172" t="s">
        <v>95</v>
      </c>
      <c r="B17" s="19"/>
      <c r="C17" s="20"/>
      <c r="D17" s="20"/>
      <c r="E17" s="20"/>
      <c r="F17" s="20"/>
      <c r="G17" s="168"/>
      <c r="H17" s="19">
        <v>0.15</v>
      </c>
      <c r="I17" s="20">
        <v>710.4</v>
      </c>
      <c r="J17" s="20">
        <v>15</v>
      </c>
      <c r="K17" s="20">
        <f t="shared" si="4"/>
        <v>106.56</v>
      </c>
      <c r="L17" s="20">
        <f t="shared" si="5"/>
        <v>25.67</v>
      </c>
      <c r="M17" s="21">
        <f t="shared" si="6"/>
        <v>132.23000000000002</v>
      </c>
      <c r="N17" s="171"/>
      <c r="O17" s="20"/>
      <c r="P17" s="20"/>
      <c r="Q17" s="20"/>
      <c r="R17" s="20"/>
      <c r="S17" s="21"/>
      <c r="U17" s="28"/>
    </row>
    <row r="18" spans="1:21" ht="18.95" customHeight="1" x14ac:dyDescent="0.25">
      <c r="A18" s="172" t="s">
        <v>93</v>
      </c>
      <c r="B18" s="19"/>
      <c r="C18" s="20"/>
      <c r="D18" s="20"/>
      <c r="E18" s="20"/>
      <c r="F18" s="20"/>
      <c r="G18" s="168"/>
      <c r="H18" s="19">
        <v>0.15</v>
      </c>
      <c r="I18" s="20">
        <v>1877.83</v>
      </c>
      <c r="J18" s="20">
        <v>15</v>
      </c>
      <c r="K18" s="20">
        <f t="shared" si="4"/>
        <v>281.67</v>
      </c>
      <c r="L18" s="20">
        <f t="shared" si="5"/>
        <v>67.849999999999994</v>
      </c>
      <c r="M18" s="21">
        <f t="shared" si="6"/>
        <v>349.52</v>
      </c>
      <c r="N18" s="171"/>
      <c r="O18" s="20"/>
      <c r="P18" s="20"/>
      <c r="Q18" s="20"/>
      <c r="R18" s="20"/>
      <c r="S18" s="21"/>
      <c r="U18" s="28"/>
    </row>
    <row r="19" spans="1:21" ht="18.95" customHeight="1" x14ac:dyDescent="0.25">
      <c r="A19" s="172" t="s">
        <v>93</v>
      </c>
      <c r="B19" s="19"/>
      <c r="C19" s="20"/>
      <c r="D19" s="20"/>
      <c r="E19" s="20"/>
      <c r="F19" s="20"/>
      <c r="G19" s="168"/>
      <c r="H19" s="19">
        <v>0.15</v>
      </c>
      <c r="I19" s="20">
        <v>1630.2</v>
      </c>
      <c r="J19" s="20">
        <v>15</v>
      </c>
      <c r="K19" s="20">
        <f t="shared" si="4"/>
        <v>244.53</v>
      </c>
      <c r="L19" s="20">
        <f t="shared" si="5"/>
        <v>58.91</v>
      </c>
      <c r="M19" s="21">
        <f t="shared" si="6"/>
        <v>303.44</v>
      </c>
      <c r="N19" s="171"/>
      <c r="O19" s="20"/>
      <c r="P19" s="20"/>
      <c r="Q19" s="20"/>
      <c r="R19" s="20"/>
      <c r="S19" s="21"/>
      <c r="U19" s="28"/>
    </row>
    <row r="20" spans="1:21" ht="18.95" customHeight="1" x14ac:dyDescent="0.25">
      <c r="A20" s="172" t="s">
        <v>95</v>
      </c>
      <c r="B20" s="19"/>
      <c r="C20" s="20"/>
      <c r="D20" s="20"/>
      <c r="E20" s="20"/>
      <c r="F20" s="20"/>
      <c r="G20" s="168"/>
      <c r="H20" s="19">
        <v>0.15</v>
      </c>
      <c r="I20" s="20">
        <v>781.44</v>
      </c>
      <c r="J20" s="20">
        <v>15</v>
      </c>
      <c r="K20" s="20">
        <f t="shared" si="4"/>
        <v>117.22</v>
      </c>
      <c r="L20" s="20">
        <f t="shared" si="5"/>
        <v>28.24</v>
      </c>
      <c r="M20" s="21">
        <f t="shared" si="6"/>
        <v>145.46</v>
      </c>
      <c r="N20" s="171"/>
      <c r="O20" s="20"/>
      <c r="P20" s="20"/>
      <c r="Q20" s="20"/>
      <c r="R20" s="20"/>
      <c r="S20" s="21"/>
      <c r="U20" s="28"/>
    </row>
    <row r="21" spans="1:21" ht="19.5" customHeight="1" x14ac:dyDescent="0.25">
      <c r="A21" s="172" t="s">
        <v>93</v>
      </c>
      <c r="B21" s="19"/>
      <c r="C21" s="20"/>
      <c r="D21" s="20"/>
      <c r="E21" s="20"/>
      <c r="F21" s="20"/>
      <c r="G21" s="168"/>
      <c r="H21" s="19">
        <v>0.15</v>
      </c>
      <c r="I21" s="20">
        <v>1630.2</v>
      </c>
      <c r="J21" s="20">
        <v>15</v>
      </c>
      <c r="K21" s="20">
        <f t="shared" si="4"/>
        <v>244.53</v>
      </c>
      <c r="L21" s="20">
        <f t="shared" si="5"/>
        <v>58.91</v>
      </c>
      <c r="M21" s="21">
        <f t="shared" si="6"/>
        <v>303.44</v>
      </c>
      <c r="N21" s="171"/>
      <c r="O21" s="20"/>
      <c r="P21" s="20"/>
      <c r="Q21" s="20"/>
      <c r="R21" s="20"/>
      <c r="S21" s="21"/>
      <c r="U21" s="28"/>
    </row>
    <row r="22" spans="1:21" ht="49.7" customHeight="1" x14ac:dyDescent="0.25">
      <c r="A22" s="18" t="s">
        <v>12</v>
      </c>
      <c r="B22" s="19"/>
      <c r="C22" s="20"/>
      <c r="D22" s="20"/>
      <c r="E22" s="20"/>
      <c r="F22" s="20"/>
      <c r="G22" s="168"/>
      <c r="H22" s="173">
        <f>SUM(H23:H32)</f>
        <v>1.5499999999999998</v>
      </c>
      <c r="I22" s="169"/>
      <c r="J22" s="169">
        <v>0</v>
      </c>
      <c r="K22" s="30">
        <f>SUM(K23:K32)</f>
        <v>1344.3100000000002</v>
      </c>
      <c r="L22" s="169">
        <f t="shared" ref="L22:M22" si="7">SUM(L23:L32)</f>
        <v>323.85000000000002</v>
      </c>
      <c r="M22" s="170">
        <f t="shared" si="7"/>
        <v>1668.16</v>
      </c>
      <c r="N22" s="171"/>
      <c r="O22" s="20"/>
      <c r="P22" s="20"/>
      <c r="Q22" s="20"/>
      <c r="R22" s="20"/>
      <c r="S22" s="21"/>
      <c r="U22" s="28"/>
    </row>
    <row r="23" spans="1:21" ht="24" customHeight="1" x14ac:dyDescent="0.25">
      <c r="A23" s="172" t="s">
        <v>96</v>
      </c>
      <c r="B23" s="19"/>
      <c r="C23" s="20"/>
      <c r="D23" s="20"/>
      <c r="E23" s="20"/>
      <c r="F23" s="20"/>
      <c r="G23" s="168"/>
      <c r="H23" s="174">
        <v>0.2</v>
      </c>
      <c r="I23" s="20">
        <v>1280</v>
      </c>
      <c r="J23" s="20">
        <v>20</v>
      </c>
      <c r="K23" s="20">
        <f t="shared" ref="K23:K32" si="8">ROUND(I23*J23/100,2)</f>
        <v>256</v>
      </c>
      <c r="L23" s="20">
        <f t="shared" si="5"/>
        <v>61.67</v>
      </c>
      <c r="M23" s="21">
        <f t="shared" ref="M23:M32" si="9">K23+L23</f>
        <v>317.67</v>
      </c>
      <c r="N23" s="171"/>
      <c r="O23" s="20"/>
      <c r="P23" s="20"/>
      <c r="Q23" s="20"/>
      <c r="R23" s="20"/>
      <c r="S23" s="21"/>
      <c r="U23" s="28"/>
    </row>
    <row r="24" spans="1:21" ht="24" customHeight="1" x14ac:dyDescent="0.25">
      <c r="A24" s="172" t="s">
        <v>97</v>
      </c>
      <c r="B24" s="19"/>
      <c r="C24" s="20"/>
      <c r="D24" s="20"/>
      <c r="E24" s="20"/>
      <c r="F24" s="20"/>
      <c r="G24" s="168"/>
      <c r="H24" s="19">
        <v>0.15</v>
      </c>
      <c r="I24" s="20">
        <v>711.6</v>
      </c>
      <c r="J24" s="20">
        <v>15</v>
      </c>
      <c r="K24" s="20">
        <f t="shared" si="8"/>
        <v>106.74</v>
      </c>
      <c r="L24" s="20">
        <f t="shared" si="5"/>
        <v>25.71</v>
      </c>
      <c r="M24" s="21">
        <f t="shared" si="9"/>
        <v>132.44999999999999</v>
      </c>
      <c r="N24" s="171"/>
      <c r="O24" s="20"/>
      <c r="P24" s="20"/>
      <c r="Q24" s="20"/>
      <c r="R24" s="20"/>
      <c r="S24" s="21"/>
      <c r="U24" s="28"/>
    </row>
    <row r="25" spans="1:21" ht="24" customHeight="1" x14ac:dyDescent="0.25">
      <c r="A25" s="172" t="s">
        <v>97</v>
      </c>
      <c r="B25" s="19"/>
      <c r="C25" s="20"/>
      <c r="D25" s="20"/>
      <c r="E25" s="20"/>
      <c r="F25" s="20"/>
      <c r="G25" s="168"/>
      <c r="H25" s="19">
        <v>0.15</v>
      </c>
      <c r="I25" s="20">
        <v>284.64</v>
      </c>
      <c r="J25" s="20">
        <v>15</v>
      </c>
      <c r="K25" s="20">
        <f t="shared" si="8"/>
        <v>42.7</v>
      </c>
      <c r="L25" s="20">
        <f t="shared" si="5"/>
        <v>10.29</v>
      </c>
      <c r="M25" s="21">
        <f t="shared" si="9"/>
        <v>52.99</v>
      </c>
      <c r="N25" s="171"/>
      <c r="O25" s="20"/>
      <c r="P25" s="20"/>
      <c r="Q25" s="20"/>
      <c r="R25" s="20"/>
      <c r="S25" s="21"/>
      <c r="U25" s="28"/>
    </row>
    <row r="26" spans="1:21" ht="24" customHeight="1" x14ac:dyDescent="0.25">
      <c r="A26" s="172" t="s">
        <v>97</v>
      </c>
      <c r="B26" s="19"/>
      <c r="C26" s="20"/>
      <c r="D26" s="20"/>
      <c r="E26" s="20"/>
      <c r="F26" s="20"/>
      <c r="G26" s="168"/>
      <c r="H26" s="19">
        <v>0.15</v>
      </c>
      <c r="I26" s="20">
        <v>853.92</v>
      </c>
      <c r="J26" s="20">
        <v>15</v>
      </c>
      <c r="K26" s="20">
        <f t="shared" si="8"/>
        <v>128.09</v>
      </c>
      <c r="L26" s="20">
        <f t="shared" si="5"/>
        <v>30.86</v>
      </c>
      <c r="M26" s="21">
        <f t="shared" si="9"/>
        <v>158.94999999999999</v>
      </c>
      <c r="N26" s="171"/>
      <c r="O26" s="20"/>
      <c r="P26" s="20"/>
      <c r="Q26" s="20"/>
      <c r="R26" s="20"/>
      <c r="S26" s="21"/>
      <c r="U26" s="28"/>
    </row>
    <row r="27" spans="1:21" ht="24" customHeight="1" x14ac:dyDescent="0.25">
      <c r="A27" s="172" t="s">
        <v>97</v>
      </c>
      <c r="B27" s="19"/>
      <c r="C27" s="20"/>
      <c r="D27" s="20"/>
      <c r="E27" s="20"/>
      <c r="F27" s="20"/>
      <c r="G27" s="168"/>
      <c r="H27" s="19">
        <v>0.15</v>
      </c>
      <c r="I27" s="20">
        <v>426.96</v>
      </c>
      <c r="J27" s="20">
        <v>15</v>
      </c>
      <c r="K27" s="20">
        <f t="shared" si="8"/>
        <v>64.040000000000006</v>
      </c>
      <c r="L27" s="20">
        <f t="shared" si="5"/>
        <v>15.43</v>
      </c>
      <c r="M27" s="21">
        <f t="shared" si="9"/>
        <v>79.47</v>
      </c>
      <c r="N27" s="171"/>
      <c r="O27" s="20"/>
      <c r="P27" s="20"/>
      <c r="Q27" s="20"/>
      <c r="R27" s="20"/>
      <c r="S27" s="21"/>
      <c r="U27" s="28"/>
    </row>
    <row r="28" spans="1:21" ht="24" customHeight="1" x14ac:dyDescent="0.25">
      <c r="A28" s="172" t="s">
        <v>97</v>
      </c>
      <c r="B28" s="19"/>
      <c r="C28" s="20"/>
      <c r="D28" s="20"/>
      <c r="E28" s="20"/>
      <c r="F28" s="20"/>
      <c r="G28" s="168"/>
      <c r="H28" s="19">
        <v>0.15</v>
      </c>
      <c r="I28" s="20">
        <v>996.24</v>
      </c>
      <c r="J28" s="20">
        <v>15</v>
      </c>
      <c r="K28" s="20">
        <f t="shared" si="8"/>
        <v>149.44</v>
      </c>
      <c r="L28" s="20">
        <f t="shared" si="5"/>
        <v>36</v>
      </c>
      <c r="M28" s="21">
        <f t="shared" si="9"/>
        <v>185.44</v>
      </c>
      <c r="N28" s="171"/>
      <c r="O28" s="20"/>
      <c r="P28" s="20"/>
      <c r="Q28" s="20"/>
      <c r="R28" s="20"/>
      <c r="S28" s="21"/>
      <c r="U28" s="28"/>
    </row>
    <row r="29" spans="1:21" ht="24" customHeight="1" x14ac:dyDescent="0.25">
      <c r="A29" s="172" t="s">
        <v>97</v>
      </c>
      <c r="B29" s="19"/>
      <c r="C29" s="20"/>
      <c r="D29" s="20"/>
      <c r="E29" s="20"/>
      <c r="F29" s="20"/>
      <c r="G29" s="168"/>
      <c r="H29" s="19">
        <v>0.15</v>
      </c>
      <c r="I29" s="20">
        <v>901.36</v>
      </c>
      <c r="J29" s="20">
        <v>15</v>
      </c>
      <c r="K29" s="20">
        <f t="shared" si="8"/>
        <v>135.19999999999999</v>
      </c>
      <c r="L29" s="20">
        <f t="shared" si="5"/>
        <v>32.57</v>
      </c>
      <c r="M29" s="21">
        <f t="shared" si="9"/>
        <v>167.76999999999998</v>
      </c>
      <c r="N29" s="171"/>
      <c r="O29" s="20"/>
      <c r="P29" s="20"/>
      <c r="Q29" s="20"/>
      <c r="R29" s="20"/>
      <c r="S29" s="21"/>
      <c r="U29" s="28"/>
    </row>
    <row r="30" spans="1:21" ht="24" customHeight="1" x14ac:dyDescent="0.25">
      <c r="A30" s="172" t="s">
        <v>97</v>
      </c>
      <c r="B30" s="19"/>
      <c r="C30" s="20"/>
      <c r="D30" s="20"/>
      <c r="E30" s="20"/>
      <c r="F30" s="20"/>
      <c r="G30" s="168"/>
      <c r="H30" s="19">
        <v>0.15</v>
      </c>
      <c r="I30" s="20">
        <v>1138.56</v>
      </c>
      <c r="J30" s="20">
        <v>15</v>
      </c>
      <c r="K30" s="20">
        <f t="shared" si="8"/>
        <v>170.78</v>
      </c>
      <c r="L30" s="20">
        <f t="shared" si="5"/>
        <v>41.14</v>
      </c>
      <c r="M30" s="21">
        <f t="shared" si="9"/>
        <v>211.92000000000002</v>
      </c>
      <c r="N30" s="171"/>
      <c r="O30" s="20"/>
      <c r="P30" s="20"/>
      <c r="Q30" s="20"/>
      <c r="R30" s="20"/>
      <c r="S30" s="21"/>
      <c r="U30" s="28"/>
    </row>
    <row r="31" spans="1:21" x14ac:dyDescent="0.25">
      <c r="A31" s="172" t="s">
        <v>17</v>
      </c>
      <c r="B31" s="19"/>
      <c r="C31" s="20"/>
      <c r="D31" s="20"/>
      <c r="E31" s="20"/>
      <c r="F31" s="20"/>
      <c r="G31" s="168"/>
      <c r="H31" s="19">
        <v>0.15</v>
      </c>
      <c r="I31" s="20">
        <v>971.04</v>
      </c>
      <c r="J31" s="20">
        <v>15</v>
      </c>
      <c r="K31" s="20">
        <f t="shared" si="8"/>
        <v>145.66</v>
      </c>
      <c r="L31" s="20">
        <f t="shared" si="5"/>
        <v>35.090000000000003</v>
      </c>
      <c r="M31" s="21">
        <f t="shared" si="9"/>
        <v>180.75</v>
      </c>
      <c r="N31" s="171"/>
      <c r="O31" s="20"/>
      <c r="P31" s="20"/>
      <c r="Q31" s="20"/>
      <c r="R31" s="20"/>
      <c r="S31" s="21"/>
      <c r="U31" s="28"/>
    </row>
    <row r="32" spans="1:21" x14ac:dyDescent="0.25">
      <c r="A32" s="172" t="s">
        <v>17</v>
      </c>
      <c r="B32" s="19"/>
      <c r="C32" s="20"/>
      <c r="D32" s="20"/>
      <c r="E32" s="20"/>
      <c r="F32" s="20"/>
      <c r="G32" s="168"/>
      <c r="H32" s="19">
        <v>0.15</v>
      </c>
      <c r="I32" s="20">
        <v>971.04</v>
      </c>
      <c r="J32" s="20">
        <v>15</v>
      </c>
      <c r="K32" s="20">
        <f t="shared" si="8"/>
        <v>145.66</v>
      </c>
      <c r="L32" s="20">
        <f t="shared" si="5"/>
        <v>35.090000000000003</v>
      </c>
      <c r="M32" s="21">
        <f t="shared" si="9"/>
        <v>180.75</v>
      </c>
      <c r="N32" s="171"/>
      <c r="O32" s="20"/>
      <c r="P32" s="20"/>
      <c r="Q32" s="20"/>
      <c r="R32" s="20"/>
      <c r="S32" s="21"/>
      <c r="U32" s="28"/>
    </row>
    <row r="33" spans="1:21" ht="63" customHeight="1" x14ac:dyDescent="0.25">
      <c r="A33" s="18" t="s">
        <v>13</v>
      </c>
      <c r="B33" s="19"/>
      <c r="C33" s="20"/>
      <c r="D33" s="20"/>
      <c r="E33" s="20"/>
      <c r="F33" s="20"/>
      <c r="G33" s="168"/>
      <c r="H33" s="173">
        <f>SUM(H34:H41)</f>
        <v>1.2499999999999998</v>
      </c>
      <c r="I33" s="169"/>
      <c r="J33" s="169">
        <v>0</v>
      </c>
      <c r="K33" s="30">
        <f>SUM(K34:K41)</f>
        <v>701.95</v>
      </c>
      <c r="L33" s="169">
        <f t="shared" ref="L33:M33" si="10">SUM(L34:L41)</f>
        <v>169.09999999999997</v>
      </c>
      <c r="M33" s="170">
        <f t="shared" si="10"/>
        <v>871.05</v>
      </c>
      <c r="N33" s="171"/>
      <c r="O33" s="20"/>
      <c r="P33" s="20"/>
      <c r="Q33" s="20"/>
      <c r="R33" s="20"/>
      <c r="S33" s="21"/>
      <c r="U33" s="28"/>
    </row>
    <row r="34" spans="1:21" ht="24.75" customHeight="1" x14ac:dyDescent="0.25">
      <c r="A34" s="172" t="s">
        <v>98</v>
      </c>
      <c r="B34" s="19"/>
      <c r="C34" s="20"/>
      <c r="D34" s="20"/>
      <c r="E34" s="20"/>
      <c r="F34" s="20"/>
      <c r="G34" s="168"/>
      <c r="H34" s="19">
        <v>0.15</v>
      </c>
      <c r="I34" s="20">
        <v>640.08000000000004</v>
      </c>
      <c r="J34" s="20">
        <v>15</v>
      </c>
      <c r="K34" s="20">
        <f t="shared" ref="K34:K41" si="11">ROUND(I34*J34/100,2)</f>
        <v>96.01</v>
      </c>
      <c r="L34" s="20">
        <f t="shared" si="5"/>
        <v>23.13</v>
      </c>
      <c r="M34" s="21">
        <f t="shared" ref="M34:M41" si="12">K34+L34</f>
        <v>119.14</v>
      </c>
      <c r="N34" s="171"/>
      <c r="O34" s="20"/>
      <c r="P34" s="20"/>
      <c r="Q34" s="20"/>
      <c r="R34" s="20"/>
      <c r="S34" s="21"/>
      <c r="U34" s="28"/>
    </row>
    <row r="35" spans="1:21" ht="24.75" customHeight="1" x14ac:dyDescent="0.25">
      <c r="A35" s="172" t="s">
        <v>98</v>
      </c>
      <c r="B35" s="19"/>
      <c r="C35" s="20"/>
      <c r="D35" s="20"/>
      <c r="E35" s="20"/>
      <c r="F35" s="20"/>
      <c r="G35" s="168"/>
      <c r="H35" s="19">
        <v>0.15</v>
      </c>
      <c r="I35" s="20">
        <v>831.6</v>
      </c>
      <c r="J35" s="20">
        <v>15</v>
      </c>
      <c r="K35" s="20">
        <f t="shared" si="11"/>
        <v>124.74</v>
      </c>
      <c r="L35" s="20">
        <f t="shared" si="5"/>
        <v>30.05</v>
      </c>
      <c r="M35" s="21">
        <f t="shared" si="12"/>
        <v>154.79</v>
      </c>
      <c r="N35" s="171"/>
      <c r="O35" s="20"/>
      <c r="P35" s="20"/>
      <c r="Q35" s="20"/>
      <c r="R35" s="20"/>
      <c r="S35" s="21"/>
      <c r="U35" s="28"/>
    </row>
    <row r="36" spans="1:21" ht="24.75" customHeight="1" x14ac:dyDescent="0.25">
      <c r="A36" s="172" t="s">
        <v>98</v>
      </c>
      <c r="B36" s="19"/>
      <c r="C36" s="20"/>
      <c r="D36" s="20"/>
      <c r="E36" s="20"/>
      <c r="F36" s="20"/>
      <c r="G36" s="168"/>
      <c r="H36" s="19">
        <v>0.15</v>
      </c>
      <c r="I36" s="20">
        <v>571.5</v>
      </c>
      <c r="J36" s="20">
        <v>15</v>
      </c>
      <c r="K36" s="20">
        <f t="shared" si="11"/>
        <v>85.73</v>
      </c>
      <c r="L36" s="20">
        <f t="shared" si="5"/>
        <v>20.65</v>
      </c>
      <c r="M36" s="21">
        <f t="shared" si="12"/>
        <v>106.38</v>
      </c>
      <c r="N36" s="171"/>
      <c r="O36" s="20"/>
      <c r="P36" s="20"/>
      <c r="Q36" s="20"/>
      <c r="R36" s="20"/>
      <c r="S36" s="21"/>
      <c r="U36" s="28"/>
    </row>
    <row r="37" spans="1:21" ht="24.75" customHeight="1" x14ac:dyDescent="0.25">
      <c r="A37" s="172" t="s">
        <v>98</v>
      </c>
      <c r="B37" s="19"/>
      <c r="C37" s="20"/>
      <c r="D37" s="20"/>
      <c r="E37" s="20"/>
      <c r="F37" s="20"/>
      <c r="G37" s="168"/>
      <c r="H37" s="19">
        <v>0.15</v>
      </c>
      <c r="I37" s="20">
        <v>586.74</v>
      </c>
      <c r="J37" s="20">
        <v>15</v>
      </c>
      <c r="K37" s="20">
        <f t="shared" si="11"/>
        <v>88.01</v>
      </c>
      <c r="L37" s="20">
        <f t="shared" si="5"/>
        <v>21.2</v>
      </c>
      <c r="M37" s="21">
        <f t="shared" si="12"/>
        <v>109.21000000000001</v>
      </c>
      <c r="N37" s="171"/>
      <c r="O37" s="20"/>
      <c r="P37" s="20"/>
      <c r="Q37" s="20"/>
      <c r="R37" s="20"/>
      <c r="S37" s="21"/>
      <c r="U37" s="28"/>
    </row>
    <row r="38" spans="1:21" ht="24.75" customHeight="1" x14ac:dyDescent="0.25">
      <c r="A38" s="172" t="s">
        <v>98</v>
      </c>
      <c r="B38" s="19"/>
      <c r="C38" s="20"/>
      <c r="D38" s="20"/>
      <c r="E38" s="20"/>
      <c r="F38" s="20"/>
      <c r="G38" s="168"/>
      <c r="H38" s="19">
        <v>0.15</v>
      </c>
      <c r="I38" s="20">
        <v>441.96</v>
      </c>
      <c r="J38" s="20">
        <v>15</v>
      </c>
      <c r="K38" s="20">
        <f t="shared" si="11"/>
        <v>66.290000000000006</v>
      </c>
      <c r="L38" s="20">
        <f t="shared" si="5"/>
        <v>15.97</v>
      </c>
      <c r="M38" s="21">
        <f t="shared" si="12"/>
        <v>82.26</v>
      </c>
      <c r="N38" s="171"/>
      <c r="O38" s="20"/>
      <c r="P38" s="20"/>
      <c r="Q38" s="20"/>
      <c r="R38" s="20"/>
      <c r="S38" s="21"/>
      <c r="U38" s="28"/>
    </row>
    <row r="39" spans="1:21" ht="24.75" customHeight="1" x14ac:dyDescent="0.25">
      <c r="A39" s="172" t="s">
        <v>98</v>
      </c>
      <c r="B39" s="19"/>
      <c r="C39" s="20"/>
      <c r="D39" s="20"/>
      <c r="E39" s="20"/>
      <c r="F39" s="20"/>
      <c r="G39" s="168"/>
      <c r="H39" s="19">
        <v>0.2</v>
      </c>
      <c r="I39" s="20">
        <v>297.14999999999998</v>
      </c>
      <c r="J39" s="20">
        <v>20</v>
      </c>
      <c r="K39" s="20">
        <f t="shared" si="11"/>
        <v>59.43</v>
      </c>
      <c r="L39" s="20">
        <f t="shared" si="5"/>
        <v>14.32</v>
      </c>
      <c r="M39" s="21">
        <f t="shared" si="12"/>
        <v>73.75</v>
      </c>
      <c r="N39" s="171"/>
      <c r="O39" s="20"/>
      <c r="P39" s="20"/>
      <c r="Q39" s="20"/>
      <c r="R39" s="20"/>
      <c r="S39" s="21"/>
      <c r="U39" s="28"/>
    </row>
    <row r="40" spans="1:21" x14ac:dyDescent="0.25">
      <c r="A40" s="172" t="s">
        <v>98</v>
      </c>
      <c r="B40" s="19"/>
      <c r="C40" s="20"/>
      <c r="D40" s="20"/>
      <c r="E40" s="20"/>
      <c r="F40" s="20"/>
      <c r="G40" s="168"/>
      <c r="H40" s="19">
        <v>0.15</v>
      </c>
      <c r="I40" s="20">
        <v>624.84</v>
      </c>
      <c r="J40" s="20">
        <v>15</v>
      </c>
      <c r="K40" s="20">
        <f t="shared" si="11"/>
        <v>93.73</v>
      </c>
      <c r="L40" s="20">
        <f t="shared" si="5"/>
        <v>22.58</v>
      </c>
      <c r="M40" s="21">
        <f t="shared" si="12"/>
        <v>116.31</v>
      </c>
      <c r="N40" s="171"/>
      <c r="O40" s="20"/>
      <c r="P40" s="20"/>
      <c r="Q40" s="20"/>
      <c r="R40" s="20"/>
      <c r="S40" s="21"/>
      <c r="U40" s="28"/>
    </row>
    <row r="41" spans="1:21" x14ac:dyDescent="0.25">
      <c r="A41" s="172" t="s">
        <v>98</v>
      </c>
      <c r="B41" s="19"/>
      <c r="C41" s="20"/>
      <c r="D41" s="20"/>
      <c r="E41" s="20"/>
      <c r="F41" s="20"/>
      <c r="G41" s="168"/>
      <c r="H41" s="19">
        <v>0.15</v>
      </c>
      <c r="I41" s="20">
        <v>586.74</v>
      </c>
      <c r="J41" s="20">
        <v>15</v>
      </c>
      <c r="K41" s="20">
        <f t="shared" si="11"/>
        <v>88.01</v>
      </c>
      <c r="L41" s="20">
        <f t="shared" si="5"/>
        <v>21.2</v>
      </c>
      <c r="M41" s="21">
        <f t="shared" si="12"/>
        <v>109.21000000000001</v>
      </c>
      <c r="N41" s="171"/>
      <c r="O41" s="20"/>
      <c r="P41" s="20"/>
      <c r="Q41" s="20"/>
      <c r="R41" s="20"/>
      <c r="S41" s="21"/>
      <c r="U41" s="28"/>
    </row>
    <row r="42" spans="1:21" ht="36" customHeight="1" x14ac:dyDescent="0.25">
      <c r="A42" s="18" t="s">
        <v>11</v>
      </c>
      <c r="B42" s="19"/>
      <c r="C42" s="20"/>
      <c r="D42" s="20"/>
      <c r="E42" s="20"/>
      <c r="F42" s="20"/>
      <c r="G42" s="168"/>
      <c r="H42" s="29">
        <f>SUM(H43:H48)</f>
        <v>0.9</v>
      </c>
      <c r="I42" s="169"/>
      <c r="J42" s="169">
        <v>0</v>
      </c>
      <c r="K42" s="30">
        <f>SUM(K43:K48)</f>
        <v>412.21999999999997</v>
      </c>
      <c r="L42" s="169">
        <f t="shared" ref="L42:M42" si="13">SUM(L43:L48)</f>
        <v>99.299999999999983</v>
      </c>
      <c r="M42" s="170">
        <f t="shared" si="13"/>
        <v>511.52</v>
      </c>
      <c r="N42" s="171"/>
      <c r="O42" s="20"/>
      <c r="P42" s="20"/>
      <c r="Q42" s="20"/>
      <c r="R42" s="20"/>
      <c r="S42" s="21"/>
      <c r="U42" s="28"/>
    </row>
    <row r="43" spans="1:21" ht="22.5" customHeight="1" x14ac:dyDescent="0.25">
      <c r="A43" s="172" t="s">
        <v>99</v>
      </c>
      <c r="B43" s="19"/>
      <c r="C43" s="20"/>
      <c r="D43" s="20"/>
      <c r="E43" s="20"/>
      <c r="F43" s="20"/>
      <c r="G43" s="168"/>
      <c r="H43" s="19">
        <v>0.15</v>
      </c>
      <c r="I43" s="20">
        <v>490.88</v>
      </c>
      <c r="J43" s="20">
        <v>15</v>
      </c>
      <c r="K43" s="20">
        <f t="shared" ref="K43:K48" si="14">ROUND(I43*J43/100,2)</f>
        <v>73.63</v>
      </c>
      <c r="L43" s="20">
        <f t="shared" si="5"/>
        <v>17.739999999999998</v>
      </c>
      <c r="M43" s="21">
        <f t="shared" ref="M43:M48" si="15">K43+L43</f>
        <v>91.36999999999999</v>
      </c>
      <c r="N43" s="171"/>
      <c r="O43" s="20"/>
      <c r="P43" s="20"/>
      <c r="Q43" s="20"/>
      <c r="R43" s="20"/>
      <c r="S43" s="21"/>
      <c r="U43" s="28"/>
    </row>
    <row r="44" spans="1:21" ht="22.5" customHeight="1" x14ac:dyDescent="0.25">
      <c r="A44" s="172" t="s">
        <v>100</v>
      </c>
      <c r="B44" s="19"/>
      <c r="C44" s="20"/>
      <c r="D44" s="20"/>
      <c r="E44" s="20"/>
      <c r="F44" s="20"/>
      <c r="G44" s="168"/>
      <c r="H44" s="19">
        <v>0.15</v>
      </c>
      <c r="I44" s="20">
        <v>526.67999999999995</v>
      </c>
      <c r="J44" s="20">
        <v>15</v>
      </c>
      <c r="K44" s="20">
        <f t="shared" si="14"/>
        <v>79</v>
      </c>
      <c r="L44" s="20">
        <f t="shared" si="5"/>
        <v>19.03</v>
      </c>
      <c r="M44" s="21">
        <f t="shared" si="15"/>
        <v>98.03</v>
      </c>
      <c r="N44" s="171"/>
      <c r="O44" s="20"/>
      <c r="P44" s="20"/>
      <c r="Q44" s="20"/>
      <c r="R44" s="20"/>
      <c r="S44" s="21"/>
      <c r="U44" s="28"/>
    </row>
    <row r="45" spans="1:21" ht="22.5" customHeight="1" x14ac:dyDescent="0.25">
      <c r="A45" s="172" t="s">
        <v>100</v>
      </c>
      <c r="B45" s="19"/>
      <c r="C45" s="20"/>
      <c r="D45" s="20"/>
      <c r="E45" s="20"/>
      <c r="F45" s="20"/>
      <c r="G45" s="168"/>
      <c r="H45" s="19">
        <v>0.15</v>
      </c>
      <c r="I45" s="20">
        <v>554.04</v>
      </c>
      <c r="J45" s="20">
        <v>15</v>
      </c>
      <c r="K45" s="20">
        <f t="shared" si="14"/>
        <v>83.11</v>
      </c>
      <c r="L45" s="20">
        <f t="shared" si="5"/>
        <v>20.02</v>
      </c>
      <c r="M45" s="21">
        <f t="shared" si="15"/>
        <v>103.13</v>
      </c>
      <c r="N45" s="171"/>
      <c r="O45" s="20"/>
      <c r="P45" s="20"/>
      <c r="Q45" s="20"/>
      <c r="R45" s="20"/>
      <c r="S45" s="21"/>
      <c r="U45" s="28"/>
    </row>
    <row r="46" spans="1:21" ht="22.5" customHeight="1" x14ac:dyDescent="0.25">
      <c r="A46" s="172" t="s">
        <v>100</v>
      </c>
      <c r="B46" s="19"/>
      <c r="C46" s="20"/>
      <c r="D46" s="20"/>
      <c r="E46" s="20"/>
      <c r="F46" s="20"/>
      <c r="G46" s="168"/>
      <c r="H46" s="19">
        <v>0.15</v>
      </c>
      <c r="I46" s="20">
        <v>499.32</v>
      </c>
      <c r="J46" s="20">
        <v>15</v>
      </c>
      <c r="K46" s="20">
        <f t="shared" si="14"/>
        <v>74.900000000000006</v>
      </c>
      <c r="L46" s="20">
        <f t="shared" si="5"/>
        <v>18.04</v>
      </c>
      <c r="M46" s="21">
        <f t="shared" si="15"/>
        <v>92.94</v>
      </c>
      <c r="N46" s="171"/>
      <c r="O46" s="20"/>
      <c r="P46" s="20"/>
      <c r="Q46" s="20"/>
      <c r="R46" s="20"/>
      <c r="S46" s="21"/>
      <c r="U46" s="28"/>
    </row>
    <row r="47" spans="1:21" x14ac:dyDescent="0.25">
      <c r="A47" s="172" t="s">
        <v>100</v>
      </c>
      <c r="B47" s="19"/>
      <c r="C47" s="20"/>
      <c r="D47" s="20"/>
      <c r="E47" s="20"/>
      <c r="F47" s="20"/>
      <c r="G47" s="168"/>
      <c r="H47" s="19">
        <v>0.15</v>
      </c>
      <c r="I47" s="20">
        <v>362.52</v>
      </c>
      <c r="J47" s="20">
        <v>15</v>
      </c>
      <c r="K47" s="20">
        <f t="shared" si="14"/>
        <v>54.38</v>
      </c>
      <c r="L47" s="20">
        <f t="shared" si="5"/>
        <v>13.1</v>
      </c>
      <c r="M47" s="21">
        <f t="shared" si="15"/>
        <v>67.48</v>
      </c>
      <c r="N47" s="171"/>
      <c r="O47" s="20"/>
      <c r="P47" s="20"/>
      <c r="Q47" s="20"/>
      <c r="R47" s="20"/>
      <c r="S47" s="21"/>
      <c r="U47" s="28"/>
    </row>
    <row r="48" spans="1:21" x14ac:dyDescent="0.25">
      <c r="A48" s="172" t="s">
        <v>100</v>
      </c>
      <c r="B48" s="19"/>
      <c r="C48" s="20"/>
      <c r="D48" s="20"/>
      <c r="E48" s="20"/>
      <c r="F48" s="20"/>
      <c r="G48" s="168"/>
      <c r="H48" s="19">
        <v>0.15</v>
      </c>
      <c r="I48" s="20">
        <v>314.64</v>
      </c>
      <c r="J48" s="20">
        <v>15</v>
      </c>
      <c r="K48" s="20">
        <f t="shared" si="14"/>
        <v>47.2</v>
      </c>
      <c r="L48" s="20">
        <f t="shared" si="5"/>
        <v>11.37</v>
      </c>
      <c r="M48" s="21">
        <f t="shared" si="15"/>
        <v>58.57</v>
      </c>
      <c r="N48" s="171"/>
      <c r="O48" s="20"/>
      <c r="P48" s="20"/>
      <c r="Q48" s="20"/>
      <c r="R48" s="20"/>
      <c r="S48" s="21"/>
      <c r="U48" s="28"/>
    </row>
    <row r="49" spans="1:21" s="1" customFormat="1" ht="45" customHeight="1" x14ac:dyDescent="0.25">
      <c r="A49" s="175" t="s">
        <v>101</v>
      </c>
      <c r="B49" s="15"/>
      <c r="C49" s="16"/>
      <c r="D49" s="16"/>
      <c r="E49" s="16"/>
      <c r="F49" s="16"/>
      <c r="G49" s="166"/>
      <c r="H49" s="176">
        <f>H50+H54+H60+H64</f>
        <v>0.95000000000000007</v>
      </c>
      <c r="I49" s="177">
        <f t="shared" ref="I49:M49" si="16">I50+I54+I60+I64</f>
        <v>0</v>
      </c>
      <c r="J49" s="177">
        <f t="shared" si="16"/>
        <v>0</v>
      </c>
      <c r="K49" s="177">
        <f t="shared" si="16"/>
        <v>761.16</v>
      </c>
      <c r="L49" s="177">
        <f t="shared" si="16"/>
        <v>183.36</v>
      </c>
      <c r="M49" s="178">
        <f t="shared" si="16"/>
        <v>944.52</v>
      </c>
      <c r="N49" s="194"/>
      <c r="O49" s="16"/>
      <c r="P49" s="16"/>
      <c r="Q49" s="16"/>
      <c r="R49" s="16"/>
      <c r="S49" s="17"/>
      <c r="T49" s="2"/>
      <c r="U49" s="28"/>
    </row>
    <row r="50" spans="1:21" ht="60.75" customHeight="1" x14ac:dyDescent="0.25">
      <c r="A50" s="18" t="s">
        <v>14</v>
      </c>
      <c r="B50" s="19"/>
      <c r="C50" s="20"/>
      <c r="D50" s="20"/>
      <c r="E50" s="20"/>
      <c r="F50" s="20"/>
      <c r="G50" s="168"/>
      <c r="H50" s="29">
        <f>SUM(H51:H53)</f>
        <v>0.15000000000000002</v>
      </c>
      <c r="I50" s="169"/>
      <c r="J50" s="169"/>
      <c r="K50" s="30">
        <f>SUM(K51:K53)</f>
        <v>240.42999999999998</v>
      </c>
      <c r="L50" s="169">
        <f t="shared" ref="L50:M50" si="17">SUM(L51:L53)</f>
        <v>57.92</v>
      </c>
      <c r="M50" s="170">
        <f t="shared" si="17"/>
        <v>298.35000000000002</v>
      </c>
      <c r="N50" s="171"/>
      <c r="O50" s="20"/>
      <c r="P50" s="20"/>
      <c r="Q50" s="20"/>
      <c r="R50" s="20"/>
      <c r="S50" s="21"/>
      <c r="U50" s="28"/>
    </row>
    <row r="51" spans="1:21" ht="18.95" customHeight="1" x14ac:dyDescent="0.25">
      <c r="A51" s="172" t="s">
        <v>94</v>
      </c>
      <c r="B51" s="19"/>
      <c r="C51" s="20"/>
      <c r="D51" s="20"/>
      <c r="E51" s="20"/>
      <c r="F51" s="20"/>
      <c r="G51" s="168"/>
      <c r="H51" s="19">
        <v>0.05</v>
      </c>
      <c r="I51" s="20">
        <v>1800</v>
      </c>
      <c r="J51" s="20">
        <v>5</v>
      </c>
      <c r="K51" s="20">
        <f t="shared" ref="K51:K53" si="18">ROUND(I51*J51/100,2)</f>
        <v>90</v>
      </c>
      <c r="L51" s="20">
        <f t="shared" ref="L51:L68" si="19">ROUND(K51*24.09/100,2)</f>
        <v>21.68</v>
      </c>
      <c r="M51" s="21">
        <f t="shared" ref="M51:M53" si="20">K51+L51</f>
        <v>111.68</v>
      </c>
      <c r="N51" s="171"/>
      <c r="O51" s="20"/>
      <c r="P51" s="20"/>
      <c r="Q51" s="20"/>
      <c r="R51" s="20"/>
      <c r="S51" s="21"/>
      <c r="U51" s="28"/>
    </row>
    <row r="52" spans="1:21" ht="18.95" customHeight="1" x14ac:dyDescent="0.25">
      <c r="A52" s="172" t="s">
        <v>95</v>
      </c>
      <c r="B52" s="19"/>
      <c r="C52" s="20"/>
      <c r="D52" s="20"/>
      <c r="E52" s="20"/>
      <c r="F52" s="20"/>
      <c r="G52" s="168"/>
      <c r="H52" s="19">
        <v>0.05</v>
      </c>
      <c r="I52" s="20">
        <v>1526.58</v>
      </c>
      <c r="J52" s="20">
        <v>5</v>
      </c>
      <c r="K52" s="20">
        <f t="shared" si="18"/>
        <v>76.33</v>
      </c>
      <c r="L52" s="20">
        <f t="shared" si="19"/>
        <v>18.39</v>
      </c>
      <c r="M52" s="21">
        <f t="shared" si="20"/>
        <v>94.72</v>
      </c>
      <c r="N52" s="171"/>
      <c r="O52" s="20"/>
      <c r="P52" s="20"/>
      <c r="Q52" s="20"/>
      <c r="R52" s="20"/>
      <c r="S52" s="21"/>
      <c r="U52" s="28"/>
    </row>
    <row r="53" spans="1:21" ht="19.5" customHeight="1" x14ac:dyDescent="0.25">
      <c r="A53" s="172" t="s">
        <v>93</v>
      </c>
      <c r="B53" s="19"/>
      <c r="C53" s="20"/>
      <c r="D53" s="20"/>
      <c r="E53" s="20"/>
      <c r="F53" s="20"/>
      <c r="G53" s="168"/>
      <c r="H53" s="19">
        <v>0.05</v>
      </c>
      <c r="I53" s="20">
        <v>1482</v>
      </c>
      <c r="J53" s="20">
        <v>5</v>
      </c>
      <c r="K53" s="20">
        <f t="shared" si="18"/>
        <v>74.099999999999994</v>
      </c>
      <c r="L53" s="20">
        <f t="shared" si="19"/>
        <v>17.850000000000001</v>
      </c>
      <c r="M53" s="21">
        <f t="shared" si="20"/>
        <v>91.949999999999989</v>
      </c>
      <c r="N53" s="171"/>
      <c r="O53" s="20"/>
      <c r="P53" s="20"/>
      <c r="Q53" s="20"/>
      <c r="R53" s="20"/>
      <c r="S53" s="21"/>
      <c r="U53" s="28"/>
    </row>
    <row r="54" spans="1:21" ht="49.7" customHeight="1" x14ac:dyDescent="0.25">
      <c r="A54" s="18" t="s">
        <v>12</v>
      </c>
      <c r="B54" s="19"/>
      <c r="C54" s="20"/>
      <c r="D54" s="20"/>
      <c r="E54" s="20"/>
      <c r="F54" s="20"/>
      <c r="G54" s="168"/>
      <c r="H54" s="29">
        <f>SUM(H55:H59)</f>
        <v>0.30000000000000004</v>
      </c>
      <c r="I54" s="169"/>
      <c r="J54" s="169"/>
      <c r="K54" s="30">
        <f>SUM(K55:K59)</f>
        <v>260.98</v>
      </c>
      <c r="L54" s="169">
        <f t="shared" ref="L54:M54" si="21">SUM(L55:L59)</f>
        <v>62.870000000000005</v>
      </c>
      <c r="M54" s="170">
        <f t="shared" si="21"/>
        <v>323.85000000000002</v>
      </c>
      <c r="N54" s="171"/>
      <c r="O54" s="20"/>
      <c r="P54" s="20"/>
      <c r="Q54" s="20"/>
      <c r="R54" s="20"/>
      <c r="S54" s="21"/>
      <c r="U54" s="28"/>
    </row>
    <row r="55" spans="1:21" ht="24" customHeight="1" x14ac:dyDescent="0.25">
      <c r="A55" s="172" t="s">
        <v>96</v>
      </c>
      <c r="B55" s="19"/>
      <c r="C55" s="20"/>
      <c r="D55" s="20"/>
      <c r="E55" s="20"/>
      <c r="F55" s="20"/>
      <c r="G55" s="168"/>
      <c r="H55" s="19">
        <v>0.05</v>
      </c>
      <c r="I55" s="20">
        <v>1280</v>
      </c>
      <c r="J55" s="20">
        <v>5</v>
      </c>
      <c r="K55" s="20">
        <f t="shared" ref="K55:K59" si="22">ROUND(I55*J55/100,2)</f>
        <v>64</v>
      </c>
      <c r="L55" s="20">
        <f t="shared" si="19"/>
        <v>15.42</v>
      </c>
      <c r="M55" s="21">
        <f t="shared" ref="M55:M59" si="23">K55+L55</f>
        <v>79.42</v>
      </c>
      <c r="N55" s="171"/>
      <c r="O55" s="20"/>
      <c r="P55" s="20"/>
      <c r="Q55" s="20"/>
      <c r="R55" s="20"/>
      <c r="S55" s="21"/>
      <c r="U55" s="28"/>
    </row>
    <row r="56" spans="1:21" ht="24" customHeight="1" x14ac:dyDescent="0.25">
      <c r="A56" s="172" t="s">
        <v>97</v>
      </c>
      <c r="B56" s="19"/>
      <c r="C56" s="20"/>
      <c r="D56" s="20"/>
      <c r="E56" s="20"/>
      <c r="F56" s="20"/>
      <c r="G56" s="168"/>
      <c r="H56" s="19">
        <v>0.05</v>
      </c>
      <c r="I56" s="20">
        <v>142.32</v>
      </c>
      <c r="J56" s="20">
        <v>5</v>
      </c>
      <c r="K56" s="20">
        <f t="shared" si="22"/>
        <v>7.12</v>
      </c>
      <c r="L56" s="20">
        <f t="shared" si="19"/>
        <v>1.72</v>
      </c>
      <c r="M56" s="21">
        <f t="shared" si="23"/>
        <v>8.84</v>
      </c>
      <c r="N56" s="171"/>
      <c r="O56" s="20"/>
      <c r="P56" s="20"/>
      <c r="Q56" s="20"/>
      <c r="R56" s="20"/>
      <c r="S56" s="21"/>
      <c r="U56" s="28"/>
    </row>
    <row r="57" spans="1:21" ht="24" customHeight="1" x14ac:dyDescent="0.25">
      <c r="A57" s="172" t="s">
        <v>17</v>
      </c>
      <c r="B57" s="19"/>
      <c r="C57" s="20"/>
      <c r="D57" s="20"/>
      <c r="E57" s="20"/>
      <c r="F57" s="20"/>
      <c r="G57" s="168"/>
      <c r="H57" s="19">
        <v>0.05</v>
      </c>
      <c r="I57" s="20">
        <v>462.4</v>
      </c>
      <c r="J57" s="20">
        <v>5</v>
      </c>
      <c r="K57" s="20">
        <f t="shared" si="22"/>
        <v>23.12</v>
      </c>
      <c r="L57" s="20">
        <f t="shared" si="19"/>
        <v>5.57</v>
      </c>
      <c r="M57" s="21">
        <f t="shared" si="23"/>
        <v>28.69</v>
      </c>
      <c r="N57" s="171"/>
      <c r="O57" s="20"/>
      <c r="P57" s="20"/>
      <c r="Q57" s="20"/>
      <c r="R57" s="20"/>
      <c r="S57" s="21"/>
      <c r="U57" s="28"/>
    </row>
    <row r="58" spans="1:21" x14ac:dyDescent="0.25">
      <c r="A58" s="172" t="s">
        <v>17</v>
      </c>
      <c r="B58" s="19"/>
      <c r="C58" s="20"/>
      <c r="D58" s="20"/>
      <c r="E58" s="20"/>
      <c r="F58" s="20"/>
      <c r="G58" s="168"/>
      <c r="H58" s="19">
        <v>0.05</v>
      </c>
      <c r="I58" s="20">
        <v>814.72</v>
      </c>
      <c r="J58" s="20">
        <v>5</v>
      </c>
      <c r="K58" s="20">
        <f t="shared" si="22"/>
        <v>40.74</v>
      </c>
      <c r="L58" s="20">
        <f t="shared" si="19"/>
        <v>9.81</v>
      </c>
      <c r="M58" s="21">
        <f t="shared" si="23"/>
        <v>50.550000000000004</v>
      </c>
      <c r="N58" s="171"/>
      <c r="O58" s="20"/>
      <c r="P58" s="20"/>
      <c r="Q58" s="20"/>
      <c r="R58" s="20"/>
      <c r="S58" s="21"/>
      <c r="U58" s="28"/>
    </row>
    <row r="59" spans="1:21" x14ac:dyDescent="0.25">
      <c r="A59" s="172" t="s">
        <v>96</v>
      </c>
      <c r="B59" s="19"/>
      <c r="C59" s="20"/>
      <c r="D59" s="20"/>
      <c r="E59" s="20"/>
      <c r="F59" s="20"/>
      <c r="G59" s="168"/>
      <c r="H59" s="19">
        <v>0.1</v>
      </c>
      <c r="I59" s="20">
        <v>1260</v>
      </c>
      <c r="J59" s="20">
        <v>10</v>
      </c>
      <c r="K59" s="20">
        <f t="shared" si="22"/>
        <v>126</v>
      </c>
      <c r="L59" s="20">
        <f t="shared" si="19"/>
        <v>30.35</v>
      </c>
      <c r="M59" s="21">
        <f t="shared" si="23"/>
        <v>156.35</v>
      </c>
      <c r="N59" s="171"/>
      <c r="O59" s="20"/>
      <c r="P59" s="20"/>
      <c r="Q59" s="20"/>
      <c r="R59" s="20"/>
      <c r="S59" s="21"/>
      <c r="U59" s="28"/>
    </row>
    <row r="60" spans="1:21" ht="64.5" customHeight="1" x14ac:dyDescent="0.25">
      <c r="A60" s="18" t="s">
        <v>13</v>
      </c>
      <c r="B60" s="19"/>
      <c r="C60" s="20"/>
      <c r="D60" s="20"/>
      <c r="E60" s="20"/>
      <c r="F60" s="20"/>
      <c r="G60" s="168"/>
      <c r="H60" s="29">
        <f>SUM(H61:H63)</f>
        <v>0.15000000000000002</v>
      </c>
      <c r="I60" s="169"/>
      <c r="J60" s="169"/>
      <c r="K60" s="30">
        <f>SUM(K61:K63)</f>
        <v>41.14</v>
      </c>
      <c r="L60" s="169">
        <f t="shared" ref="L60:M60" si="24">SUM(L61:L63)</f>
        <v>9.91</v>
      </c>
      <c r="M60" s="170">
        <f t="shared" si="24"/>
        <v>51.05</v>
      </c>
      <c r="N60" s="171"/>
      <c r="O60" s="20"/>
      <c r="P60" s="20"/>
      <c r="Q60" s="20"/>
      <c r="R60" s="20"/>
      <c r="S60" s="21"/>
      <c r="U60" s="28"/>
    </row>
    <row r="61" spans="1:21" ht="21" customHeight="1" x14ac:dyDescent="0.25">
      <c r="A61" s="172" t="s">
        <v>98</v>
      </c>
      <c r="B61" s="19"/>
      <c r="C61" s="20"/>
      <c r="D61" s="20"/>
      <c r="E61" s="20"/>
      <c r="F61" s="20"/>
      <c r="G61" s="168"/>
      <c r="H61" s="19">
        <v>0.05</v>
      </c>
      <c r="I61" s="20">
        <v>91.44</v>
      </c>
      <c r="J61" s="20">
        <v>5</v>
      </c>
      <c r="K61" s="20">
        <f t="shared" ref="K61:K63" si="25">ROUND(I61*J61/100,2)</f>
        <v>4.57</v>
      </c>
      <c r="L61" s="20">
        <f t="shared" si="19"/>
        <v>1.1000000000000001</v>
      </c>
      <c r="M61" s="21">
        <f t="shared" ref="M61:M63" si="26">K61+L61</f>
        <v>5.67</v>
      </c>
      <c r="N61" s="171"/>
      <c r="O61" s="20"/>
      <c r="P61" s="20"/>
      <c r="Q61" s="20"/>
      <c r="R61" s="20"/>
      <c r="S61" s="21"/>
      <c r="U61" s="28"/>
    </row>
    <row r="62" spans="1:21" x14ac:dyDescent="0.25">
      <c r="A62" s="172" t="s">
        <v>98</v>
      </c>
      <c r="B62" s="19"/>
      <c r="C62" s="20"/>
      <c r="D62" s="20"/>
      <c r="E62" s="20"/>
      <c r="F62" s="20"/>
      <c r="G62" s="168"/>
      <c r="H62" s="19">
        <v>0.05</v>
      </c>
      <c r="I62" s="20">
        <v>182.88</v>
      </c>
      <c r="J62" s="20">
        <v>5</v>
      </c>
      <c r="K62" s="20">
        <f t="shared" si="25"/>
        <v>9.14</v>
      </c>
      <c r="L62" s="20">
        <f t="shared" si="19"/>
        <v>2.2000000000000002</v>
      </c>
      <c r="M62" s="21">
        <f t="shared" si="26"/>
        <v>11.34</v>
      </c>
      <c r="N62" s="171"/>
      <c r="O62" s="20"/>
      <c r="P62" s="20"/>
      <c r="Q62" s="20"/>
      <c r="R62" s="20"/>
      <c r="S62" s="21"/>
      <c r="U62" s="28"/>
    </row>
    <row r="63" spans="1:21" x14ac:dyDescent="0.25">
      <c r="A63" s="172" t="s">
        <v>98</v>
      </c>
      <c r="B63" s="19"/>
      <c r="C63" s="20"/>
      <c r="D63" s="20"/>
      <c r="E63" s="20"/>
      <c r="F63" s="20"/>
      <c r="G63" s="168"/>
      <c r="H63" s="19">
        <v>0.05</v>
      </c>
      <c r="I63" s="20">
        <v>548.64</v>
      </c>
      <c r="J63" s="20">
        <v>5</v>
      </c>
      <c r="K63" s="20">
        <f t="shared" si="25"/>
        <v>27.43</v>
      </c>
      <c r="L63" s="20">
        <f t="shared" si="19"/>
        <v>6.61</v>
      </c>
      <c r="M63" s="21">
        <f t="shared" si="26"/>
        <v>34.04</v>
      </c>
      <c r="N63" s="171"/>
      <c r="O63" s="20"/>
      <c r="P63" s="20"/>
      <c r="Q63" s="20"/>
      <c r="R63" s="20"/>
      <c r="S63" s="21"/>
      <c r="U63" s="28"/>
    </row>
    <row r="64" spans="1:21" ht="37.5" customHeight="1" x14ac:dyDescent="0.25">
      <c r="A64" s="18" t="s">
        <v>11</v>
      </c>
      <c r="B64" s="19"/>
      <c r="C64" s="20"/>
      <c r="D64" s="20"/>
      <c r="E64" s="20"/>
      <c r="F64" s="20"/>
      <c r="G64" s="168"/>
      <c r="H64" s="29">
        <f>SUM(H65:H68)</f>
        <v>0.35</v>
      </c>
      <c r="I64" s="169"/>
      <c r="J64" s="169"/>
      <c r="K64" s="30">
        <f>SUM(K65:K68)</f>
        <v>218.61</v>
      </c>
      <c r="L64" s="169">
        <f t="shared" ref="L64:M64" si="27">SUM(L65:L68)</f>
        <v>52.66</v>
      </c>
      <c r="M64" s="170">
        <f t="shared" si="27"/>
        <v>271.27</v>
      </c>
      <c r="N64" s="171"/>
      <c r="O64" s="20"/>
      <c r="P64" s="20"/>
      <c r="Q64" s="20"/>
      <c r="R64" s="20"/>
      <c r="S64" s="21"/>
      <c r="U64" s="28"/>
    </row>
    <row r="65" spans="1:21" ht="24" customHeight="1" x14ac:dyDescent="0.25">
      <c r="A65" s="172" t="s">
        <v>100</v>
      </c>
      <c r="B65" s="19"/>
      <c r="C65" s="20"/>
      <c r="D65" s="20"/>
      <c r="E65" s="20"/>
      <c r="F65" s="20"/>
      <c r="G65" s="168"/>
      <c r="H65" s="19">
        <v>0.05</v>
      </c>
      <c r="I65" s="20">
        <v>287.27999999999997</v>
      </c>
      <c r="J65" s="20">
        <v>5</v>
      </c>
      <c r="K65" s="20">
        <f t="shared" ref="K65:K68" si="28">ROUND(I65*J65/100,2)</f>
        <v>14.36</v>
      </c>
      <c r="L65" s="20">
        <f t="shared" si="19"/>
        <v>3.46</v>
      </c>
      <c r="M65" s="21">
        <f t="shared" ref="M65:M68" si="29">K65+L65</f>
        <v>17.82</v>
      </c>
      <c r="N65" s="171"/>
      <c r="O65" s="20"/>
      <c r="P65" s="20"/>
      <c r="Q65" s="20"/>
      <c r="R65" s="20"/>
      <c r="S65" s="21"/>
      <c r="U65" s="28"/>
    </row>
    <row r="66" spans="1:21" x14ac:dyDescent="0.25">
      <c r="A66" s="172" t="s">
        <v>102</v>
      </c>
      <c r="B66" s="19"/>
      <c r="C66" s="20"/>
      <c r="D66" s="20"/>
      <c r="E66" s="20"/>
      <c r="F66" s="20"/>
      <c r="G66" s="168"/>
      <c r="H66" s="19">
        <v>0.05</v>
      </c>
      <c r="I66" s="20">
        <v>630</v>
      </c>
      <c r="J66" s="20">
        <v>5</v>
      </c>
      <c r="K66" s="20">
        <f t="shared" si="28"/>
        <v>31.5</v>
      </c>
      <c r="L66" s="20">
        <f t="shared" si="19"/>
        <v>7.59</v>
      </c>
      <c r="M66" s="21">
        <f t="shared" si="29"/>
        <v>39.090000000000003</v>
      </c>
      <c r="N66" s="171"/>
      <c r="O66" s="20"/>
      <c r="P66" s="20"/>
      <c r="Q66" s="20"/>
      <c r="R66" s="20"/>
      <c r="S66" s="21"/>
      <c r="U66" s="28"/>
    </row>
    <row r="67" spans="1:21" x14ac:dyDescent="0.25">
      <c r="A67" s="172" t="s">
        <v>99</v>
      </c>
      <c r="B67" s="179"/>
      <c r="C67" s="180"/>
      <c r="D67" s="180"/>
      <c r="E67" s="180"/>
      <c r="F67" s="180"/>
      <c r="G67" s="181"/>
      <c r="H67" s="179">
        <v>0.15</v>
      </c>
      <c r="I67" s="180">
        <v>675</v>
      </c>
      <c r="J67" s="180">
        <v>15</v>
      </c>
      <c r="K67" s="20">
        <f t="shared" si="28"/>
        <v>101.25</v>
      </c>
      <c r="L67" s="20">
        <f t="shared" si="19"/>
        <v>24.39</v>
      </c>
      <c r="M67" s="21">
        <f t="shared" si="29"/>
        <v>125.64</v>
      </c>
      <c r="N67" s="171"/>
      <c r="O67" s="180"/>
      <c r="P67" s="180"/>
      <c r="Q67" s="180"/>
      <c r="R67" s="180"/>
      <c r="S67" s="182"/>
      <c r="U67" s="28"/>
    </row>
    <row r="68" spans="1:21" ht="17.25" thickBot="1" x14ac:dyDescent="0.3">
      <c r="A68" s="172" t="s">
        <v>103</v>
      </c>
      <c r="B68" s="22"/>
      <c r="C68" s="23"/>
      <c r="D68" s="23"/>
      <c r="E68" s="23"/>
      <c r="F68" s="23"/>
      <c r="G68" s="183"/>
      <c r="H68" s="22">
        <v>0.1</v>
      </c>
      <c r="I68" s="180">
        <v>715</v>
      </c>
      <c r="J68" s="180">
        <v>10</v>
      </c>
      <c r="K68" s="180">
        <f t="shared" si="28"/>
        <v>71.5</v>
      </c>
      <c r="L68" s="180">
        <f t="shared" si="19"/>
        <v>17.22</v>
      </c>
      <c r="M68" s="21">
        <f t="shared" si="29"/>
        <v>88.72</v>
      </c>
      <c r="N68" s="171"/>
      <c r="O68" s="23"/>
      <c r="P68" s="23"/>
      <c r="Q68" s="23"/>
      <c r="R68" s="23"/>
      <c r="S68" s="24"/>
      <c r="U68" s="28"/>
    </row>
    <row r="69" spans="1:21" s="1" customFormat="1" ht="24" customHeight="1" x14ac:dyDescent="0.25">
      <c r="A69" s="14" t="s">
        <v>104</v>
      </c>
      <c r="B69" s="15"/>
      <c r="C69" s="16"/>
      <c r="D69" s="16"/>
      <c r="E69" s="16"/>
      <c r="F69" s="16"/>
      <c r="G69" s="166"/>
      <c r="H69" s="176">
        <f>H70+H72+H78+H85</f>
        <v>1.4</v>
      </c>
      <c r="I69" s="177">
        <f t="shared" ref="I69:M69" si="30">I70+I72+I78+I85</f>
        <v>0</v>
      </c>
      <c r="J69" s="177">
        <f t="shared" si="30"/>
        <v>0</v>
      </c>
      <c r="K69" s="177">
        <f t="shared" si="30"/>
        <v>869.26999999999987</v>
      </c>
      <c r="L69" s="177">
        <f t="shared" si="30"/>
        <v>209.4</v>
      </c>
      <c r="M69" s="178">
        <f t="shared" si="30"/>
        <v>1078.67</v>
      </c>
      <c r="N69" s="194"/>
      <c r="O69" s="16"/>
      <c r="P69" s="16"/>
      <c r="Q69" s="16"/>
      <c r="R69" s="16"/>
      <c r="S69" s="17"/>
      <c r="T69" s="2"/>
      <c r="U69" s="28"/>
    </row>
    <row r="70" spans="1:21" ht="60.75" customHeight="1" x14ac:dyDescent="0.25">
      <c r="A70" s="18" t="s">
        <v>14</v>
      </c>
      <c r="B70" s="19"/>
      <c r="C70" s="20"/>
      <c r="D70" s="20"/>
      <c r="E70" s="20"/>
      <c r="F70" s="20"/>
      <c r="G70" s="168"/>
      <c r="H70" s="173">
        <v>0.1</v>
      </c>
      <c r="I70" s="169"/>
      <c r="J70" s="169"/>
      <c r="K70" s="30">
        <f>K71</f>
        <v>163.02000000000001</v>
      </c>
      <c r="L70" s="169">
        <f t="shared" ref="L70:M70" si="31">L71</f>
        <v>39.270000000000003</v>
      </c>
      <c r="M70" s="185">
        <f t="shared" si="31"/>
        <v>202.29000000000002</v>
      </c>
      <c r="N70" s="171"/>
      <c r="O70" s="20"/>
      <c r="P70" s="20"/>
      <c r="Q70" s="20"/>
      <c r="R70" s="20"/>
      <c r="S70" s="21"/>
      <c r="U70" s="28"/>
    </row>
    <row r="71" spans="1:21" ht="18.95" customHeight="1" x14ac:dyDescent="0.25">
      <c r="A71" s="186" t="s">
        <v>93</v>
      </c>
      <c r="B71" s="19"/>
      <c r="C71" s="20"/>
      <c r="D71" s="20"/>
      <c r="E71" s="20"/>
      <c r="F71" s="20"/>
      <c r="G71" s="168"/>
      <c r="H71" s="19">
        <v>0.1</v>
      </c>
      <c r="I71" s="20">
        <v>1630.2</v>
      </c>
      <c r="J71" s="20">
        <v>10</v>
      </c>
      <c r="K71" s="20">
        <f>ROUND(I71*J71/100,2)</f>
        <v>163.02000000000001</v>
      </c>
      <c r="L71" s="20">
        <f t="shared" ref="L71:L87" si="32">ROUND(K71*24.09/100,2)</f>
        <v>39.270000000000003</v>
      </c>
      <c r="M71" s="21">
        <f t="shared" ref="M71" si="33">K71+L71</f>
        <v>202.29000000000002</v>
      </c>
      <c r="N71" s="171"/>
      <c r="O71" s="20"/>
      <c r="P71" s="20"/>
      <c r="Q71" s="20"/>
      <c r="R71" s="20"/>
      <c r="S71" s="21"/>
      <c r="U71" s="28"/>
    </row>
    <row r="72" spans="1:21" ht="49.7" customHeight="1" x14ac:dyDescent="0.25">
      <c r="A72" s="18" t="s">
        <v>12</v>
      </c>
      <c r="B72" s="19"/>
      <c r="C72" s="20"/>
      <c r="D72" s="20"/>
      <c r="E72" s="20"/>
      <c r="F72" s="20"/>
      <c r="G72" s="168"/>
      <c r="H72" s="173">
        <f>SUM(H73:H77)</f>
        <v>0.5</v>
      </c>
      <c r="I72" s="169"/>
      <c r="J72" s="169"/>
      <c r="K72" s="30">
        <f>SUM(K73:K77)</f>
        <v>314.27999999999997</v>
      </c>
      <c r="L72" s="169">
        <f t="shared" ref="L72:M72" si="34">SUM(L73:L77)</f>
        <v>75.710000000000008</v>
      </c>
      <c r="M72" s="185">
        <f t="shared" si="34"/>
        <v>389.98999999999995</v>
      </c>
      <c r="N72" s="171"/>
      <c r="O72" s="20"/>
      <c r="P72" s="20"/>
      <c r="Q72" s="20"/>
      <c r="R72" s="20"/>
      <c r="S72" s="21"/>
      <c r="U72" s="28"/>
    </row>
    <row r="73" spans="1:21" ht="23.25" customHeight="1" x14ac:dyDescent="0.25">
      <c r="A73" s="172" t="s">
        <v>17</v>
      </c>
      <c r="B73" s="19"/>
      <c r="C73" s="20"/>
      <c r="D73" s="20"/>
      <c r="E73" s="20"/>
      <c r="F73" s="20"/>
      <c r="G73" s="168"/>
      <c r="H73" s="19">
        <v>0.1</v>
      </c>
      <c r="I73" s="20">
        <v>462.4</v>
      </c>
      <c r="J73" s="20">
        <v>10</v>
      </c>
      <c r="K73" s="20">
        <f>ROUND(I73*J73/100,2)</f>
        <v>46.24</v>
      </c>
      <c r="L73" s="20">
        <f t="shared" si="32"/>
        <v>11.14</v>
      </c>
      <c r="M73" s="21">
        <f t="shared" ref="M73:M77" si="35">K73+L73</f>
        <v>57.38</v>
      </c>
      <c r="N73" s="171"/>
      <c r="O73" s="20"/>
      <c r="P73" s="20"/>
      <c r="Q73" s="20"/>
      <c r="R73" s="20"/>
      <c r="S73" s="21"/>
      <c r="U73" s="28"/>
    </row>
    <row r="74" spans="1:21" ht="23.25" customHeight="1" x14ac:dyDescent="0.25">
      <c r="A74" s="172" t="s">
        <v>97</v>
      </c>
      <c r="B74" s="19"/>
      <c r="C74" s="20"/>
      <c r="D74" s="20"/>
      <c r="E74" s="20"/>
      <c r="F74" s="20"/>
      <c r="G74" s="168"/>
      <c r="H74" s="19">
        <v>0.1</v>
      </c>
      <c r="I74" s="20">
        <v>853.92</v>
      </c>
      <c r="J74" s="20">
        <v>10</v>
      </c>
      <c r="K74" s="20">
        <f>ROUND(I74*J74/100,2)</f>
        <v>85.39</v>
      </c>
      <c r="L74" s="20">
        <f t="shared" si="32"/>
        <v>20.57</v>
      </c>
      <c r="M74" s="21">
        <f t="shared" si="35"/>
        <v>105.96000000000001</v>
      </c>
      <c r="N74" s="171"/>
      <c r="O74" s="20"/>
      <c r="P74" s="20"/>
      <c r="Q74" s="20"/>
      <c r="R74" s="20"/>
      <c r="S74" s="21"/>
      <c r="U74" s="28"/>
    </row>
    <row r="75" spans="1:21" ht="23.25" customHeight="1" x14ac:dyDescent="0.25">
      <c r="A75" s="172" t="s">
        <v>97</v>
      </c>
      <c r="B75" s="19"/>
      <c r="C75" s="20"/>
      <c r="D75" s="20"/>
      <c r="E75" s="20"/>
      <c r="F75" s="20"/>
      <c r="G75" s="168"/>
      <c r="H75" s="19">
        <v>0.1</v>
      </c>
      <c r="I75" s="20">
        <v>948.8</v>
      </c>
      <c r="J75" s="20">
        <v>10</v>
      </c>
      <c r="K75" s="20">
        <f t="shared" ref="K75:K77" si="36">ROUND(I75*J75/100,2)</f>
        <v>94.88</v>
      </c>
      <c r="L75" s="20">
        <f t="shared" si="32"/>
        <v>22.86</v>
      </c>
      <c r="M75" s="21">
        <f t="shared" si="35"/>
        <v>117.74</v>
      </c>
      <c r="N75" s="171"/>
      <c r="O75" s="20"/>
      <c r="P75" s="20"/>
      <c r="Q75" s="20"/>
      <c r="R75" s="20"/>
      <c r="S75" s="21"/>
      <c r="U75" s="28"/>
    </row>
    <row r="76" spans="1:21" ht="23.25" customHeight="1" x14ac:dyDescent="0.25">
      <c r="A76" s="172" t="s">
        <v>97</v>
      </c>
      <c r="B76" s="19"/>
      <c r="C76" s="20"/>
      <c r="D76" s="20"/>
      <c r="E76" s="20"/>
      <c r="F76" s="20"/>
      <c r="G76" s="168"/>
      <c r="H76" s="19">
        <v>0.1</v>
      </c>
      <c r="I76" s="20">
        <v>545.55999999999995</v>
      </c>
      <c r="J76" s="20">
        <v>10</v>
      </c>
      <c r="K76" s="20">
        <f t="shared" si="36"/>
        <v>54.56</v>
      </c>
      <c r="L76" s="20">
        <f t="shared" si="32"/>
        <v>13.14</v>
      </c>
      <c r="M76" s="21">
        <f t="shared" si="35"/>
        <v>67.7</v>
      </c>
      <c r="N76" s="171"/>
      <c r="O76" s="20"/>
      <c r="P76" s="20"/>
      <c r="Q76" s="20"/>
      <c r="R76" s="20"/>
      <c r="S76" s="21"/>
      <c r="U76" s="28"/>
    </row>
    <row r="77" spans="1:21" x14ac:dyDescent="0.25">
      <c r="A77" s="172" t="s">
        <v>97</v>
      </c>
      <c r="B77" s="19"/>
      <c r="C77" s="20"/>
      <c r="D77" s="20"/>
      <c r="E77" s="20"/>
      <c r="F77" s="20"/>
      <c r="G77" s="168"/>
      <c r="H77" s="19">
        <v>0.1</v>
      </c>
      <c r="I77" s="20">
        <v>332.08</v>
      </c>
      <c r="J77" s="20">
        <v>10</v>
      </c>
      <c r="K77" s="20">
        <f t="shared" si="36"/>
        <v>33.21</v>
      </c>
      <c r="L77" s="20">
        <f t="shared" si="32"/>
        <v>8</v>
      </c>
      <c r="M77" s="21">
        <f t="shared" si="35"/>
        <v>41.21</v>
      </c>
      <c r="N77" s="171"/>
      <c r="O77" s="20"/>
      <c r="P77" s="20"/>
      <c r="Q77" s="20"/>
      <c r="R77" s="20"/>
      <c r="S77" s="21"/>
      <c r="U77" s="28"/>
    </row>
    <row r="78" spans="1:21" ht="64.5" customHeight="1" x14ac:dyDescent="0.25">
      <c r="A78" s="18" t="s">
        <v>13</v>
      </c>
      <c r="B78" s="19"/>
      <c r="C78" s="20"/>
      <c r="D78" s="20"/>
      <c r="E78" s="20"/>
      <c r="F78" s="20"/>
      <c r="G78" s="168"/>
      <c r="H78" s="173">
        <f>SUM(H79:H84)</f>
        <v>0.6</v>
      </c>
      <c r="I78" s="169"/>
      <c r="J78" s="169"/>
      <c r="K78" s="30">
        <f>SUM(K79:K84)</f>
        <v>274.31999999999994</v>
      </c>
      <c r="L78" s="169">
        <f t="shared" ref="L78:M78" si="37">SUM(L79:L84)</f>
        <v>66.079999999999984</v>
      </c>
      <c r="M78" s="185">
        <f t="shared" si="37"/>
        <v>340.4</v>
      </c>
      <c r="N78" s="171"/>
      <c r="O78" s="20"/>
      <c r="P78" s="20"/>
      <c r="Q78" s="20"/>
      <c r="R78" s="20"/>
      <c r="S78" s="21"/>
      <c r="U78" s="28"/>
    </row>
    <row r="79" spans="1:21" ht="27.75" customHeight="1" x14ac:dyDescent="0.25">
      <c r="A79" s="172" t="s">
        <v>98</v>
      </c>
      <c r="B79" s="19"/>
      <c r="C79" s="20"/>
      <c r="D79" s="20"/>
      <c r="E79" s="20"/>
      <c r="F79" s="20"/>
      <c r="G79" s="168"/>
      <c r="H79" s="19">
        <v>0.1</v>
      </c>
      <c r="I79" s="20">
        <v>548.64</v>
      </c>
      <c r="J79" s="20">
        <v>10</v>
      </c>
      <c r="K79" s="20">
        <f t="shared" ref="K79:K84" si="38">ROUND(I79*J79/100,2)</f>
        <v>54.86</v>
      </c>
      <c r="L79" s="20">
        <f t="shared" si="32"/>
        <v>13.22</v>
      </c>
      <c r="M79" s="21">
        <f t="shared" ref="M79:M84" si="39">K79+L79</f>
        <v>68.08</v>
      </c>
      <c r="N79" s="171"/>
      <c r="O79" s="20"/>
      <c r="P79" s="20"/>
      <c r="Q79" s="20"/>
      <c r="R79" s="20"/>
      <c r="S79" s="21"/>
      <c r="U79" s="28"/>
    </row>
    <row r="80" spans="1:21" ht="27.75" customHeight="1" x14ac:dyDescent="0.25">
      <c r="A80" s="172" t="s">
        <v>98</v>
      </c>
      <c r="B80" s="19"/>
      <c r="C80" s="20"/>
      <c r="D80" s="20"/>
      <c r="E80" s="20"/>
      <c r="F80" s="20"/>
      <c r="G80" s="168"/>
      <c r="H80" s="19">
        <v>0.1</v>
      </c>
      <c r="I80" s="20">
        <v>594.36</v>
      </c>
      <c r="J80" s="20">
        <v>10</v>
      </c>
      <c r="K80" s="20">
        <f t="shared" si="38"/>
        <v>59.44</v>
      </c>
      <c r="L80" s="20">
        <f t="shared" si="32"/>
        <v>14.32</v>
      </c>
      <c r="M80" s="21">
        <f t="shared" si="39"/>
        <v>73.759999999999991</v>
      </c>
      <c r="N80" s="171"/>
      <c r="O80" s="20"/>
      <c r="P80" s="20"/>
      <c r="Q80" s="20"/>
      <c r="R80" s="20"/>
      <c r="S80" s="21"/>
      <c r="U80" s="28"/>
    </row>
    <row r="81" spans="1:21" ht="27.75" customHeight="1" x14ac:dyDescent="0.25">
      <c r="A81" s="172" t="s">
        <v>98</v>
      </c>
      <c r="B81" s="19"/>
      <c r="C81" s="20"/>
      <c r="D81" s="20"/>
      <c r="E81" s="20"/>
      <c r="F81" s="20"/>
      <c r="G81" s="168"/>
      <c r="H81" s="19">
        <v>0.1</v>
      </c>
      <c r="I81" s="20">
        <v>396.24</v>
      </c>
      <c r="J81" s="20">
        <v>10</v>
      </c>
      <c r="K81" s="20">
        <f t="shared" si="38"/>
        <v>39.619999999999997</v>
      </c>
      <c r="L81" s="20">
        <f t="shared" si="32"/>
        <v>9.5399999999999991</v>
      </c>
      <c r="M81" s="21">
        <f t="shared" si="39"/>
        <v>49.16</v>
      </c>
      <c r="N81" s="171"/>
      <c r="O81" s="20"/>
      <c r="P81" s="20"/>
      <c r="Q81" s="20"/>
      <c r="R81" s="20"/>
      <c r="S81" s="21"/>
      <c r="U81" s="28"/>
    </row>
    <row r="82" spans="1:21" ht="27.75" customHeight="1" x14ac:dyDescent="0.25">
      <c r="A82" s="172" t="s">
        <v>98</v>
      </c>
      <c r="B82" s="19"/>
      <c r="C82" s="20"/>
      <c r="D82" s="20"/>
      <c r="E82" s="20"/>
      <c r="F82" s="20"/>
      <c r="G82" s="168"/>
      <c r="H82" s="19">
        <v>0.1</v>
      </c>
      <c r="I82" s="20">
        <v>350.52</v>
      </c>
      <c r="J82" s="20">
        <v>10</v>
      </c>
      <c r="K82" s="20">
        <f t="shared" si="38"/>
        <v>35.049999999999997</v>
      </c>
      <c r="L82" s="20">
        <f t="shared" si="32"/>
        <v>8.44</v>
      </c>
      <c r="M82" s="21">
        <f t="shared" si="39"/>
        <v>43.489999999999995</v>
      </c>
      <c r="N82" s="171"/>
      <c r="O82" s="20"/>
      <c r="P82" s="20"/>
      <c r="Q82" s="20"/>
      <c r="R82" s="20"/>
      <c r="S82" s="21"/>
      <c r="U82" s="28"/>
    </row>
    <row r="83" spans="1:21" x14ac:dyDescent="0.25">
      <c r="A83" s="172" t="s">
        <v>98</v>
      </c>
      <c r="B83" s="19"/>
      <c r="C83" s="20"/>
      <c r="D83" s="20"/>
      <c r="E83" s="20"/>
      <c r="F83" s="20"/>
      <c r="G83" s="168"/>
      <c r="H83" s="19">
        <v>0.1</v>
      </c>
      <c r="I83" s="20">
        <v>182.88</v>
      </c>
      <c r="J83" s="20">
        <v>10</v>
      </c>
      <c r="K83" s="20">
        <f t="shared" si="38"/>
        <v>18.29</v>
      </c>
      <c r="L83" s="20">
        <f t="shared" si="32"/>
        <v>4.41</v>
      </c>
      <c r="M83" s="21">
        <f t="shared" si="39"/>
        <v>22.7</v>
      </c>
      <c r="N83" s="171"/>
      <c r="O83" s="20"/>
      <c r="P83" s="20"/>
      <c r="Q83" s="20"/>
      <c r="R83" s="20"/>
      <c r="S83" s="21"/>
      <c r="U83" s="28"/>
    </row>
    <row r="84" spans="1:21" x14ac:dyDescent="0.25">
      <c r="A84" s="172" t="s">
        <v>98</v>
      </c>
      <c r="B84" s="19"/>
      <c r="C84" s="20"/>
      <c r="D84" s="20"/>
      <c r="E84" s="20"/>
      <c r="F84" s="20"/>
      <c r="G84" s="168"/>
      <c r="H84" s="19">
        <v>0.1</v>
      </c>
      <c r="I84" s="20">
        <v>670.56</v>
      </c>
      <c r="J84" s="20">
        <v>10</v>
      </c>
      <c r="K84" s="20">
        <f t="shared" si="38"/>
        <v>67.06</v>
      </c>
      <c r="L84" s="20">
        <f t="shared" si="32"/>
        <v>16.149999999999999</v>
      </c>
      <c r="M84" s="21">
        <f t="shared" si="39"/>
        <v>83.210000000000008</v>
      </c>
      <c r="N84" s="171"/>
      <c r="O84" s="20"/>
      <c r="P84" s="20"/>
      <c r="Q84" s="20"/>
      <c r="R84" s="20"/>
      <c r="S84" s="21"/>
      <c r="U84" s="28"/>
    </row>
    <row r="85" spans="1:21" ht="37.5" customHeight="1" x14ac:dyDescent="0.25">
      <c r="A85" s="18" t="s">
        <v>11</v>
      </c>
      <c r="B85" s="19"/>
      <c r="C85" s="20"/>
      <c r="D85" s="20"/>
      <c r="E85" s="20"/>
      <c r="F85" s="20"/>
      <c r="G85" s="168"/>
      <c r="H85" s="173">
        <f>H86+H87</f>
        <v>0.2</v>
      </c>
      <c r="I85" s="169"/>
      <c r="J85" s="169"/>
      <c r="K85" s="30">
        <f>K86+K87</f>
        <v>117.65</v>
      </c>
      <c r="L85" s="169">
        <f t="shared" ref="L85:M85" si="40">L86+L87</f>
        <v>28.34</v>
      </c>
      <c r="M85" s="185">
        <f t="shared" si="40"/>
        <v>145.99</v>
      </c>
      <c r="N85" s="171"/>
      <c r="O85" s="20"/>
      <c r="P85" s="20"/>
      <c r="Q85" s="20"/>
      <c r="R85" s="20"/>
      <c r="S85" s="21"/>
      <c r="U85" s="28"/>
    </row>
    <row r="86" spans="1:21" x14ac:dyDescent="0.25">
      <c r="A86" s="172" t="s">
        <v>100</v>
      </c>
      <c r="B86" s="19"/>
      <c r="C86" s="20"/>
      <c r="D86" s="20"/>
      <c r="E86" s="20"/>
      <c r="F86" s="20"/>
      <c r="G86" s="168"/>
      <c r="H86" s="19">
        <v>0.1</v>
      </c>
      <c r="I86" s="20">
        <v>601.91999999999996</v>
      </c>
      <c r="J86" s="20">
        <v>10</v>
      </c>
      <c r="K86" s="20">
        <f t="shared" ref="K86:K87" si="41">ROUND(I86*J86/100,2)</f>
        <v>60.19</v>
      </c>
      <c r="L86" s="20">
        <f t="shared" si="32"/>
        <v>14.5</v>
      </c>
      <c r="M86" s="21">
        <f t="shared" ref="M86:M87" si="42">K86+L86</f>
        <v>74.69</v>
      </c>
      <c r="N86" s="171"/>
      <c r="O86" s="20"/>
      <c r="P86" s="20"/>
      <c r="Q86" s="20"/>
      <c r="R86" s="20"/>
      <c r="S86" s="21"/>
      <c r="U86" s="28"/>
    </row>
    <row r="87" spans="1:21" ht="17.25" thickBot="1" x14ac:dyDescent="0.3">
      <c r="A87" s="172" t="s">
        <v>100</v>
      </c>
      <c r="B87" s="22"/>
      <c r="C87" s="23"/>
      <c r="D87" s="23"/>
      <c r="E87" s="23"/>
      <c r="F87" s="23"/>
      <c r="G87" s="183"/>
      <c r="H87" s="22">
        <v>0.1</v>
      </c>
      <c r="I87" s="180">
        <v>574.55999999999995</v>
      </c>
      <c r="J87" s="180">
        <v>10</v>
      </c>
      <c r="K87" s="180">
        <f t="shared" si="41"/>
        <v>57.46</v>
      </c>
      <c r="L87" s="180">
        <f t="shared" si="32"/>
        <v>13.84</v>
      </c>
      <c r="M87" s="21">
        <f t="shared" si="42"/>
        <v>71.3</v>
      </c>
      <c r="N87" s="171"/>
      <c r="O87" s="23"/>
      <c r="P87" s="23"/>
      <c r="Q87" s="23"/>
      <c r="R87" s="23"/>
      <c r="S87" s="24"/>
      <c r="U87" s="28"/>
    </row>
    <row r="88" spans="1:21" s="1" customFormat="1" ht="24" customHeight="1" x14ac:dyDescent="0.25">
      <c r="A88" s="14" t="s">
        <v>105</v>
      </c>
      <c r="B88" s="15"/>
      <c r="C88" s="16"/>
      <c r="D88" s="16"/>
      <c r="E88" s="16"/>
      <c r="F88" s="16"/>
      <c r="G88" s="166"/>
      <c r="H88" s="176">
        <f>H98</f>
        <v>1.0999999999999999</v>
      </c>
      <c r="I88" s="177">
        <f t="shared" ref="I88:M88" si="43">I98</f>
        <v>0</v>
      </c>
      <c r="J88" s="177">
        <f t="shared" si="43"/>
        <v>0</v>
      </c>
      <c r="K88" s="177">
        <f t="shared" si="43"/>
        <v>2116.7799999999997</v>
      </c>
      <c r="L88" s="177">
        <f t="shared" si="43"/>
        <v>509.93000000000006</v>
      </c>
      <c r="M88" s="178">
        <f t="shared" si="43"/>
        <v>2626.71</v>
      </c>
      <c r="N88" s="194"/>
      <c r="O88" s="16"/>
      <c r="P88" s="16"/>
      <c r="Q88" s="16"/>
      <c r="R88" s="16"/>
      <c r="S88" s="17"/>
      <c r="T88" s="2"/>
      <c r="U88" s="28"/>
    </row>
    <row r="89" spans="1:21" ht="59.25" customHeight="1" x14ac:dyDescent="0.25">
      <c r="A89" s="18" t="s">
        <v>14</v>
      </c>
      <c r="B89" s="19"/>
      <c r="C89" s="20"/>
      <c r="D89" s="20"/>
      <c r="E89" s="20"/>
      <c r="F89" s="20"/>
      <c r="G89" s="168"/>
      <c r="H89" s="174"/>
      <c r="I89" s="20"/>
      <c r="J89" s="20"/>
      <c r="K89" s="20"/>
      <c r="L89" s="20"/>
      <c r="M89" s="187"/>
      <c r="N89" s="171"/>
      <c r="O89" s="20"/>
      <c r="P89" s="20"/>
      <c r="Q89" s="20"/>
      <c r="R89" s="20"/>
      <c r="S89" s="21"/>
      <c r="U89" s="28"/>
    </row>
    <row r="90" spans="1:21" ht="1.5" hidden="1" customHeight="1" x14ac:dyDescent="0.25">
      <c r="A90" s="18" t="s">
        <v>1</v>
      </c>
      <c r="B90" s="19"/>
      <c r="C90" s="20"/>
      <c r="D90" s="20"/>
      <c r="E90" s="20"/>
      <c r="F90" s="20"/>
      <c r="G90" s="168"/>
      <c r="H90" s="19"/>
      <c r="I90" s="20"/>
      <c r="J90" s="20"/>
      <c r="K90" s="20"/>
      <c r="L90" s="20"/>
      <c r="M90" s="21"/>
      <c r="N90" s="171"/>
      <c r="O90" s="20"/>
      <c r="P90" s="20"/>
      <c r="Q90" s="20"/>
      <c r="R90" s="20"/>
      <c r="S90" s="21"/>
      <c r="U90" s="28"/>
    </row>
    <row r="91" spans="1:21" ht="19.5" hidden="1" customHeight="1" x14ac:dyDescent="0.25">
      <c r="A91" s="18" t="s">
        <v>1</v>
      </c>
      <c r="B91" s="19"/>
      <c r="C91" s="20"/>
      <c r="D91" s="20"/>
      <c r="E91" s="20"/>
      <c r="F91" s="20"/>
      <c r="G91" s="168"/>
      <c r="H91" s="19"/>
      <c r="I91" s="20"/>
      <c r="J91" s="20"/>
      <c r="K91" s="20"/>
      <c r="L91" s="20"/>
      <c r="M91" s="21"/>
      <c r="N91" s="171"/>
      <c r="O91" s="20"/>
      <c r="P91" s="20"/>
      <c r="Q91" s="20"/>
      <c r="R91" s="20"/>
      <c r="S91" s="21"/>
      <c r="U91" s="28"/>
    </row>
    <row r="92" spans="1:21" ht="48.75" customHeight="1" x14ac:dyDescent="0.25">
      <c r="A92" s="18" t="s">
        <v>12</v>
      </c>
      <c r="B92" s="19"/>
      <c r="C92" s="20"/>
      <c r="D92" s="20"/>
      <c r="E92" s="20"/>
      <c r="F92" s="20"/>
      <c r="G92" s="168"/>
      <c r="H92" s="19"/>
      <c r="I92" s="20"/>
      <c r="J92" s="20"/>
      <c r="K92" s="20"/>
      <c r="L92" s="20"/>
      <c r="M92" s="21"/>
      <c r="N92" s="171"/>
      <c r="O92" s="20"/>
      <c r="P92" s="20"/>
      <c r="Q92" s="20"/>
      <c r="R92" s="20"/>
      <c r="S92" s="21"/>
      <c r="U92" s="28"/>
    </row>
    <row r="93" spans="1:21" hidden="1" x14ac:dyDescent="0.25">
      <c r="A93" s="18" t="s">
        <v>1</v>
      </c>
      <c r="B93" s="19"/>
      <c r="C93" s="20"/>
      <c r="D93" s="20"/>
      <c r="E93" s="20"/>
      <c r="F93" s="20"/>
      <c r="G93" s="168"/>
      <c r="H93" s="19"/>
      <c r="I93" s="20"/>
      <c r="J93" s="20"/>
      <c r="K93" s="20"/>
      <c r="L93" s="20"/>
      <c r="M93" s="21"/>
      <c r="N93" s="171"/>
      <c r="O93" s="20"/>
      <c r="P93" s="20"/>
      <c r="Q93" s="20"/>
      <c r="R93" s="20"/>
      <c r="S93" s="21"/>
      <c r="U93" s="28"/>
    </row>
    <row r="94" spans="1:21" hidden="1" x14ac:dyDescent="0.25">
      <c r="A94" s="18" t="s">
        <v>1</v>
      </c>
      <c r="B94" s="19"/>
      <c r="C94" s="20"/>
      <c r="D94" s="20"/>
      <c r="E94" s="20"/>
      <c r="F94" s="20"/>
      <c r="G94" s="168"/>
      <c r="H94" s="19"/>
      <c r="I94" s="20"/>
      <c r="J94" s="20"/>
      <c r="K94" s="20"/>
      <c r="L94" s="20"/>
      <c r="M94" s="21"/>
      <c r="N94" s="171"/>
      <c r="O94" s="20"/>
      <c r="P94" s="20"/>
      <c r="Q94" s="20"/>
      <c r="R94" s="20"/>
      <c r="S94" s="21"/>
      <c r="U94" s="28"/>
    </row>
    <row r="95" spans="1:21" ht="64.5" customHeight="1" x14ac:dyDescent="0.25">
      <c r="A95" s="18" t="s">
        <v>13</v>
      </c>
      <c r="B95" s="19"/>
      <c r="C95" s="20"/>
      <c r="D95" s="20"/>
      <c r="E95" s="20"/>
      <c r="F95" s="20"/>
      <c r="G95" s="168"/>
      <c r="H95" s="19"/>
      <c r="I95" s="20"/>
      <c r="J95" s="20"/>
      <c r="K95" s="20"/>
      <c r="L95" s="20"/>
      <c r="M95" s="21"/>
      <c r="N95" s="171"/>
      <c r="O95" s="20"/>
      <c r="P95" s="20"/>
      <c r="Q95" s="20"/>
      <c r="R95" s="20"/>
      <c r="S95" s="21"/>
      <c r="U95" s="28"/>
    </row>
    <row r="96" spans="1:21" ht="0.75" customHeight="1" x14ac:dyDescent="0.25">
      <c r="A96" s="18" t="s">
        <v>1</v>
      </c>
      <c r="B96" s="19"/>
      <c r="C96" s="20"/>
      <c r="D96" s="20"/>
      <c r="E96" s="20"/>
      <c r="F96" s="20"/>
      <c r="G96" s="168"/>
      <c r="H96" s="19"/>
      <c r="I96" s="20"/>
      <c r="J96" s="20"/>
      <c r="K96" s="20"/>
      <c r="L96" s="20"/>
      <c r="M96" s="21"/>
      <c r="N96" s="171"/>
      <c r="O96" s="20"/>
      <c r="P96" s="20"/>
      <c r="Q96" s="20"/>
      <c r="R96" s="20"/>
      <c r="S96" s="21"/>
      <c r="U96" s="28"/>
    </row>
    <row r="97" spans="1:21" hidden="1" x14ac:dyDescent="0.25">
      <c r="A97" s="18" t="s">
        <v>1</v>
      </c>
      <c r="B97" s="19"/>
      <c r="C97" s="20"/>
      <c r="D97" s="20"/>
      <c r="E97" s="20"/>
      <c r="F97" s="20"/>
      <c r="G97" s="168"/>
      <c r="H97" s="19"/>
      <c r="I97" s="20"/>
      <c r="J97" s="20"/>
      <c r="K97" s="20"/>
      <c r="L97" s="20"/>
      <c r="M97" s="21"/>
      <c r="N97" s="171"/>
      <c r="O97" s="20"/>
      <c r="P97" s="20"/>
      <c r="Q97" s="20"/>
      <c r="R97" s="20"/>
      <c r="S97" s="21"/>
      <c r="U97" s="28"/>
    </row>
    <row r="98" spans="1:21" ht="37.5" customHeight="1" x14ac:dyDescent="0.25">
      <c r="A98" s="18" t="s">
        <v>11</v>
      </c>
      <c r="B98" s="19"/>
      <c r="C98" s="20"/>
      <c r="D98" s="20"/>
      <c r="E98" s="20"/>
      <c r="F98" s="20"/>
      <c r="G98" s="168"/>
      <c r="H98" s="173">
        <f>SUM(H99:H109)</f>
        <v>1.0999999999999999</v>
      </c>
      <c r="I98" s="169"/>
      <c r="J98" s="169"/>
      <c r="K98" s="30">
        <f>SUM(K99:K109)</f>
        <v>2116.7799999999997</v>
      </c>
      <c r="L98" s="169">
        <f t="shared" ref="L98:M98" si="44">SUM(L99:L109)</f>
        <v>509.93000000000006</v>
      </c>
      <c r="M98" s="185">
        <f t="shared" si="44"/>
        <v>2626.71</v>
      </c>
      <c r="N98" s="171"/>
      <c r="O98" s="20"/>
      <c r="P98" s="20"/>
      <c r="Q98" s="20"/>
      <c r="R98" s="20"/>
      <c r="S98" s="21"/>
      <c r="U98" s="28"/>
    </row>
    <row r="99" spans="1:21" x14ac:dyDescent="0.25">
      <c r="A99" s="172" t="s">
        <v>106</v>
      </c>
      <c r="B99" s="19"/>
      <c r="C99" s="20"/>
      <c r="D99" s="20"/>
      <c r="E99" s="20"/>
      <c r="F99" s="20"/>
      <c r="G99" s="168"/>
      <c r="H99" s="19">
        <v>0.1</v>
      </c>
      <c r="I99" s="20">
        <v>2580.4</v>
      </c>
      <c r="J99" s="20">
        <v>15</v>
      </c>
      <c r="K99" s="20">
        <f t="shared" ref="K99:K109" si="45">ROUND(I99*J99/100,2)</f>
        <v>387.06</v>
      </c>
      <c r="L99" s="20">
        <f t="shared" ref="L99:L109" si="46">ROUND(K99*24.09/100,2)</f>
        <v>93.24</v>
      </c>
      <c r="M99" s="21">
        <f t="shared" ref="M99:M109" si="47">K99+L99</f>
        <v>480.3</v>
      </c>
      <c r="N99" s="171"/>
      <c r="O99" s="20"/>
      <c r="P99" s="20"/>
      <c r="Q99" s="20"/>
      <c r="R99" s="20"/>
      <c r="S99" s="21"/>
      <c r="U99" s="28"/>
    </row>
    <row r="100" spans="1:21" x14ac:dyDescent="0.25">
      <c r="A100" s="172" t="s">
        <v>107</v>
      </c>
      <c r="B100" s="179"/>
      <c r="C100" s="180"/>
      <c r="D100" s="180"/>
      <c r="E100" s="180"/>
      <c r="F100" s="180"/>
      <c r="G100" s="181"/>
      <c r="H100" s="19">
        <v>0.1</v>
      </c>
      <c r="I100" s="180">
        <v>1600</v>
      </c>
      <c r="J100" s="180">
        <v>15</v>
      </c>
      <c r="K100" s="20">
        <f t="shared" si="45"/>
        <v>240</v>
      </c>
      <c r="L100" s="20">
        <f t="shared" si="46"/>
        <v>57.82</v>
      </c>
      <c r="M100" s="21">
        <f t="shared" si="47"/>
        <v>297.82</v>
      </c>
      <c r="N100" s="171"/>
      <c r="O100" s="180"/>
      <c r="P100" s="180"/>
      <c r="Q100" s="180"/>
      <c r="R100" s="180"/>
      <c r="S100" s="182"/>
      <c r="U100" s="28"/>
    </row>
    <row r="101" spans="1:21" x14ac:dyDescent="0.25">
      <c r="A101" s="172" t="s">
        <v>108</v>
      </c>
      <c r="B101" s="179"/>
      <c r="C101" s="180"/>
      <c r="D101" s="180"/>
      <c r="E101" s="180"/>
      <c r="F101" s="180"/>
      <c r="G101" s="181"/>
      <c r="H101" s="19">
        <v>0.1</v>
      </c>
      <c r="I101" s="180">
        <v>1800</v>
      </c>
      <c r="J101" s="180">
        <v>10</v>
      </c>
      <c r="K101" s="20">
        <f t="shared" si="45"/>
        <v>180</v>
      </c>
      <c r="L101" s="20">
        <f t="shared" si="46"/>
        <v>43.36</v>
      </c>
      <c r="M101" s="21">
        <f t="shared" si="47"/>
        <v>223.36</v>
      </c>
      <c r="N101" s="171"/>
      <c r="O101" s="180"/>
      <c r="P101" s="180"/>
      <c r="Q101" s="180"/>
      <c r="R101" s="180"/>
      <c r="S101" s="182"/>
      <c r="U101" s="28"/>
    </row>
    <row r="102" spans="1:21" x14ac:dyDescent="0.25">
      <c r="A102" s="172" t="s">
        <v>109</v>
      </c>
      <c r="B102" s="179"/>
      <c r="C102" s="180"/>
      <c r="D102" s="180"/>
      <c r="E102" s="180"/>
      <c r="F102" s="180"/>
      <c r="G102" s="181"/>
      <c r="H102" s="19">
        <v>0.1</v>
      </c>
      <c r="I102" s="180">
        <v>2700</v>
      </c>
      <c r="J102" s="180">
        <v>10</v>
      </c>
      <c r="K102" s="20">
        <f t="shared" si="45"/>
        <v>270</v>
      </c>
      <c r="L102" s="20">
        <f t="shared" si="46"/>
        <v>65.040000000000006</v>
      </c>
      <c r="M102" s="21">
        <f t="shared" si="47"/>
        <v>335.04</v>
      </c>
      <c r="N102" s="171"/>
      <c r="O102" s="180"/>
      <c r="P102" s="180"/>
      <c r="Q102" s="180"/>
      <c r="R102" s="180"/>
      <c r="S102" s="182"/>
      <c r="U102" s="28"/>
    </row>
    <row r="103" spans="1:21" x14ac:dyDescent="0.25">
      <c r="A103" s="172" t="s">
        <v>110</v>
      </c>
      <c r="B103" s="179"/>
      <c r="C103" s="180"/>
      <c r="D103" s="180"/>
      <c r="E103" s="180"/>
      <c r="F103" s="180"/>
      <c r="G103" s="181"/>
      <c r="H103" s="19">
        <v>0.1</v>
      </c>
      <c r="I103" s="180">
        <v>2750</v>
      </c>
      <c r="J103" s="180">
        <v>10</v>
      </c>
      <c r="K103" s="20">
        <f t="shared" si="45"/>
        <v>275</v>
      </c>
      <c r="L103" s="20">
        <f t="shared" si="46"/>
        <v>66.25</v>
      </c>
      <c r="M103" s="21">
        <f t="shared" si="47"/>
        <v>341.25</v>
      </c>
      <c r="N103" s="171"/>
      <c r="O103" s="180"/>
      <c r="P103" s="180"/>
      <c r="Q103" s="180"/>
      <c r="R103" s="180"/>
      <c r="S103" s="182"/>
      <c r="U103" s="28"/>
    </row>
    <row r="104" spans="1:21" x14ac:dyDescent="0.25">
      <c r="A104" s="172" t="s">
        <v>111</v>
      </c>
      <c r="B104" s="179"/>
      <c r="C104" s="180"/>
      <c r="D104" s="180"/>
      <c r="E104" s="180"/>
      <c r="F104" s="180"/>
      <c r="G104" s="181"/>
      <c r="H104" s="19">
        <v>0.1</v>
      </c>
      <c r="I104" s="180">
        <v>1470</v>
      </c>
      <c r="J104" s="180">
        <v>10</v>
      </c>
      <c r="K104" s="20">
        <f t="shared" si="45"/>
        <v>147</v>
      </c>
      <c r="L104" s="20">
        <f t="shared" si="46"/>
        <v>35.409999999999997</v>
      </c>
      <c r="M104" s="21">
        <f t="shared" si="47"/>
        <v>182.41</v>
      </c>
      <c r="N104" s="171"/>
      <c r="O104" s="180"/>
      <c r="P104" s="180"/>
      <c r="Q104" s="180"/>
      <c r="R104" s="180"/>
      <c r="S104" s="182"/>
      <c r="U104" s="28"/>
    </row>
    <row r="105" spans="1:21" x14ac:dyDescent="0.25">
      <c r="A105" s="172" t="s">
        <v>112</v>
      </c>
      <c r="B105" s="179"/>
      <c r="C105" s="180"/>
      <c r="D105" s="180"/>
      <c r="E105" s="180"/>
      <c r="F105" s="180"/>
      <c r="G105" s="181"/>
      <c r="H105" s="19">
        <v>0.1</v>
      </c>
      <c r="I105" s="180">
        <v>1350</v>
      </c>
      <c r="J105" s="180">
        <v>10</v>
      </c>
      <c r="K105" s="20">
        <f t="shared" si="45"/>
        <v>135</v>
      </c>
      <c r="L105" s="20">
        <f t="shared" si="46"/>
        <v>32.520000000000003</v>
      </c>
      <c r="M105" s="21">
        <f t="shared" si="47"/>
        <v>167.52</v>
      </c>
      <c r="N105" s="171"/>
      <c r="O105" s="180"/>
      <c r="P105" s="180"/>
      <c r="Q105" s="180"/>
      <c r="R105" s="180"/>
      <c r="S105" s="182"/>
      <c r="U105" s="28"/>
    </row>
    <row r="106" spans="1:21" x14ac:dyDescent="0.25">
      <c r="A106" s="172" t="s">
        <v>113</v>
      </c>
      <c r="B106" s="179"/>
      <c r="C106" s="180"/>
      <c r="D106" s="180"/>
      <c r="E106" s="180"/>
      <c r="F106" s="180"/>
      <c r="G106" s="181"/>
      <c r="H106" s="19">
        <v>0.1</v>
      </c>
      <c r="I106" s="180">
        <v>1125.3</v>
      </c>
      <c r="J106" s="180">
        <v>10</v>
      </c>
      <c r="K106" s="20">
        <f t="shared" si="45"/>
        <v>112.53</v>
      </c>
      <c r="L106" s="20">
        <f t="shared" si="46"/>
        <v>27.11</v>
      </c>
      <c r="M106" s="21">
        <f t="shared" si="47"/>
        <v>139.63999999999999</v>
      </c>
      <c r="N106" s="171"/>
      <c r="O106" s="180"/>
      <c r="P106" s="180"/>
      <c r="Q106" s="180"/>
      <c r="R106" s="180"/>
      <c r="S106" s="182"/>
      <c r="U106" s="28"/>
    </row>
    <row r="107" spans="1:21" x14ac:dyDescent="0.25">
      <c r="A107" s="188" t="s">
        <v>114</v>
      </c>
      <c r="B107" s="179"/>
      <c r="C107" s="180"/>
      <c r="D107" s="180"/>
      <c r="E107" s="180"/>
      <c r="F107" s="180"/>
      <c r="G107" s="181"/>
      <c r="H107" s="19">
        <v>0.1</v>
      </c>
      <c r="I107" s="180">
        <v>901.9</v>
      </c>
      <c r="J107" s="180">
        <v>10</v>
      </c>
      <c r="K107" s="20">
        <f t="shared" si="45"/>
        <v>90.19</v>
      </c>
      <c r="L107" s="20">
        <f t="shared" si="46"/>
        <v>21.73</v>
      </c>
      <c r="M107" s="21">
        <f t="shared" si="47"/>
        <v>111.92</v>
      </c>
      <c r="N107" s="171"/>
      <c r="O107" s="180"/>
      <c r="P107" s="180"/>
      <c r="Q107" s="180"/>
      <c r="R107" s="180"/>
      <c r="S107" s="182"/>
      <c r="U107" s="28"/>
    </row>
    <row r="108" spans="1:21" x14ac:dyDescent="0.25">
      <c r="A108" s="172" t="s">
        <v>115</v>
      </c>
      <c r="B108" s="179"/>
      <c r="C108" s="180"/>
      <c r="D108" s="180"/>
      <c r="E108" s="180"/>
      <c r="F108" s="180"/>
      <c r="G108" s="181"/>
      <c r="H108" s="19">
        <v>0.1</v>
      </c>
      <c r="I108" s="180">
        <v>1600</v>
      </c>
      <c r="J108" s="180">
        <v>10</v>
      </c>
      <c r="K108" s="20">
        <f t="shared" si="45"/>
        <v>160</v>
      </c>
      <c r="L108" s="20">
        <f t="shared" si="46"/>
        <v>38.54</v>
      </c>
      <c r="M108" s="21">
        <f t="shared" si="47"/>
        <v>198.54</v>
      </c>
      <c r="N108" s="171"/>
      <c r="O108" s="180"/>
      <c r="P108" s="180"/>
      <c r="Q108" s="180"/>
      <c r="R108" s="180"/>
      <c r="S108" s="182"/>
      <c r="U108" s="28"/>
    </row>
    <row r="109" spans="1:21" x14ac:dyDescent="0.25">
      <c r="A109" s="172" t="s">
        <v>116</v>
      </c>
      <c r="B109" s="179"/>
      <c r="C109" s="180"/>
      <c r="D109" s="180"/>
      <c r="E109" s="180"/>
      <c r="F109" s="180"/>
      <c r="G109" s="181"/>
      <c r="H109" s="19">
        <v>0.1</v>
      </c>
      <c r="I109" s="180">
        <v>1200</v>
      </c>
      <c r="J109" s="180">
        <v>10</v>
      </c>
      <c r="K109" s="20">
        <f t="shared" si="45"/>
        <v>120</v>
      </c>
      <c r="L109" s="20">
        <f t="shared" si="46"/>
        <v>28.91</v>
      </c>
      <c r="M109" s="21">
        <f t="shared" si="47"/>
        <v>148.91</v>
      </c>
      <c r="N109" s="171"/>
      <c r="O109" s="180"/>
      <c r="P109" s="180"/>
      <c r="Q109" s="180"/>
      <c r="R109" s="180"/>
      <c r="S109" s="182"/>
      <c r="U109" s="28"/>
    </row>
    <row r="110" spans="1:21" s="1" customFormat="1" ht="24" customHeight="1" x14ac:dyDescent="0.25">
      <c r="A110" s="14" t="s">
        <v>117</v>
      </c>
      <c r="B110" s="15"/>
      <c r="C110" s="16"/>
      <c r="D110" s="16"/>
      <c r="E110" s="16"/>
      <c r="F110" s="16"/>
      <c r="G110" s="166"/>
      <c r="H110" s="176">
        <f>H120</f>
        <v>0.79999999999999993</v>
      </c>
      <c r="I110" s="177">
        <f t="shared" ref="I110:M110" si="48">I120</f>
        <v>0</v>
      </c>
      <c r="J110" s="177">
        <f t="shared" si="48"/>
        <v>0</v>
      </c>
      <c r="K110" s="177">
        <f t="shared" si="48"/>
        <v>649</v>
      </c>
      <c r="L110" s="177">
        <f t="shared" si="48"/>
        <v>156.33000000000001</v>
      </c>
      <c r="M110" s="178">
        <f t="shared" si="48"/>
        <v>805.33</v>
      </c>
      <c r="N110" s="194"/>
      <c r="O110" s="16"/>
      <c r="P110" s="16"/>
      <c r="Q110" s="16"/>
      <c r="R110" s="16"/>
      <c r="S110" s="17"/>
      <c r="T110" s="2"/>
      <c r="U110" s="28"/>
    </row>
    <row r="111" spans="1:21" ht="59.25" customHeight="1" x14ac:dyDescent="0.25">
      <c r="A111" s="18" t="s">
        <v>14</v>
      </c>
      <c r="B111" s="19"/>
      <c r="C111" s="20"/>
      <c r="D111" s="20"/>
      <c r="E111" s="20"/>
      <c r="F111" s="20"/>
      <c r="G111" s="168"/>
      <c r="H111" s="19"/>
      <c r="I111" s="20"/>
      <c r="J111" s="20"/>
      <c r="K111" s="20"/>
      <c r="L111" s="20"/>
      <c r="M111" s="21"/>
      <c r="N111" s="171"/>
      <c r="O111" s="20"/>
      <c r="P111" s="20"/>
      <c r="Q111" s="20"/>
      <c r="R111" s="20"/>
      <c r="S111" s="21"/>
      <c r="U111" s="28"/>
    </row>
    <row r="112" spans="1:21" ht="1.5" hidden="1" customHeight="1" x14ac:dyDescent="0.25">
      <c r="A112" s="18" t="s">
        <v>1</v>
      </c>
      <c r="B112" s="19"/>
      <c r="C112" s="20"/>
      <c r="D112" s="20"/>
      <c r="E112" s="20"/>
      <c r="F112" s="20"/>
      <c r="G112" s="168"/>
      <c r="H112" s="19"/>
      <c r="I112" s="20"/>
      <c r="J112" s="20"/>
      <c r="K112" s="20"/>
      <c r="L112" s="20"/>
      <c r="M112" s="21"/>
      <c r="N112" s="171"/>
      <c r="O112" s="20"/>
      <c r="P112" s="20"/>
      <c r="Q112" s="20"/>
      <c r="R112" s="20"/>
      <c r="S112" s="21"/>
      <c r="U112" s="28"/>
    </row>
    <row r="113" spans="1:21" ht="19.5" hidden="1" customHeight="1" x14ac:dyDescent="0.25">
      <c r="A113" s="18" t="s">
        <v>1</v>
      </c>
      <c r="B113" s="19"/>
      <c r="C113" s="20"/>
      <c r="D113" s="20"/>
      <c r="E113" s="20"/>
      <c r="F113" s="20"/>
      <c r="G113" s="168"/>
      <c r="H113" s="19"/>
      <c r="I113" s="20"/>
      <c r="J113" s="20"/>
      <c r="K113" s="20"/>
      <c r="L113" s="20"/>
      <c r="M113" s="21"/>
      <c r="N113" s="171"/>
      <c r="O113" s="20"/>
      <c r="P113" s="20"/>
      <c r="Q113" s="20"/>
      <c r="R113" s="20"/>
      <c r="S113" s="21"/>
      <c r="U113" s="28"/>
    </row>
    <row r="114" spans="1:21" ht="48.75" customHeight="1" x14ac:dyDescent="0.25">
      <c r="A114" s="18" t="s">
        <v>12</v>
      </c>
      <c r="B114" s="19"/>
      <c r="C114" s="20"/>
      <c r="D114" s="20"/>
      <c r="E114" s="20"/>
      <c r="F114" s="20"/>
      <c r="G114" s="168"/>
      <c r="H114" s="19"/>
      <c r="I114" s="20"/>
      <c r="J114" s="20"/>
      <c r="K114" s="20"/>
      <c r="L114" s="20"/>
      <c r="M114" s="21"/>
      <c r="N114" s="171"/>
      <c r="O114" s="20"/>
      <c r="P114" s="20"/>
      <c r="Q114" s="20"/>
      <c r="R114" s="20"/>
      <c r="S114" s="21"/>
      <c r="U114" s="28"/>
    </row>
    <row r="115" spans="1:21" hidden="1" x14ac:dyDescent="0.25">
      <c r="A115" s="18" t="s">
        <v>1</v>
      </c>
      <c r="B115" s="19"/>
      <c r="C115" s="20"/>
      <c r="D115" s="20"/>
      <c r="E115" s="20"/>
      <c r="F115" s="20"/>
      <c r="G115" s="168"/>
      <c r="H115" s="19"/>
      <c r="I115" s="20"/>
      <c r="J115" s="20"/>
      <c r="K115" s="20"/>
      <c r="L115" s="20"/>
      <c r="M115" s="21"/>
      <c r="N115" s="171"/>
      <c r="O115" s="20"/>
      <c r="P115" s="20"/>
      <c r="Q115" s="20"/>
      <c r="R115" s="20"/>
      <c r="S115" s="21"/>
      <c r="U115" s="28"/>
    </row>
    <row r="116" spans="1:21" hidden="1" x14ac:dyDescent="0.25">
      <c r="A116" s="18" t="s">
        <v>1</v>
      </c>
      <c r="B116" s="19"/>
      <c r="C116" s="20"/>
      <c r="D116" s="20"/>
      <c r="E116" s="20"/>
      <c r="F116" s="20"/>
      <c r="G116" s="168"/>
      <c r="H116" s="19"/>
      <c r="I116" s="20"/>
      <c r="J116" s="20"/>
      <c r="K116" s="20"/>
      <c r="L116" s="20"/>
      <c r="M116" s="21"/>
      <c r="N116" s="171"/>
      <c r="O116" s="20"/>
      <c r="P116" s="20"/>
      <c r="Q116" s="20"/>
      <c r="R116" s="20"/>
      <c r="S116" s="21"/>
      <c r="U116" s="28"/>
    </row>
    <row r="117" spans="1:21" ht="64.5" customHeight="1" x14ac:dyDescent="0.25">
      <c r="A117" s="18" t="s">
        <v>13</v>
      </c>
      <c r="B117" s="19"/>
      <c r="C117" s="20"/>
      <c r="D117" s="20"/>
      <c r="E117" s="20"/>
      <c r="F117" s="20"/>
      <c r="G117" s="168"/>
      <c r="H117" s="19"/>
      <c r="I117" s="20"/>
      <c r="J117" s="20"/>
      <c r="K117" s="20"/>
      <c r="L117" s="20"/>
      <c r="M117" s="21"/>
      <c r="N117" s="171"/>
      <c r="O117" s="20"/>
      <c r="P117" s="20"/>
      <c r="Q117" s="20"/>
      <c r="R117" s="20"/>
      <c r="S117" s="21"/>
      <c r="U117" s="28"/>
    </row>
    <row r="118" spans="1:21" ht="0.75" customHeight="1" x14ac:dyDescent="0.25">
      <c r="A118" s="18" t="s">
        <v>1</v>
      </c>
      <c r="B118" s="19"/>
      <c r="C118" s="20"/>
      <c r="D118" s="20"/>
      <c r="E118" s="20"/>
      <c r="F118" s="20"/>
      <c r="G118" s="168"/>
      <c r="H118" s="19"/>
      <c r="I118" s="20"/>
      <c r="J118" s="20"/>
      <c r="K118" s="20"/>
      <c r="L118" s="20"/>
      <c r="M118" s="21"/>
      <c r="N118" s="171"/>
      <c r="O118" s="20"/>
      <c r="P118" s="20"/>
      <c r="Q118" s="20"/>
      <c r="R118" s="20"/>
      <c r="S118" s="21"/>
      <c r="U118" s="28"/>
    </row>
    <row r="119" spans="1:21" hidden="1" x14ac:dyDescent="0.25">
      <c r="A119" s="18" t="s">
        <v>1</v>
      </c>
      <c r="B119" s="19"/>
      <c r="C119" s="20"/>
      <c r="D119" s="20"/>
      <c r="E119" s="20"/>
      <c r="F119" s="20"/>
      <c r="G119" s="168"/>
      <c r="H119" s="19"/>
      <c r="I119" s="20"/>
      <c r="J119" s="20"/>
      <c r="K119" s="20"/>
      <c r="L119" s="20"/>
      <c r="M119" s="21"/>
      <c r="N119" s="171"/>
      <c r="O119" s="20"/>
      <c r="P119" s="20"/>
      <c r="Q119" s="20"/>
      <c r="R119" s="20"/>
      <c r="S119" s="21"/>
      <c r="U119" s="28"/>
    </row>
    <row r="120" spans="1:21" ht="37.5" customHeight="1" x14ac:dyDescent="0.25">
      <c r="A120" s="18" t="s">
        <v>11</v>
      </c>
      <c r="B120" s="19"/>
      <c r="C120" s="20"/>
      <c r="D120" s="20"/>
      <c r="E120" s="20"/>
      <c r="F120" s="20"/>
      <c r="G120" s="168"/>
      <c r="H120" s="173">
        <f>SUM(H121:H128)</f>
        <v>0.79999999999999993</v>
      </c>
      <c r="I120" s="169"/>
      <c r="J120" s="169"/>
      <c r="K120" s="30">
        <f>SUM(K121:K128)</f>
        <v>649</v>
      </c>
      <c r="L120" s="169">
        <f t="shared" ref="L120:M120" si="49">SUM(L121:L128)</f>
        <v>156.33000000000001</v>
      </c>
      <c r="M120" s="185">
        <f t="shared" si="49"/>
        <v>805.33</v>
      </c>
      <c r="N120" s="171"/>
      <c r="O120" s="20"/>
      <c r="P120" s="20"/>
      <c r="Q120" s="20"/>
      <c r="R120" s="20"/>
      <c r="S120" s="21"/>
      <c r="U120" s="28"/>
    </row>
    <row r="121" spans="1:21" x14ac:dyDescent="0.25">
      <c r="A121" s="172" t="s">
        <v>118</v>
      </c>
      <c r="B121" s="19"/>
      <c r="C121" s="20"/>
      <c r="D121" s="20"/>
      <c r="E121" s="20"/>
      <c r="F121" s="20"/>
      <c r="G121" s="168"/>
      <c r="H121" s="19">
        <v>0.1</v>
      </c>
      <c r="I121" s="20">
        <v>1900</v>
      </c>
      <c r="J121" s="20">
        <v>10</v>
      </c>
      <c r="K121" s="20">
        <f t="shared" ref="K121:K128" si="50">ROUND(I121*J121/100,2)</f>
        <v>190</v>
      </c>
      <c r="L121" s="20">
        <f t="shared" ref="L121:L128" si="51">ROUND(K121*24.09/100,2)</f>
        <v>45.77</v>
      </c>
      <c r="M121" s="21">
        <f t="shared" ref="M121:M128" si="52">K121+L121</f>
        <v>235.77</v>
      </c>
      <c r="N121" s="171"/>
      <c r="O121" s="20"/>
      <c r="P121" s="20"/>
      <c r="Q121" s="20"/>
      <c r="R121" s="20"/>
      <c r="S121" s="21"/>
      <c r="U121" s="28"/>
    </row>
    <row r="122" spans="1:21" x14ac:dyDescent="0.25">
      <c r="A122" s="172" t="s">
        <v>119</v>
      </c>
      <c r="B122" s="179"/>
      <c r="C122" s="180"/>
      <c r="D122" s="180"/>
      <c r="E122" s="180"/>
      <c r="F122" s="180"/>
      <c r="G122" s="181"/>
      <c r="H122" s="19">
        <v>0.1</v>
      </c>
      <c r="I122" s="180">
        <v>900</v>
      </c>
      <c r="J122" s="180">
        <v>10</v>
      </c>
      <c r="K122" s="20">
        <f t="shared" si="50"/>
        <v>90</v>
      </c>
      <c r="L122" s="20">
        <f t="shared" si="51"/>
        <v>21.68</v>
      </c>
      <c r="M122" s="21">
        <f t="shared" si="52"/>
        <v>111.68</v>
      </c>
      <c r="N122" s="171"/>
      <c r="O122" s="180"/>
      <c r="P122" s="180"/>
      <c r="Q122" s="180"/>
      <c r="R122" s="180"/>
      <c r="S122" s="182"/>
      <c r="U122" s="28"/>
    </row>
    <row r="123" spans="1:21" x14ac:dyDescent="0.25">
      <c r="A123" s="172" t="s">
        <v>120</v>
      </c>
      <c r="B123" s="179"/>
      <c r="C123" s="180"/>
      <c r="D123" s="180"/>
      <c r="E123" s="180"/>
      <c r="F123" s="180"/>
      <c r="G123" s="181"/>
      <c r="H123" s="19">
        <v>0.1</v>
      </c>
      <c r="I123" s="180">
        <v>1320</v>
      </c>
      <c r="J123" s="180">
        <v>5</v>
      </c>
      <c r="K123" s="20">
        <f t="shared" si="50"/>
        <v>66</v>
      </c>
      <c r="L123" s="20">
        <f t="shared" si="51"/>
        <v>15.9</v>
      </c>
      <c r="M123" s="21">
        <f t="shared" si="52"/>
        <v>81.900000000000006</v>
      </c>
      <c r="N123" s="171"/>
      <c r="O123" s="180"/>
      <c r="P123" s="180"/>
      <c r="Q123" s="180"/>
      <c r="R123" s="180"/>
      <c r="S123" s="182"/>
      <c r="U123" s="28"/>
    </row>
    <row r="124" spans="1:21" x14ac:dyDescent="0.25">
      <c r="A124" s="172" t="s">
        <v>121</v>
      </c>
      <c r="B124" s="179"/>
      <c r="C124" s="180"/>
      <c r="D124" s="180"/>
      <c r="E124" s="180"/>
      <c r="F124" s="180"/>
      <c r="G124" s="181"/>
      <c r="H124" s="19">
        <v>0.1</v>
      </c>
      <c r="I124" s="180">
        <v>950</v>
      </c>
      <c r="J124" s="180">
        <v>5</v>
      </c>
      <c r="K124" s="20">
        <f t="shared" si="50"/>
        <v>47.5</v>
      </c>
      <c r="L124" s="20">
        <f t="shared" si="51"/>
        <v>11.44</v>
      </c>
      <c r="M124" s="21">
        <f t="shared" si="52"/>
        <v>58.94</v>
      </c>
      <c r="N124" s="171"/>
      <c r="O124" s="180"/>
      <c r="P124" s="180"/>
      <c r="Q124" s="180"/>
      <c r="R124" s="180"/>
      <c r="S124" s="182"/>
      <c r="U124" s="28"/>
    </row>
    <row r="125" spans="1:21" x14ac:dyDescent="0.25">
      <c r="A125" s="172" t="s">
        <v>122</v>
      </c>
      <c r="B125" s="179"/>
      <c r="C125" s="180"/>
      <c r="D125" s="180"/>
      <c r="E125" s="180"/>
      <c r="F125" s="180"/>
      <c r="G125" s="181"/>
      <c r="H125" s="19">
        <v>0.1</v>
      </c>
      <c r="I125" s="180">
        <v>600</v>
      </c>
      <c r="J125" s="180">
        <v>10</v>
      </c>
      <c r="K125" s="20">
        <f t="shared" si="50"/>
        <v>60</v>
      </c>
      <c r="L125" s="20">
        <f t="shared" si="51"/>
        <v>14.45</v>
      </c>
      <c r="M125" s="21">
        <f t="shared" si="52"/>
        <v>74.45</v>
      </c>
      <c r="N125" s="171"/>
      <c r="O125" s="180"/>
      <c r="P125" s="180"/>
      <c r="Q125" s="180"/>
      <c r="R125" s="180"/>
      <c r="S125" s="182"/>
      <c r="U125" s="28"/>
    </row>
    <row r="126" spans="1:21" x14ac:dyDescent="0.25">
      <c r="A126" s="172" t="s">
        <v>122</v>
      </c>
      <c r="B126" s="179"/>
      <c r="C126" s="180"/>
      <c r="D126" s="180"/>
      <c r="E126" s="180"/>
      <c r="F126" s="180"/>
      <c r="G126" s="181"/>
      <c r="H126" s="19">
        <v>0.1</v>
      </c>
      <c r="I126" s="180">
        <v>600</v>
      </c>
      <c r="J126" s="180">
        <v>10</v>
      </c>
      <c r="K126" s="20">
        <f t="shared" si="50"/>
        <v>60</v>
      </c>
      <c r="L126" s="20">
        <f t="shared" si="51"/>
        <v>14.45</v>
      </c>
      <c r="M126" s="21">
        <f t="shared" si="52"/>
        <v>74.45</v>
      </c>
      <c r="N126" s="171"/>
      <c r="O126" s="180"/>
      <c r="P126" s="180"/>
      <c r="Q126" s="180"/>
      <c r="R126" s="180"/>
      <c r="S126" s="182"/>
      <c r="U126" s="28"/>
    </row>
    <row r="127" spans="1:21" x14ac:dyDescent="0.25">
      <c r="A127" s="188" t="s">
        <v>123</v>
      </c>
      <c r="B127" s="179"/>
      <c r="C127" s="180"/>
      <c r="D127" s="180"/>
      <c r="E127" s="180"/>
      <c r="F127" s="180"/>
      <c r="G127" s="181"/>
      <c r="H127" s="19">
        <v>0.1</v>
      </c>
      <c r="I127" s="180">
        <v>525</v>
      </c>
      <c r="J127" s="180">
        <v>10</v>
      </c>
      <c r="K127" s="20">
        <f t="shared" si="50"/>
        <v>52.5</v>
      </c>
      <c r="L127" s="20">
        <f t="shared" si="51"/>
        <v>12.65</v>
      </c>
      <c r="M127" s="21">
        <f t="shared" si="52"/>
        <v>65.150000000000006</v>
      </c>
      <c r="N127" s="171"/>
      <c r="O127" s="180"/>
      <c r="P127" s="180"/>
      <c r="Q127" s="180"/>
      <c r="R127" s="180"/>
      <c r="S127" s="182"/>
      <c r="U127" s="28"/>
    </row>
    <row r="128" spans="1:21" x14ac:dyDescent="0.25">
      <c r="A128" s="172" t="s">
        <v>124</v>
      </c>
      <c r="B128" s="179"/>
      <c r="C128" s="180"/>
      <c r="D128" s="180"/>
      <c r="E128" s="180"/>
      <c r="F128" s="180"/>
      <c r="G128" s="181"/>
      <c r="H128" s="19">
        <v>0.1</v>
      </c>
      <c r="I128" s="180">
        <v>830</v>
      </c>
      <c r="J128" s="180">
        <v>10</v>
      </c>
      <c r="K128" s="20">
        <f t="shared" si="50"/>
        <v>83</v>
      </c>
      <c r="L128" s="20">
        <f t="shared" si="51"/>
        <v>19.989999999999998</v>
      </c>
      <c r="M128" s="21">
        <f t="shared" si="52"/>
        <v>102.99</v>
      </c>
      <c r="N128" s="171"/>
      <c r="O128" s="180"/>
      <c r="P128" s="180"/>
      <c r="Q128" s="180"/>
      <c r="R128" s="180"/>
      <c r="S128" s="182"/>
      <c r="U128" s="28"/>
    </row>
    <row r="129" spans="1:21" s="1" customFormat="1" ht="53.25" customHeight="1" x14ac:dyDescent="0.25">
      <c r="A129" s="36" t="s">
        <v>125</v>
      </c>
      <c r="B129" s="15"/>
      <c r="C129" s="16"/>
      <c r="D129" s="16"/>
      <c r="E129" s="16"/>
      <c r="F129" s="16"/>
      <c r="G129" s="166"/>
      <c r="H129" s="189">
        <f>H130+H137+H143+H146</f>
        <v>1.3631541089732062</v>
      </c>
      <c r="I129" s="177">
        <f t="shared" ref="I129:M129" si="53">I130+I137+I143+I146</f>
        <v>0</v>
      </c>
      <c r="J129" s="177">
        <f t="shared" si="53"/>
        <v>0</v>
      </c>
      <c r="K129" s="177">
        <f t="shared" si="53"/>
        <v>554.47</v>
      </c>
      <c r="L129" s="177">
        <f t="shared" si="53"/>
        <v>133.58000000000001</v>
      </c>
      <c r="M129" s="178">
        <f t="shared" si="53"/>
        <v>688.05</v>
      </c>
      <c r="N129" s="194"/>
      <c r="O129" s="16"/>
      <c r="P129" s="16"/>
      <c r="Q129" s="16"/>
      <c r="R129" s="16"/>
      <c r="S129" s="17"/>
      <c r="T129" s="2"/>
      <c r="U129" s="28"/>
    </row>
    <row r="130" spans="1:21" ht="60.75" customHeight="1" x14ac:dyDescent="0.25">
      <c r="A130" s="18" t="s">
        <v>14</v>
      </c>
      <c r="B130" s="19"/>
      <c r="C130" s="20"/>
      <c r="D130" s="20"/>
      <c r="E130" s="20"/>
      <c r="F130" s="20"/>
      <c r="G130" s="168"/>
      <c r="H130" s="190">
        <f>SUM(H131:H136)</f>
        <v>0.33976503027033506</v>
      </c>
      <c r="I130" s="169"/>
      <c r="J130" s="169"/>
      <c r="K130" s="30">
        <f>SUM(K131:K136)</f>
        <v>211.95</v>
      </c>
      <c r="L130" s="169">
        <f t="shared" ref="L130:M130" si="54">SUM(L131:L136)</f>
        <v>51.06</v>
      </c>
      <c r="M130" s="185">
        <f t="shared" si="54"/>
        <v>263.01</v>
      </c>
      <c r="N130" s="171"/>
      <c r="O130" s="20"/>
      <c r="P130" s="20"/>
      <c r="Q130" s="20"/>
      <c r="R130" s="20"/>
      <c r="S130" s="21"/>
      <c r="U130" s="28"/>
    </row>
    <row r="131" spans="1:21" ht="18.95" customHeight="1" x14ac:dyDescent="0.25">
      <c r="A131" s="172" t="s">
        <v>126</v>
      </c>
      <c r="B131" s="19"/>
      <c r="C131" s="20"/>
      <c r="D131" s="20"/>
      <c r="E131" s="20"/>
      <c r="F131" s="20"/>
      <c r="G131" s="168"/>
      <c r="H131" s="19">
        <v>0.1</v>
      </c>
      <c r="I131" s="20">
        <v>1704.82</v>
      </c>
      <c r="J131" s="20">
        <v>10</v>
      </c>
      <c r="K131" s="20">
        <f t="shared" ref="K131:K136" si="55">ROUND(I131*J131/100,2)</f>
        <v>170.48</v>
      </c>
      <c r="L131" s="20">
        <f t="shared" ref="L131:L145" si="56">ROUND(K131*24.09/100,2)</f>
        <v>41.07</v>
      </c>
      <c r="M131" s="21">
        <f t="shared" ref="M131:M136" si="57">K131+L131</f>
        <v>211.54999999999998</v>
      </c>
      <c r="N131" s="171"/>
      <c r="O131" s="20"/>
      <c r="P131" s="20"/>
      <c r="Q131" s="20"/>
      <c r="R131" s="20"/>
      <c r="S131" s="21"/>
      <c r="U131" s="28"/>
    </row>
    <row r="132" spans="1:21" ht="18.95" customHeight="1" x14ac:dyDescent="0.25">
      <c r="A132" s="172" t="s">
        <v>94</v>
      </c>
      <c r="B132" s="19"/>
      <c r="C132" s="20"/>
      <c r="D132" s="20"/>
      <c r="E132" s="20"/>
      <c r="F132" s="20"/>
      <c r="G132" s="168"/>
      <c r="H132" s="133">
        <f>8/166.83</f>
        <v>4.7953006054067014E-2</v>
      </c>
      <c r="I132" s="20">
        <f>1800/158*8</f>
        <v>91.139240506329116</v>
      </c>
      <c r="J132" s="20">
        <v>10</v>
      </c>
      <c r="K132" s="20">
        <f t="shared" si="55"/>
        <v>9.11</v>
      </c>
      <c r="L132" s="20">
        <f t="shared" si="56"/>
        <v>2.19</v>
      </c>
      <c r="M132" s="21">
        <f t="shared" si="57"/>
        <v>11.299999999999999</v>
      </c>
      <c r="N132" s="171"/>
      <c r="O132" s="20"/>
      <c r="P132" s="20"/>
      <c r="Q132" s="20"/>
      <c r="R132" s="20"/>
      <c r="S132" s="21"/>
      <c r="U132" s="28"/>
    </row>
    <row r="133" spans="1:21" ht="18.95" customHeight="1" x14ac:dyDescent="0.25">
      <c r="A133" s="172" t="s">
        <v>95</v>
      </c>
      <c r="B133" s="19"/>
      <c r="C133" s="20"/>
      <c r="D133" s="20"/>
      <c r="E133" s="20"/>
      <c r="F133" s="20"/>
      <c r="G133" s="168"/>
      <c r="H133" s="133">
        <f t="shared" ref="H133:H136" si="58">8/166.83</f>
        <v>4.7953006054067014E-2</v>
      </c>
      <c r="I133" s="20">
        <f>1800/158*8</f>
        <v>91.139240506329116</v>
      </c>
      <c r="J133" s="20">
        <v>10</v>
      </c>
      <c r="K133" s="20">
        <f t="shared" si="55"/>
        <v>9.11</v>
      </c>
      <c r="L133" s="20">
        <f t="shared" si="56"/>
        <v>2.19</v>
      </c>
      <c r="M133" s="21">
        <f t="shared" si="57"/>
        <v>11.299999999999999</v>
      </c>
      <c r="N133" s="171"/>
      <c r="O133" s="20"/>
      <c r="P133" s="20"/>
      <c r="Q133" s="20"/>
      <c r="R133" s="20"/>
      <c r="S133" s="21"/>
      <c r="U133" s="28"/>
    </row>
    <row r="134" spans="1:21" ht="18.95" customHeight="1" x14ac:dyDescent="0.25">
      <c r="A134" s="172" t="s">
        <v>93</v>
      </c>
      <c r="B134" s="19"/>
      <c r="C134" s="20"/>
      <c r="D134" s="20"/>
      <c r="E134" s="20"/>
      <c r="F134" s="20"/>
      <c r="G134" s="168"/>
      <c r="H134" s="133">
        <f t="shared" si="58"/>
        <v>4.7953006054067014E-2</v>
      </c>
      <c r="I134" s="20">
        <f>1630.2/158*8</f>
        <v>82.541772151898741</v>
      </c>
      <c r="J134" s="20">
        <v>10</v>
      </c>
      <c r="K134" s="20">
        <f t="shared" si="55"/>
        <v>8.25</v>
      </c>
      <c r="L134" s="20">
        <f t="shared" si="56"/>
        <v>1.99</v>
      </c>
      <c r="M134" s="21">
        <f t="shared" si="57"/>
        <v>10.24</v>
      </c>
      <c r="N134" s="171"/>
      <c r="O134" s="20"/>
      <c r="P134" s="20"/>
      <c r="Q134" s="20"/>
      <c r="R134" s="20"/>
      <c r="S134" s="21"/>
      <c r="U134" s="28"/>
    </row>
    <row r="135" spans="1:21" ht="18.95" customHeight="1" x14ac:dyDescent="0.25">
      <c r="A135" s="172" t="s">
        <v>93</v>
      </c>
      <c r="B135" s="19"/>
      <c r="C135" s="20"/>
      <c r="D135" s="20"/>
      <c r="E135" s="20"/>
      <c r="F135" s="20"/>
      <c r="G135" s="168"/>
      <c r="H135" s="133">
        <f t="shared" si="58"/>
        <v>4.7953006054067014E-2</v>
      </c>
      <c r="I135" s="20">
        <f>1482/158*8</f>
        <v>75.037974683544306</v>
      </c>
      <c r="J135" s="20">
        <v>10</v>
      </c>
      <c r="K135" s="20">
        <f t="shared" si="55"/>
        <v>7.5</v>
      </c>
      <c r="L135" s="20">
        <f t="shared" si="56"/>
        <v>1.81</v>
      </c>
      <c r="M135" s="21">
        <f t="shared" si="57"/>
        <v>9.31</v>
      </c>
      <c r="N135" s="171"/>
      <c r="O135" s="20"/>
      <c r="P135" s="20"/>
      <c r="Q135" s="20"/>
      <c r="R135" s="20"/>
      <c r="S135" s="21"/>
      <c r="U135" s="28"/>
    </row>
    <row r="136" spans="1:21" ht="18.95" customHeight="1" x14ac:dyDescent="0.25">
      <c r="A136" s="172" t="s">
        <v>93</v>
      </c>
      <c r="B136" s="19"/>
      <c r="C136" s="20"/>
      <c r="D136" s="20"/>
      <c r="E136" s="20"/>
      <c r="F136" s="20"/>
      <c r="G136" s="168"/>
      <c r="H136" s="133">
        <f t="shared" si="58"/>
        <v>4.7953006054067014E-2</v>
      </c>
      <c r="I136" s="20">
        <f>1482/158*8</f>
        <v>75.037974683544306</v>
      </c>
      <c r="J136" s="20">
        <v>10</v>
      </c>
      <c r="K136" s="20">
        <f t="shared" si="55"/>
        <v>7.5</v>
      </c>
      <c r="L136" s="20">
        <f t="shared" si="56"/>
        <v>1.81</v>
      </c>
      <c r="M136" s="21">
        <f t="shared" si="57"/>
        <v>9.31</v>
      </c>
      <c r="N136" s="171"/>
      <c r="O136" s="20"/>
      <c r="P136" s="20"/>
      <c r="Q136" s="20"/>
      <c r="R136" s="20"/>
      <c r="S136" s="21"/>
      <c r="U136" s="28"/>
    </row>
    <row r="137" spans="1:21" ht="49.7" customHeight="1" x14ac:dyDescent="0.25">
      <c r="A137" s="18" t="s">
        <v>12</v>
      </c>
      <c r="B137" s="19"/>
      <c r="C137" s="20"/>
      <c r="D137" s="20"/>
      <c r="E137" s="20"/>
      <c r="F137" s="20"/>
      <c r="G137" s="168"/>
      <c r="H137" s="190">
        <f>SUM(H138:H142)</f>
        <v>0.3877180363244021</v>
      </c>
      <c r="I137" s="169"/>
      <c r="J137" s="169"/>
      <c r="K137" s="30">
        <f>SUM(K138:K142)</f>
        <v>158.17999999999998</v>
      </c>
      <c r="L137" s="169">
        <f t="shared" ref="L137:M137" si="59">SUM(L138:L142)</f>
        <v>38.11</v>
      </c>
      <c r="M137" s="185">
        <f t="shared" si="59"/>
        <v>196.29</v>
      </c>
      <c r="N137" s="171"/>
      <c r="O137" s="20"/>
      <c r="P137" s="20"/>
      <c r="Q137" s="20"/>
      <c r="R137" s="20"/>
      <c r="S137" s="21"/>
      <c r="U137" s="28"/>
    </row>
    <row r="138" spans="1:21" ht="23.25" customHeight="1" x14ac:dyDescent="0.25">
      <c r="A138" s="172" t="s">
        <v>127</v>
      </c>
      <c r="B138" s="19"/>
      <c r="C138" s="20"/>
      <c r="D138" s="20"/>
      <c r="E138" s="20"/>
      <c r="F138" s="20"/>
      <c r="G138" s="168"/>
      <c r="H138" s="19">
        <v>0.1</v>
      </c>
      <c r="I138" s="20">
        <v>1249.78</v>
      </c>
      <c r="J138" s="20">
        <v>10</v>
      </c>
      <c r="K138" s="20">
        <f t="shared" ref="K138:K142" si="60">ROUND(I138*J138/100,2)</f>
        <v>124.98</v>
      </c>
      <c r="L138" s="20">
        <f t="shared" si="56"/>
        <v>30.11</v>
      </c>
      <c r="M138" s="21">
        <f t="shared" ref="M138:M142" si="61">K138+L138</f>
        <v>155.09</v>
      </c>
      <c r="N138" s="171"/>
      <c r="O138" s="20"/>
      <c r="P138" s="20"/>
      <c r="Q138" s="20"/>
      <c r="R138" s="20"/>
      <c r="S138" s="21"/>
      <c r="U138" s="28"/>
    </row>
    <row r="139" spans="1:21" ht="23.25" customHeight="1" x14ac:dyDescent="0.25">
      <c r="A139" s="172" t="s">
        <v>96</v>
      </c>
      <c r="B139" s="19"/>
      <c r="C139" s="20"/>
      <c r="D139" s="20"/>
      <c r="E139" s="20"/>
      <c r="F139" s="20"/>
      <c r="G139" s="168"/>
      <c r="H139" s="133">
        <f t="shared" ref="H139:H144" si="62">8/166.83</f>
        <v>4.7953006054067014E-2</v>
      </c>
      <c r="I139" s="20">
        <f>1450/158*8</f>
        <v>73.417721518987335</v>
      </c>
      <c r="J139" s="20">
        <v>10</v>
      </c>
      <c r="K139" s="20">
        <f t="shared" si="60"/>
        <v>7.34</v>
      </c>
      <c r="L139" s="20">
        <f t="shared" si="56"/>
        <v>1.77</v>
      </c>
      <c r="M139" s="21">
        <f t="shared" si="61"/>
        <v>9.11</v>
      </c>
      <c r="N139" s="171"/>
      <c r="O139" s="20"/>
      <c r="P139" s="20"/>
      <c r="Q139" s="20"/>
      <c r="R139" s="20"/>
      <c r="S139" s="21"/>
      <c r="U139" s="28"/>
    </row>
    <row r="140" spans="1:21" ht="23.25" customHeight="1" x14ac:dyDescent="0.25">
      <c r="A140" s="172" t="s">
        <v>128</v>
      </c>
      <c r="B140" s="19"/>
      <c r="C140" s="20"/>
      <c r="D140" s="20"/>
      <c r="E140" s="20"/>
      <c r="F140" s="20"/>
      <c r="G140" s="168"/>
      <c r="H140" s="133">
        <f t="shared" si="62"/>
        <v>4.7953006054067014E-2</v>
      </c>
      <c r="I140" s="20">
        <f>1360/158*8</f>
        <v>68.860759493670884</v>
      </c>
      <c r="J140" s="20">
        <v>10</v>
      </c>
      <c r="K140" s="20">
        <f t="shared" si="60"/>
        <v>6.89</v>
      </c>
      <c r="L140" s="20">
        <f t="shared" si="56"/>
        <v>1.66</v>
      </c>
      <c r="M140" s="21">
        <f t="shared" si="61"/>
        <v>8.5499999999999989</v>
      </c>
      <c r="N140" s="171"/>
      <c r="O140" s="20"/>
      <c r="P140" s="20"/>
      <c r="Q140" s="20"/>
      <c r="R140" s="20"/>
      <c r="S140" s="21"/>
      <c r="U140" s="28"/>
    </row>
    <row r="141" spans="1:21" ht="23.25" customHeight="1" x14ac:dyDescent="0.25">
      <c r="A141" s="172" t="s">
        <v>97</v>
      </c>
      <c r="B141" s="19"/>
      <c r="C141" s="20"/>
      <c r="D141" s="20"/>
      <c r="E141" s="20"/>
      <c r="F141" s="20"/>
      <c r="G141" s="168"/>
      <c r="H141" s="133">
        <f>24/166.83</f>
        <v>0.14385901816220104</v>
      </c>
      <c r="I141" s="20">
        <f>5.93*24</f>
        <v>142.32</v>
      </c>
      <c r="J141" s="20">
        <v>10</v>
      </c>
      <c r="K141" s="20">
        <f t="shared" si="60"/>
        <v>14.23</v>
      </c>
      <c r="L141" s="20">
        <f t="shared" si="56"/>
        <v>3.43</v>
      </c>
      <c r="M141" s="21">
        <f t="shared" si="61"/>
        <v>17.66</v>
      </c>
      <c r="N141" s="171"/>
      <c r="O141" s="20"/>
      <c r="P141" s="20"/>
      <c r="Q141" s="20"/>
      <c r="R141" s="20"/>
      <c r="S141" s="21"/>
      <c r="U141" s="28"/>
    </row>
    <row r="142" spans="1:21" x14ac:dyDescent="0.25">
      <c r="A142" s="172" t="s">
        <v>97</v>
      </c>
      <c r="B142" s="19"/>
      <c r="C142" s="20"/>
      <c r="D142" s="20"/>
      <c r="E142" s="20"/>
      <c r="F142" s="20"/>
      <c r="G142" s="168"/>
      <c r="H142" s="133">
        <f t="shared" si="62"/>
        <v>4.7953006054067014E-2</v>
      </c>
      <c r="I142" s="20">
        <f>5.93*8</f>
        <v>47.44</v>
      </c>
      <c r="J142" s="20">
        <v>10</v>
      </c>
      <c r="K142" s="20">
        <f t="shared" si="60"/>
        <v>4.74</v>
      </c>
      <c r="L142" s="20">
        <f t="shared" si="56"/>
        <v>1.1399999999999999</v>
      </c>
      <c r="M142" s="21">
        <f t="shared" si="61"/>
        <v>5.88</v>
      </c>
      <c r="N142" s="171"/>
      <c r="O142" s="20"/>
      <c r="P142" s="20"/>
      <c r="Q142" s="20"/>
      <c r="R142" s="20"/>
      <c r="S142" s="21"/>
      <c r="U142" s="28"/>
    </row>
    <row r="143" spans="1:21" ht="64.5" customHeight="1" x14ac:dyDescent="0.25">
      <c r="A143" s="18" t="s">
        <v>13</v>
      </c>
      <c r="B143" s="19"/>
      <c r="C143" s="20"/>
      <c r="D143" s="20"/>
      <c r="E143" s="20"/>
      <c r="F143" s="20"/>
      <c r="G143" s="168"/>
      <c r="H143" s="190">
        <f>SUM(H144:H145)</f>
        <v>0.19181202421626806</v>
      </c>
      <c r="I143" s="169"/>
      <c r="J143" s="169"/>
      <c r="K143" s="30">
        <f>SUM(K144:K145)</f>
        <v>12.190000000000001</v>
      </c>
      <c r="L143" s="169">
        <f t="shared" ref="L143:M143" si="63">SUM(L144:L145)</f>
        <v>2.93</v>
      </c>
      <c r="M143" s="185">
        <f t="shared" si="63"/>
        <v>15.12</v>
      </c>
      <c r="N143" s="171"/>
      <c r="O143" s="20"/>
      <c r="P143" s="20"/>
      <c r="Q143" s="20"/>
      <c r="R143" s="20"/>
      <c r="S143" s="21"/>
      <c r="U143" s="28"/>
    </row>
    <row r="144" spans="1:21" ht="27.75" customHeight="1" x14ac:dyDescent="0.25">
      <c r="A144" s="172" t="s">
        <v>98</v>
      </c>
      <c r="B144" s="19"/>
      <c r="C144" s="20"/>
      <c r="D144" s="20"/>
      <c r="E144" s="20"/>
      <c r="F144" s="20"/>
      <c r="G144" s="168"/>
      <c r="H144" s="133">
        <f t="shared" si="62"/>
        <v>4.7953006054067014E-2</v>
      </c>
      <c r="I144" s="20">
        <f>3.81*24</f>
        <v>91.44</v>
      </c>
      <c r="J144" s="20">
        <v>10</v>
      </c>
      <c r="K144" s="20">
        <f t="shared" ref="K144:K145" si="64">ROUND(I144*J144/100,2)</f>
        <v>9.14</v>
      </c>
      <c r="L144" s="20">
        <f t="shared" si="56"/>
        <v>2.2000000000000002</v>
      </c>
      <c r="M144" s="21">
        <f t="shared" ref="M144:M145" si="65">K144+L144</f>
        <v>11.34</v>
      </c>
      <c r="N144" s="171"/>
      <c r="O144" s="20"/>
      <c r="P144" s="20"/>
      <c r="Q144" s="20"/>
      <c r="R144" s="20"/>
      <c r="S144" s="21"/>
      <c r="U144" s="28"/>
    </row>
    <row r="145" spans="1:21" ht="27.75" customHeight="1" x14ac:dyDescent="0.25">
      <c r="A145" s="172" t="s">
        <v>98</v>
      </c>
      <c r="B145" s="19"/>
      <c r="C145" s="20"/>
      <c r="D145" s="20"/>
      <c r="E145" s="20"/>
      <c r="F145" s="20"/>
      <c r="G145" s="168"/>
      <c r="H145" s="133">
        <f>24/166.83</f>
        <v>0.14385901816220104</v>
      </c>
      <c r="I145" s="20">
        <f>3.81*8</f>
        <v>30.48</v>
      </c>
      <c r="J145" s="20">
        <v>10</v>
      </c>
      <c r="K145" s="20">
        <f t="shared" si="64"/>
        <v>3.05</v>
      </c>
      <c r="L145" s="20">
        <f t="shared" si="56"/>
        <v>0.73</v>
      </c>
      <c r="M145" s="21">
        <f t="shared" si="65"/>
        <v>3.78</v>
      </c>
      <c r="N145" s="171"/>
      <c r="O145" s="20"/>
      <c r="P145" s="20"/>
      <c r="Q145" s="20"/>
      <c r="R145" s="20"/>
      <c r="S145" s="21"/>
      <c r="U145" s="28"/>
    </row>
    <row r="146" spans="1:21" ht="37.5" customHeight="1" x14ac:dyDescent="0.25">
      <c r="A146" s="18" t="s">
        <v>11</v>
      </c>
      <c r="B146" s="19"/>
      <c r="C146" s="20"/>
      <c r="D146" s="20"/>
      <c r="E146" s="20"/>
      <c r="F146" s="20"/>
      <c r="G146" s="168"/>
      <c r="H146" s="190">
        <f>SUM(H147:H150)</f>
        <v>0.44385901816220108</v>
      </c>
      <c r="I146" s="169"/>
      <c r="J146" s="169"/>
      <c r="K146" s="30">
        <f>SUM(K147:K150)</f>
        <v>172.15</v>
      </c>
      <c r="L146" s="169">
        <f t="shared" ref="L146:M146" si="66">SUM(L147:L150)</f>
        <v>41.48</v>
      </c>
      <c r="M146" s="185">
        <f t="shared" si="66"/>
        <v>213.63</v>
      </c>
      <c r="N146" s="171"/>
      <c r="O146" s="20"/>
      <c r="P146" s="20"/>
      <c r="Q146" s="20"/>
      <c r="R146" s="20"/>
      <c r="S146" s="21"/>
      <c r="U146" s="28"/>
    </row>
    <row r="147" spans="1:21" x14ac:dyDescent="0.25">
      <c r="A147" s="188" t="s">
        <v>129</v>
      </c>
      <c r="B147" s="19"/>
      <c r="C147" s="20"/>
      <c r="D147" s="20"/>
      <c r="E147" s="20"/>
      <c r="F147" s="20"/>
      <c r="G147" s="168"/>
      <c r="H147" s="19">
        <v>0.1</v>
      </c>
      <c r="I147" s="20">
        <v>597.24</v>
      </c>
      <c r="J147" s="20">
        <v>10</v>
      </c>
      <c r="K147" s="20">
        <f t="shared" ref="K147:K150" si="67">ROUND(I147*J147/100,2)</f>
        <v>59.72</v>
      </c>
      <c r="L147" s="20">
        <f t="shared" ref="L147:L150" si="68">ROUND(K147*24.09/100,2)</f>
        <v>14.39</v>
      </c>
      <c r="M147" s="21">
        <f t="shared" ref="M147:M150" si="69">K147+L147</f>
        <v>74.11</v>
      </c>
      <c r="N147" s="171"/>
      <c r="O147" s="20"/>
      <c r="P147" s="20"/>
      <c r="Q147" s="20"/>
      <c r="R147" s="20"/>
      <c r="S147" s="21"/>
      <c r="U147" s="28"/>
    </row>
    <row r="148" spans="1:21" x14ac:dyDescent="0.25">
      <c r="A148" s="188" t="s">
        <v>129</v>
      </c>
      <c r="B148" s="179"/>
      <c r="C148" s="180"/>
      <c r="D148" s="180"/>
      <c r="E148" s="180"/>
      <c r="F148" s="180"/>
      <c r="G148" s="181"/>
      <c r="H148" s="179">
        <v>0.1</v>
      </c>
      <c r="I148" s="180">
        <v>597.24</v>
      </c>
      <c r="J148" s="180">
        <v>10</v>
      </c>
      <c r="K148" s="20">
        <f t="shared" si="67"/>
        <v>59.72</v>
      </c>
      <c r="L148" s="20">
        <f t="shared" si="68"/>
        <v>14.39</v>
      </c>
      <c r="M148" s="21">
        <f t="shared" si="69"/>
        <v>74.11</v>
      </c>
      <c r="N148" s="171"/>
      <c r="O148" s="180"/>
      <c r="P148" s="180"/>
      <c r="Q148" s="180"/>
      <c r="R148" s="180"/>
      <c r="S148" s="182"/>
      <c r="U148" s="28"/>
    </row>
    <row r="149" spans="1:21" x14ac:dyDescent="0.25">
      <c r="A149" s="188" t="s">
        <v>130</v>
      </c>
      <c r="B149" s="179"/>
      <c r="C149" s="180"/>
      <c r="D149" s="180"/>
      <c r="E149" s="180"/>
      <c r="F149" s="180"/>
      <c r="G149" s="181"/>
      <c r="H149" s="179">
        <v>0.1</v>
      </c>
      <c r="I149" s="180">
        <v>890</v>
      </c>
      <c r="J149" s="180">
        <v>5</v>
      </c>
      <c r="K149" s="20">
        <f t="shared" si="67"/>
        <v>44.5</v>
      </c>
      <c r="L149" s="20">
        <f t="shared" si="68"/>
        <v>10.72</v>
      </c>
      <c r="M149" s="21">
        <f t="shared" si="69"/>
        <v>55.22</v>
      </c>
      <c r="N149" s="171"/>
      <c r="O149" s="180"/>
      <c r="P149" s="180"/>
      <c r="Q149" s="180"/>
      <c r="R149" s="180"/>
      <c r="S149" s="182"/>
      <c r="U149" s="28"/>
    </row>
    <row r="150" spans="1:21" ht="17.25" thickBot="1" x14ac:dyDescent="0.3">
      <c r="A150" s="172" t="s">
        <v>100</v>
      </c>
      <c r="B150" s="179"/>
      <c r="C150" s="180"/>
      <c r="D150" s="180"/>
      <c r="E150" s="180"/>
      <c r="F150" s="180"/>
      <c r="G150" s="181"/>
      <c r="H150" s="133">
        <f>24/166.83</f>
        <v>0.14385901816220104</v>
      </c>
      <c r="I150" s="23">
        <f>3.42*24</f>
        <v>82.08</v>
      </c>
      <c r="J150" s="23">
        <v>10</v>
      </c>
      <c r="K150" s="23">
        <f t="shared" si="67"/>
        <v>8.2100000000000009</v>
      </c>
      <c r="L150" s="23">
        <f t="shared" si="68"/>
        <v>1.98</v>
      </c>
      <c r="M150" s="24">
        <f t="shared" si="69"/>
        <v>10.190000000000001</v>
      </c>
      <c r="N150" s="171"/>
      <c r="O150" s="180"/>
      <c r="P150" s="180"/>
      <c r="Q150" s="180"/>
      <c r="R150" s="180"/>
      <c r="S150" s="182"/>
    </row>
    <row r="151" spans="1:21" x14ac:dyDescent="0.25">
      <c r="A151" s="901" t="s">
        <v>33</v>
      </c>
      <c r="B151" s="901"/>
      <c r="C151" s="901"/>
      <c r="D151" s="901"/>
      <c r="E151" s="901"/>
      <c r="F151" s="901"/>
      <c r="G151" s="901"/>
      <c r="H151" s="901"/>
      <c r="I151" s="901"/>
      <c r="J151" s="901"/>
      <c r="K151" s="901"/>
      <c r="L151" s="901"/>
      <c r="M151" s="901"/>
      <c r="N151" s="901"/>
      <c r="O151" s="901"/>
      <c r="P151" s="901"/>
      <c r="Q151" s="901"/>
      <c r="R151" s="901"/>
    </row>
    <row r="152" spans="1:21" x14ac:dyDescent="0.25">
      <c r="S152" s="25"/>
      <c r="T152" s="25"/>
    </row>
    <row r="154" spans="1:21" ht="18" customHeight="1" x14ac:dyDescent="0.25"/>
  </sheetData>
  <mergeCells count="6">
    <mergeCell ref="A151:R151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U106"/>
  <sheetViews>
    <sheetView zoomScale="55" zoomScaleNormal="55" zoomScaleSheetLayoutView="80" workbookViewId="0">
      <selection activeCell="Y67" sqref="Y67"/>
    </sheetView>
  </sheetViews>
  <sheetFormatPr defaultRowHeight="16.5" x14ac:dyDescent="0.25"/>
  <cols>
    <col min="1" max="1" width="42.7109375" style="2" customWidth="1"/>
    <col min="2" max="2" width="14" style="2" customWidth="1"/>
    <col min="3" max="3" width="16" style="2" customWidth="1"/>
    <col min="4" max="10" width="14" style="2" customWidth="1"/>
    <col min="11" max="11" width="15.85546875" style="2" customWidth="1"/>
    <col min="12" max="12" width="15.140625" style="2" customWidth="1"/>
    <col min="13" max="13" width="15.5703125" style="2" customWidth="1"/>
    <col min="14" max="19" width="14" style="2" customWidth="1"/>
    <col min="20" max="20" width="17.5703125" style="2" customWidth="1"/>
    <col min="21" max="22" width="15.85546875" style="2" customWidth="1"/>
    <col min="23" max="16384" width="9.140625" style="2"/>
  </cols>
  <sheetData>
    <row r="2" spans="1:21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21" x14ac:dyDescent="0.25">
      <c r="A4" s="2" t="s">
        <v>131</v>
      </c>
    </row>
    <row r="5" spans="1:21" ht="17.25" thickBot="1" x14ac:dyDescent="0.3"/>
    <row r="6" spans="1:21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857" t="s">
        <v>4</v>
      </c>
      <c r="I6" s="858"/>
      <c r="J6" s="858"/>
      <c r="K6" s="858"/>
      <c r="L6" s="858"/>
      <c r="M6" s="859"/>
      <c r="N6" s="857" t="s">
        <v>5</v>
      </c>
      <c r="O6" s="858"/>
      <c r="P6" s="858"/>
      <c r="Q6" s="858"/>
      <c r="R6" s="858"/>
      <c r="S6" s="859"/>
    </row>
    <row r="7" spans="1:21" ht="104.25" customHeight="1" x14ac:dyDescent="0.25">
      <c r="A7" s="907"/>
      <c r="B7" s="3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21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21" s="1" customFormat="1" ht="26.25" customHeight="1" x14ac:dyDescent="0.25">
      <c r="A9" s="10" t="s">
        <v>0</v>
      </c>
      <c r="B9" s="11"/>
      <c r="C9" s="12"/>
      <c r="D9" s="12"/>
      <c r="E9" s="12"/>
      <c r="F9" s="12"/>
      <c r="G9" s="13"/>
      <c r="H9" s="12">
        <f t="shared" ref="H9" si="0">H10+H34+H43+H55+H66+H79+H89</f>
        <v>27.055879999999998</v>
      </c>
      <c r="I9" s="12"/>
      <c r="J9" s="12"/>
      <c r="K9" s="12">
        <f>K10+K34+K43+K55+K66+K79+K89</f>
        <v>4272.7277002000001</v>
      </c>
      <c r="L9" s="12">
        <f>L10+L34+L43+L55+L66+L79+L89</f>
        <v>1029.30921197818</v>
      </c>
      <c r="M9" s="13">
        <f>M10+M34+M43+M55+M66+M79+M89</f>
        <v>5302.0438222845405</v>
      </c>
      <c r="N9" s="11"/>
      <c r="O9" s="12"/>
      <c r="P9" s="12"/>
      <c r="Q9" s="12"/>
      <c r="R9" s="12"/>
      <c r="S9" s="13"/>
    </row>
    <row r="10" spans="1:21" s="1" customFormat="1" ht="21.75" customHeight="1" x14ac:dyDescent="0.25">
      <c r="A10" s="165" t="s">
        <v>132</v>
      </c>
      <c r="B10" s="15"/>
      <c r="C10" s="16"/>
      <c r="D10" s="16"/>
      <c r="E10" s="16"/>
      <c r="F10" s="16"/>
      <c r="G10" s="17"/>
      <c r="H10" s="16">
        <f t="shared" ref="H10" si="1">H11+H16+H27</f>
        <v>16.300729999999998</v>
      </c>
      <c r="I10" s="16"/>
      <c r="J10" s="16"/>
      <c r="K10" s="16">
        <f>K11+K16+K27</f>
        <v>2418.1318815999998</v>
      </c>
      <c r="L10" s="16">
        <f>L11+L16+L27</f>
        <v>582.52797027743998</v>
      </c>
      <c r="M10" s="17">
        <f>M11+M16+M27</f>
        <v>3000.6598518774404</v>
      </c>
      <c r="N10" s="15"/>
      <c r="O10" s="16"/>
      <c r="P10" s="16"/>
      <c r="Q10" s="16"/>
      <c r="R10" s="16"/>
      <c r="S10" s="17"/>
    </row>
    <row r="11" spans="1:21" ht="51.75" customHeight="1" x14ac:dyDescent="0.25">
      <c r="A11" s="18" t="s">
        <v>14</v>
      </c>
      <c r="B11" s="19"/>
      <c r="C11" s="20"/>
      <c r="D11" s="20"/>
      <c r="E11" s="20"/>
      <c r="F11" s="20"/>
      <c r="G11" s="21"/>
      <c r="H11" s="29">
        <f>H12+H13+H14+H15</f>
        <v>2.1835299999999997</v>
      </c>
      <c r="I11" s="30"/>
      <c r="J11" s="30"/>
      <c r="K11" s="30">
        <f>K12+K13+K14+K15</f>
        <v>496.79674559999995</v>
      </c>
      <c r="L11" s="30">
        <f>L12+L13+L14+L15</f>
        <v>119.67833601503999</v>
      </c>
      <c r="M11" s="31">
        <f>M12+M13+M14+M15</f>
        <v>616.47508161503993</v>
      </c>
      <c r="N11" s="19"/>
      <c r="O11" s="20"/>
      <c r="P11" s="20"/>
      <c r="Q11" s="20"/>
      <c r="R11" s="20"/>
      <c r="S11" s="21"/>
    </row>
    <row r="12" spans="1:21" ht="18.75" customHeight="1" x14ac:dyDescent="0.25">
      <c r="A12" s="18" t="s">
        <v>95</v>
      </c>
      <c r="B12" s="19"/>
      <c r="C12" s="20"/>
      <c r="D12" s="20"/>
      <c r="E12" s="20"/>
      <c r="F12" s="20"/>
      <c r="G12" s="21"/>
      <c r="H12" s="19">
        <v>0.58860000000000001</v>
      </c>
      <c r="I12" s="20">
        <v>1137.5999999999999</v>
      </c>
      <c r="J12" s="20">
        <v>20</v>
      </c>
      <c r="K12" s="20">
        <f>H12*I12*J12/100</f>
        <v>133.918272</v>
      </c>
      <c r="L12" s="20">
        <f>K12*0.2409</f>
        <v>32.260911724800003</v>
      </c>
      <c r="M12" s="21">
        <f>K12+L12</f>
        <v>166.1791837248</v>
      </c>
      <c r="N12" s="19"/>
      <c r="O12" s="20"/>
      <c r="P12" s="20"/>
      <c r="Q12" s="20"/>
      <c r="R12" s="20"/>
      <c r="S12" s="21"/>
      <c r="U12" s="28"/>
    </row>
    <row r="13" spans="1:21" ht="18.75" customHeight="1" x14ac:dyDescent="0.25">
      <c r="A13" s="18" t="s">
        <v>95</v>
      </c>
      <c r="B13" s="19"/>
      <c r="C13" s="20"/>
      <c r="D13" s="20"/>
      <c r="E13" s="20"/>
      <c r="F13" s="20"/>
      <c r="G13" s="21"/>
      <c r="H13" s="19">
        <v>0.31012000000000001</v>
      </c>
      <c r="I13" s="20">
        <v>1137.5999999999999</v>
      </c>
      <c r="J13" s="20">
        <v>20</v>
      </c>
      <c r="K13" s="20">
        <f>H13*I13*J13/100</f>
        <v>70.558502399999995</v>
      </c>
      <c r="L13" s="20">
        <f t="shared" ref="L13:L15" si="2">K13*0.2409</f>
        <v>16.997543228159998</v>
      </c>
      <c r="M13" s="21">
        <f t="shared" ref="M13:M15" si="3">K13+L13</f>
        <v>87.556045628159993</v>
      </c>
      <c r="N13" s="19"/>
      <c r="O13" s="20"/>
      <c r="P13" s="20"/>
      <c r="Q13" s="20"/>
      <c r="R13" s="20"/>
      <c r="S13" s="21"/>
      <c r="U13" s="28"/>
    </row>
    <row r="14" spans="1:21" ht="18.75" customHeight="1" x14ac:dyDescent="0.25">
      <c r="A14" s="18" t="s">
        <v>95</v>
      </c>
      <c r="B14" s="19"/>
      <c r="C14" s="20"/>
      <c r="D14" s="20"/>
      <c r="E14" s="20"/>
      <c r="F14" s="20"/>
      <c r="G14" s="21"/>
      <c r="H14" s="19">
        <v>0.83543999999999996</v>
      </c>
      <c r="I14" s="20">
        <v>1137.5999999999999</v>
      </c>
      <c r="J14" s="20">
        <v>20</v>
      </c>
      <c r="K14" s="20">
        <f>H14*I14*J14/100</f>
        <v>190.07930879999995</v>
      </c>
      <c r="L14" s="20">
        <f t="shared" si="2"/>
        <v>45.790105489919988</v>
      </c>
      <c r="M14" s="21">
        <f t="shared" si="3"/>
        <v>235.86941428991994</v>
      </c>
      <c r="N14" s="19"/>
      <c r="O14" s="20"/>
      <c r="P14" s="20"/>
      <c r="Q14" s="20"/>
      <c r="R14" s="20"/>
      <c r="S14" s="21"/>
      <c r="U14" s="28"/>
    </row>
    <row r="15" spans="1:21" ht="19.5" customHeight="1" x14ac:dyDescent="0.25">
      <c r="A15" s="18" t="s">
        <v>95</v>
      </c>
      <c r="B15" s="19"/>
      <c r="C15" s="20"/>
      <c r="D15" s="20"/>
      <c r="E15" s="20"/>
      <c r="F15" s="20"/>
      <c r="G15" s="21"/>
      <c r="H15" s="19">
        <v>0.44936999999999999</v>
      </c>
      <c r="I15" s="20">
        <v>1137.5999999999999</v>
      </c>
      <c r="J15" s="20">
        <v>20</v>
      </c>
      <c r="K15" s="20">
        <f>H15*I15*J15/100</f>
        <v>102.24066239999998</v>
      </c>
      <c r="L15" s="20">
        <f t="shared" si="2"/>
        <v>24.629775572159996</v>
      </c>
      <c r="M15" s="21">
        <f t="shared" si="3"/>
        <v>126.87043797215998</v>
      </c>
      <c r="N15" s="19"/>
      <c r="O15" s="20"/>
      <c r="P15" s="20"/>
      <c r="Q15" s="20"/>
      <c r="R15" s="20"/>
      <c r="S15" s="21"/>
      <c r="U15" s="28"/>
    </row>
    <row r="16" spans="1:21" ht="49.5" customHeight="1" x14ac:dyDescent="0.25">
      <c r="A16" s="18" t="s">
        <v>12</v>
      </c>
      <c r="B16" s="19"/>
      <c r="C16" s="20"/>
      <c r="D16" s="20"/>
      <c r="E16" s="20"/>
      <c r="F16" s="20"/>
      <c r="G16" s="21"/>
      <c r="H16" s="29">
        <f>H17+H18+H19+H20+H21+H22+H23+H24+H25+H26</f>
        <v>9.863999999999999</v>
      </c>
      <c r="I16" s="30"/>
      <c r="J16" s="30"/>
      <c r="K16" s="30">
        <f>K17+K18+K19+K20+K21+K22+K23+K24+K26+K25</f>
        <v>1464.3713279999999</v>
      </c>
      <c r="L16" s="30">
        <f>L17+L18+L19+L20+L21+L22+L23+L24+L26+L25</f>
        <v>352.7670529152</v>
      </c>
      <c r="M16" s="31">
        <f>M17+M18+M19+M20+M21+M22+M23+M24+M26+M25</f>
        <v>1817.1383809152001</v>
      </c>
      <c r="N16" s="19"/>
      <c r="O16" s="20"/>
      <c r="P16" s="20"/>
      <c r="Q16" s="20"/>
      <c r="R16" s="20"/>
      <c r="S16" s="21"/>
      <c r="U16" s="28"/>
    </row>
    <row r="17" spans="1:21" x14ac:dyDescent="0.25">
      <c r="A17" s="18" t="s">
        <v>133</v>
      </c>
      <c r="B17" s="19"/>
      <c r="C17" s="20"/>
      <c r="D17" s="20"/>
      <c r="E17" s="20"/>
      <c r="F17" s="20"/>
      <c r="G17" s="21"/>
      <c r="H17" s="19">
        <v>0.75</v>
      </c>
      <c r="I17" s="20">
        <v>700</v>
      </c>
      <c r="J17" s="20">
        <v>20</v>
      </c>
      <c r="K17" s="20">
        <f>I17*H17*J17/100</f>
        <v>105</v>
      </c>
      <c r="L17" s="20">
        <f>K17*0.2409</f>
        <v>25.294499999999999</v>
      </c>
      <c r="M17" s="21">
        <f>K17+L17</f>
        <v>130.2945</v>
      </c>
      <c r="N17" s="19"/>
      <c r="O17" s="20"/>
      <c r="P17" s="20"/>
      <c r="Q17" s="20"/>
      <c r="R17" s="20"/>
      <c r="S17" s="21"/>
      <c r="U17" s="28"/>
    </row>
    <row r="18" spans="1:21" x14ac:dyDescent="0.25">
      <c r="A18" s="18" t="s">
        <v>134</v>
      </c>
      <c r="B18" s="19"/>
      <c r="C18" s="20"/>
      <c r="D18" s="20"/>
      <c r="E18" s="20"/>
      <c r="F18" s="20"/>
      <c r="G18" s="21"/>
      <c r="H18" s="19">
        <v>1.2152000000000001</v>
      </c>
      <c r="I18" s="20">
        <v>758.4</v>
      </c>
      <c r="J18" s="20">
        <v>20</v>
      </c>
      <c r="K18" s="20">
        <f t="shared" ref="K18:K26" si="4">I18*H18*J18/100</f>
        <v>184.32153600000001</v>
      </c>
      <c r="L18" s="20">
        <f t="shared" ref="L18:L26" si="5">K18*0.2409</f>
        <v>44.403058022400003</v>
      </c>
      <c r="M18" s="21">
        <f t="shared" ref="M18:M26" si="6">K18+L18</f>
        <v>228.72459402240003</v>
      </c>
      <c r="N18" s="19"/>
      <c r="O18" s="20"/>
      <c r="P18" s="20"/>
      <c r="Q18" s="20"/>
      <c r="R18" s="20"/>
      <c r="S18" s="21"/>
      <c r="U18" s="28"/>
    </row>
    <row r="19" spans="1:21" x14ac:dyDescent="0.25">
      <c r="A19" s="18" t="s">
        <v>134</v>
      </c>
      <c r="B19" s="19"/>
      <c r="C19" s="20"/>
      <c r="D19" s="20"/>
      <c r="E19" s="20"/>
      <c r="F19" s="20"/>
      <c r="G19" s="21"/>
      <c r="H19" s="19">
        <v>0.75949999999999995</v>
      </c>
      <c r="I19" s="20">
        <v>758.4</v>
      </c>
      <c r="J19" s="20">
        <v>20</v>
      </c>
      <c r="K19" s="20">
        <f t="shared" si="4"/>
        <v>115.20095999999998</v>
      </c>
      <c r="L19" s="20">
        <f t="shared" si="5"/>
        <v>27.751911263999997</v>
      </c>
      <c r="M19" s="21">
        <f t="shared" si="6"/>
        <v>142.95287126399998</v>
      </c>
      <c r="N19" s="19"/>
      <c r="O19" s="20"/>
      <c r="P19" s="20"/>
      <c r="Q19" s="20"/>
      <c r="R19" s="20"/>
      <c r="S19" s="21"/>
      <c r="U19" s="28"/>
    </row>
    <row r="20" spans="1:21" x14ac:dyDescent="0.25">
      <c r="A20" s="18" t="s">
        <v>134</v>
      </c>
      <c r="B20" s="19"/>
      <c r="C20" s="20"/>
      <c r="D20" s="20"/>
      <c r="E20" s="20"/>
      <c r="F20" s="20"/>
      <c r="G20" s="21"/>
      <c r="H20" s="19">
        <v>1.2152000000000001</v>
      </c>
      <c r="I20" s="20">
        <v>663.6</v>
      </c>
      <c r="J20" s="20">
        <v>20</v>
      </c>
      <c r="K20" s="20">
        <f t="shared" si="4"/>
        <v>161.28134400000002</v>
      </c>
      <c r="L20" s="20">
        <f t="shared" si="5"/>
        <v>38.852675769600005</v>
      </c>
      <c r="M20" s="21">
        <f t="shared" si="6"/>
        <v>200.13401976960003</v>
      </c>
      <c r="N20" s="19"/>
      <c r="O20" s="20"/>
      <c r="P20" s="20"/>
      <c r="Q20" s="20"/>
      <c r="R20" s="20"/>
      <c r="S20" s="21"/>
      <c r="U20" s="28"/>
    </row>
    <row r="21" spans="1:21" x14ac:dyDescent="0.25">
      <c r="A21" s="18" t="s">
        <v>134</v>
      </c>
      <c r="B21" s="19"/>
      <c r="C21" s="20"/>
      <c r="D21" s="20"/>
      <c r="E21" s="20"/>
      <c r="F21" s="20"/>
      <c r="G21" s="21"/>
      <c r="H21" s="19">
        <v>1.0632999999999999</v>
      </c>
      <c r="I21" s="20">
        <v>758.4</v>
      </c>
      <c r="J21" s="20">
        <v>20</v>
      </c>
      <c r="K21" s="20">
        <f t="shared" si="4"/>
        <v>161.28134399999999</v>
      </c>
      <c r="L21" s="20">
        <f t="shared" si="5"/>
        <v>38.852675769599998</v>
      </c>
      <c r="M21" s="21">
        <f t="shared" si="6"/>
        <v>200.1340197696</v>
      </c>
      <c r="N21" s="19"/>
      <c r="O21" s="20"/>
      <c r="P21" s="20"/>
      <c r="Q21" s="20"/>
      <c r="R21" s="20"/>
      <c r="S21" s="21"/>
      <c r="U21" s="28"/>
    </row>
    <row r="22" spans="1:21" x14ac:dyDescent="0.25">
      <c r="A22" s="18" t="s">
        <v>134</v>
      </c>
      <c r="B22" s="19"/>
      <c r="C22" s="20"/>
      <c r="D22" s="20"/>
      <c r="E22" s="20"/>
      <c r="F22" s="20"/>
      <c r="G22" s="21"/>
      <c r="H22" s="19">
        <v>1.2152000000000001</v>
      </c>
      <c r="I22" s="20">
        <v>758.4</v>
      </c>
      <c r="J22" s="20">
        <v>20</v>
      </c>
      <c r="K22" s="20">
        <f t="shared" si="4"/>
        <v>184.32153600000001</v>
      </c>
      <c r="L22" s="20">
        <f t="shared" si="5"/>
        <v>44.403058022400003</v>
      </c>
      <c r="M22" s="21">
        <f t="shared" si="6"/>
        <v>228.72459402240003</v>
      </c>
      <c r="N22" s="19"/>
      <c r="O22" s="20"/>
      <c r="P22" s="20"/>
      <c r="Q22" s="20"/>
      <c r="R22" s="20"/>
      <c r="S22" s="21"/>
      <c r="U22" s="28"/>
    </row>
    <row r="23" spans="1:21" x14ac:dyDescent="0.25">
      <c r="A23" s="18" t="s">
        <v>134</v>
      </c>
      <c r="B23" s="19"/>
      <c r="C23" s="20"/>
      <c r="D23" s="20"/>
      <c r="E23" s="20"/>
      <c r="F23" s="20"/>
      <c r="G23" s="21"/>
      <c r="H23" s="19">
        <v>0.30380000000000001</v>
      </c>
      <c r="I23" s="20">
        <v>758.4</v>
      </c>
      <c r="J23" s="20">
        <v>20</v>
      </c>
      <c r="K23" s="20">
        <f t="shared" si="4"/>
        <v>46.080384000000002</v>
      </c>
      <c r="L23" s="20">
        <f t="shared" si="5"/>
        <v>11.100764505600001</v>
      </c>
      <c r="M23" s="21">
        <f t="shared" si="6"/>
        <v>57.181148505600007</v>
      </c>
      <c r="N23" s="19"/>
      <c r="O23" s="20"/>
      <c r="P23" s="20"/>
      <c r="Q23" s="20"/>
      <c r="R23" s="20"/>
      <c r="S23" s="21"/>
      <c r="U23" s="28"/>
    </row>
    <row r="24" spans="1:21" x14ac:dyDescent="0.25">
      <c r="A24" s="18" t="s">
        <v>134</v>
      </c>
      <c r="B24" s="19"/>
      <c r="C24" s="20"/>
      <c r="D24" s="20"/>
      <c r="E24" s="20"/>
      <c r="F24" s="20"/>
      <c r="G24" s="21"/>
      <c r="H24" s="19">
        <v>1.2152000000000001</v>
      </c>
      <c r="I24" s="20">
        <v>758.4</v>
      </c>
      <c r="J24" s="20">
        <v>20</v>
      </c>
      <c r="K24" s="20">
        <f t="shared" si="4"/>
        <v>184.32153600000001</v>
      </c>
      <c r="L24" s="20">
        <f t="shared" si="5"/>
        <v>44.403058022400003</v>
      </c>
      <c r="M24" s="21">
        <f t="shared" si="6"/>
        <v>228.72459402240003</v>
      </c>
      <c r="N24" s="19"/>
      <c r="O24" s="20"/>
      <c r="P24" s="20"/>
      <c r="Q24" s="20"/>
      <c r="R24" s="20"/>
      <c r="S24" s="21"/>
      <c r="U24" s="28"/>
    </row>
    <row r="25" spans="1:21" x14ac:dyDescent="0.25">
      <c r="A25" s="18" t="s">
        <v>134</v>
      </c>
      <c r="B25" s="19"/>
      <c r="C25" s="20"/>
      <c r="D25" s="20"/>
      <c r="E25" s="20"/>
      <c r="F25" s="20"/>
      <c r="G25" s="21"/>
      <c r="H25" s="19">
        <v>1.0632999999999999</v>
      </c>
      <c r="I25" s="20">
        <v>758.4</v>
      </c>
      <c r="J25" s="20">
        <v>20</v>
      </c>
      <c r="K25" s="20">
        <f t="shared" si="4"/>
        <v>161.28134399999999</v>
      </c>
      <c r="L25" s="20">
        <f t="shared" si="5"/>
        <v>38.852675769599998</v>
      </c>
      <c r="M25" s="21">
        <f t="shared" si="6"/>
        <v>200.1340197696</v>
      </c>
      <c r="N25" s="19"/>
      <c r="O25" s="20"/>
      <c r="P25" s="20"/>
      <c r="Q25" s="20"/>
      <c r="R25" s="20"/>
      <c r="S25" s="21"/>
      <c r="U25" s="28"/>
    </row>
    <row r="26" spans="1:21" x14ac:dyDescent="0.25">
      <c r="A26" s="18" t="s">
        <v>134</v>
      </c>
      <c r="B26" s="19"/>
      <c r="C26" s="20"/>
      <c r="D26" s="20"/>
      <c r="E26" s="20"/>
      <c r="F26" s="20"/>
      <c r="G26" s="21"/>
      <c r="H26" s="19">
        <v>1.0632999999999999</v>
      </c>
      <c r="I26" s="20">
        <v>758.4</v>
      </c>
      <c r="J26" s="20">
        <v>20</v>
      </c>
      <c r="K26" s="20">
        <f t="shared" si="4"/>
        <v>161.28134399999999</v>
      </c>
      <c r="L26" s="20">
        <f t="shared" si="5"/>
        <v>38.852675769599998</v>
      </c>
      <c r="M26" s="21">
        <f t="shared" si="6"/>
        <v>200.1340197696</v>
      </c>
      <c r="N26" s="19"/>
      <c r="O26" s="20"/>
      <c r="P26" s="20"/>
      <c r="Q26" s="20"/>
      <c r="R26" s="20"/>
      <c r="S26" s="21"/>
      <c r="U26" s="28"/>
    </row>
    <row r="27" spans="1:21" ht="50.25" customHeight="1" x14ac:dyDescent="0.25">
      <c r="A27" s="18" t="s">
        <v>13</v>
      </c>
      <c r="B27" s="19"/>
      <c r="C27" s="20"/>
      <c r="D27" s="20"/>
      <c r="E27" s="20"/>
      <c r="F27" s="20"/>
      <c r="G27" s="21"/>
      <c r="H27" s="29">
        <f>H28+H29+H30+H31</f>
        <v>4.2531999999999996</v>
      </c>
      <c r="I27" s="30"/>
      <c r="J27" s="30"/>
      <c r="K27" s="30">
        <f>K28+K29+K30+K31</f>
        <v>456.96380799999997</v>
      </c>
      <c r="L27" s="30">
        <f>L28+L29+L30+L31</f>
        <v>110.0825813472</v>
      </c>
      <c r="M27" s="31">
        <f>M28+M29+M30+M31</f>
        <v>567.04638934720003</v>
      </c>
      <c r="N27" s="19"/>
      <c r="O27" s="20"/>
      <c r="P27" s="20"/>
      <c r="Q27" s="20"/>
      <c r="R27" s="20"/>
      <c r="S27" s="21"/>
      <c r="U27" s="28"/>
    </row>
    <row r="28" spans="1:21" x14ac:dyDescent="0.25">
      <c r="A28" s="18" t="s">
        <v>135</v>
      </c>
      <c r="B28" s="19"/>
      <c r="C28" s="20"/>
      <c r="D28" s="20"/>
      <c r="E28" s="20"/>
      <c r="F28" s="20"/>
      <c r="G28" s="21"/>
      <c r="H28" s="19">
        <v>1.0632999999999999</v>
      </c>
      <c r="I28" s="20">
        <v>511.92</v>
      </c>
      <c r="J28" s="20">
        <v>20</v>
      </c>
      <c r="K28" s="20">
        <f>H28*I28*J28/100</f>
        <v>108.8649072</v>
      </c>
      <c r="L28" s="20">
        <f>K28*0.2409</f>
        <v>26.225556144480002</v>
      </c>
      <c r="M28" s="21">
        <f>K28+L28</f>
        <v>135.09046334448001</v>
      </c>
      <c r="N28" s="19"/>
      <c r="O28" s="20"/>
      <c r="P28" s="20"/>
      <c r="Q28" s="20"/>
      <c r="R28" s="20"/>
      <c r="S28" s="21"/>
      <c r="U28" s="28"/>
    </row>
    <row r="29" spans="1:21" x14ac:dyDescent="0.25">
      <c r="A29" s="18" t="s">
        <v>135</v>
      </c>
      <c r="B29" s="19"/>
      <c r="C29" s="20"/>
      <c r="D29" s="20"/>
      <c r="E29" s="20"/>
      <c r="F29" s="20"/>
      <c r="G29" s="21"/>
      <c r="H29" s="19">
        <v>1.0632999999999999</v>
      </c>
      <c r="I29" s="20">
        <v>511.92</v>
      </c>
      <c r="J29" s="20">
        <v>20</v>
      </c>
      <c r="K29" s="20">
        <f>H29*I29*J29/100</f>
        <v>108.8649072</v>
      </c>
      <c r="L29" s="20">
        <f t="shared" ref="L29:L31" si="7">K29*0.2409</f>
        <v>26.225556144480002</v>
      </c>
      <c r="M29" s="21">
        <f t="shared" ref="M29:M31" si="8">K29+L29</f>
        <v>135.09046334448001</v>
      </c>
      <c r="N29" s="19"/>
      <c r="O29" s="20"/>
      <c r="P29" s="20"/>
      <c r="Q29" s="20"/>
      <c r="R29" s="20"/>
      <c r="S29" s="21"/>
      <c r="U29" s="28"/>
    </row>
    <row r="30" spans="1:21" x14ac:dyDescent="0.25">
      <c r="A30" s="18" t="s">
        <v>136</v>
      </c>
      <c r="B30" s="19"/>
      <c r="C30" s="20"/>
      <c r="D30" s="20"/>
      <c r="E30" s="20"/>
      <c r="F30" s="20"/>
      <c r="G30" s="21"/>
      <c r="H30" s="19">
        <v>1.0632999999999999</v>
      </c>
      <c r="I30" s="20">
        <v>562.48</v>
      </c>
      <c r="J30" s="20">
        <v>20</v>
      </c>
      <c r="K30" s="20">
        <f>H30*I30*J30/100</f>
        <v>119.6169968</v>
      </c>
      <c r="L30" s="20">
        <f t="shared" si="7"/>
        <v>28.81573452912</v>
      </c>
      <c r="M30" s="21">
        <f t="shared" si="8"/>
        <v>148.43273132912</v>
      </c>
      <c r="N30" s="19"/>
      <c r="O30" s="20"/>
      <c r="P30" s="20"/>
      <c r="Q30" s="20"/>
      <c r="R30" s="20"/>
      <c r="S30" s="21"/>
      <c r="U30" s="28"/>
    </row>
    <row r="31" spans="1:21" x14ac:dyDescent="0.25">
      <c r="A31" s="18" t="s">
        <v>136</v>
      </c>
      <c r="B31" s="19"/>
      <c r="C31" s="20"/>
      <c r="D31" s="20"/>
      <c r="E31" s="20"/>
      <c r="F31" s="20"/>
      <c r="G31" s="21"/>
      <c r="H31" s="19">
        <v>1.0632999999999999</v>
      </c>
      <c r="I31" s="195" t="s">
        <v>137</v>
      </c>
      <c r="J31" s="20">
        <v>20</v>
      </c>
      <c r="K31" s="20">
        <f>H31*I31*J31/100</f>
        <v>119.6169968</v>
      </c>
      <c r="L31" s="20">
        <f t="shared" si="7"/>
        <v>28.81573452912</v>
      </c>
      <c r="M31" s="21">
        <f t="shared" si="8"/>
        <v>148.43273132912</v>
      </c>
      <c r="N31" s="19"/>
      <c r="O31" s="20"/>
      <c r="P31" s="20"/>
      <c r="Q31" s="20"/>
      <c r="R31" s="20"/>
      <c r="S31" s="21"/>
      <c r="U31" s="28"/>
    </row>
    <row r="32" spans="1:21" ht="36" customHeight="1" x14ac:dyDescent="0.25">
      <c r="A32" s="18" t="s">
        <v>11</v>
      </c>
      <c r="B32" s="19"/>
      <c r="C32" s="20"/>
      <c r="D32" s="20"/>
      <c r="E32" s="20"/>
      <c r="F32" s="20"/>
      <c r="G32" s="21"/>
      <c r="H32" s="19"/>
      <c r="I32" s="20"/>
      <c r="J32" s="20"/>
      <c r="K32" s="20"/>
      <c r="L32" s="20"/>
      <c r="M32" s="21"/>
      <c r="N32" s="19"/>
      <c r="O32" s="20"/>
      <c r="P32" s="20"/>
      <c r="Q32" s="20"/>
      <c r="R32" s="20"/>
      <c r="S32" s="21"/>
      <c r="U32" s="28"/>
    </row>
    <row r="33" spans="1:21" x14ac:dyDescent="0.25">
      <c r="A33" s="18" t="s">
        <v>1</v>
      </c>
      <c r="B33" s="19"/>
      <c r="C33" s="20"/>
      <c r="D33" s="20"/>
      <c r="E33" s="20"/>
      <c r="F33" s="20"/>
      <c r="G33" s="21"/>
      <c r="H33" s="19"/>
      <c r="I33" s="20"/>
      <c r="J33" s="20"/>
      <c r="K33" s="20"/>
      <c r="L33" s="20"/>
      <c r="M33" s="21"/>
      <c r="N33" s="19"/>
      <c r="O33" s="20"/>
      <c r="P33" s="20"/>
      <c r="Q33" s="20"/>
      <c r="R33" s="20"/>
      <c r="S33" s="21"/>
      <c r="U33" s="28"/>
    </row>
    <row r="34" spans="1:21" s="1" customFormat="1" ht="24" customHeight="1" x14ac:dyDescent="0.25">
      <c r="A34" s="165" t="s">
        <v>138</v>
      </c>
      <c r="B34" s="15"/>
      <c r="C34" s="16"/>
      <c r="D34" s="16"/>
      <c r="E34" s="16"/>
      <c r="F34" s="16"/>
      <c r="G34" s="17"/>
      <c r="H34" s="16">
        <f t="shared" ref="H34" si="9">H38</f>
        <v>0.87339999999999995</v>
      </c>
      <c r="I34" s="16"/>
      <c r="J34" s="16"/>
      <c r="K34" s="16">
        <f>K38</f>
        <v>132.47731199999998</v>
      </c>
      <c r="L34" s="16">
        <f>L38</f>
        <v>31.913784460799995</v>
      </c>
      <c r="M34" s="17">
        <f>M38</f>
        <v>164.39109646079999</v>
      </c>
      <c r="N34" s="196"/>
      <c r="O34" s="125"/>
      <c r="P34" s="125"/>
      <c r="Q34" s="16"/>
      <c r="R34" s="16"/>
      <c r="S34" s="17"/>
      <c r="T34" s="2"/>
      <c r="U34" s="28"/>
    </row>
    <row r="35" spans="1:21" ht="62.25" customHeight="1" x14ac:dyDescent="0.25">
      <c r="A35" s="18" t="s">
        <v>14</v>
      </c>
      <c r="B35" s="19"/>
      <c r="C35" s="20"/>
      <c r="D35" s="20"/>
      <c r="E35" s="20"/>
      <c r="F35" s="20"/>
      <c r="G35" s="21"/>
      <c r="H35" s="19"/>
      <c r="I35" s="20"/>
      <c r="J35" s="20"/>
      <c r="K35" s="20"/>
      <c r="L35" s="20"/>
      <c r="M35" s="21"/>
      <c r="N35" s="19"/>
      <c r="O35" s="20"/>
      <c r="P35" s="20"/>
      <c r="Q35" s="20"/>
      <c r="R35" s="20"/>
      <c r="S35" s="21"/>
      <c r="U35" s="28"/>
    </row>
    <row r="36" spans="1:21" ht="18.75" customHeight="1" x14ac:dyDescent="0.25">
      <c r="A36" s="18" t="s">
        <v>1</v>
      </c>
      <c r="B36" s="19"/>
      <c r="C36" s="20"/>
      <c r="D36" s="20"/>
      <c r="E36" s="20"/>
      <c r="F36" s="20"/>
      <c r="G36" s="21"/>
      <c r="H36" s="19"/>
      <c r="I36" s="20"/>
      <c r="J36" s="20"/>
      <c r="K36" s="20"/>
      <c r="L36" s="20"/>
      <c r="M36" s="21"/>
      <c r="N36" s="19"/>
      <c r="O36" s="20"/>
      <c r="P36" s="20"/>
      <c r="Q36" s="20"/>
      <c r="R36" s="20"/>
      <c r="S36" s="21"/>
      <c r="U36" s="28"/>
    </row>
    <row r="37" spans="1:21" ht="49.5" customHeight="1" x14ac:dyDescent="0.25">
      <c r="A37" s="18" t="s">
        <v>12</v>
      </c>
      <c r="B37" s="19"/>
      <c r="C37" s="20"/>
      <c r="D37" s="20"/>
      <c r="E37" s="20"/>
      <c r="F37" s="20"/>
      <c r="G37" s="21"/>
      <c r="H37" s="29">
        <f>H38</f>
        <v>0.87339999999999995</v>
      </c>
      <c r="I37" s="30"/>
      <c r="J37" s="30"/>
      <c r="K37" s="30">
        <f>K38</f>
        <v>132.47731199999998</v>
      </c>
      <c r="L37" s="30">
        <f>L38</f>
        <v>31.913784460799995</v>
      </c>
      <c r="M37" s="31">
        <f>M38</f>
        <v>164.39109646079999</v>
      </c>
      <c r="N37" s="19"/>
      <c r="O37" s="20"/>
      <c r="P37" s="20"/>
      <c r="Q37" s="20"/>
      <c r="R37" s="20"/>
      <c r="S37" s="21"/>
      <c r="U37" s="28"/>
    </row>
    <row r="38" spans="1:21" x14ac:dyDescent="0.25">
      <c r="A38" s="18" t="s">
        <v>134</v>
      </c>
      <c r="B38" s="19"/>
      <c r="C38" s="20"/>
      <c r="D38" s="20"/>
      <c r="E38" s="20"/>
      <c r="F38" s="20"/>
      <c r="G38" s="21"/>
      <c r="H38" s="19">
        <v>0.87339999999999995</v>
      </c>
      <c r="I38" s="20">
        <v>758.4</v>
      </c>
      <c r="J38" s="20">
        <v>20</v>
      </c>
      <c r="K38" s="20">
        <f>H38*I38*J38/100</f>
        <v>132.47731199999998</v>
      </c>
      <c r="L38" s="20">
        <f>K38*0.2409</f>
        <v>31.913784460799995</v>
      </c>
      <c r="M38" s="21">
        <f>K38+L38</f>
        <v>164.39109646079999</v>
      </c>
      <c r="N38" s="19"/>
      <c r="O38" s="20"/>
      <c r="P38" s="20"/>
      <c r="Q38" s="20"/>
      <c r="R38" s="20"/>
      <c r="S38" s="21"/>
      <c r="U38" s="28"/>
    </row>
    <row r="39" spans="1:21" ht="64.5" customHeight="1" x14ac:dyDescent="0.25">
      <c r="A39" s="18" t="s">
        <v>13</v>
      </c>
      <c r="B39" s="19"/>
      <c r="C39" s="20"/>
      <c r="D39" s="20"/>
      <c r="E39" s="20"/>
      <c r="F39" s="20"/>
      <c r="G39" s="21"/>
      <c r="H39" s="19"/>
      <c r="I39" s="20"/>
      <c r="J39" s="20"/>
      <c r="K39" s="20"/>
      <c r="L39" s="20"/>
      <c r="M39" s="21"/>
      <c r="N39" s="19"/>
      <c r="O39" s="20"/>
      <c r="P39" s="20"/>
      <c r="Q39" s="20"/>
      <c r="R39" s="20"/>
      <c r="S39" s="21"/>
      <c r="U39" s="28"/>
    </row>
    <row r="40" spans="1:21" x14ac:dyDescent="0.25">
      <c r="A40" s="18" t="s">
        <v>1</v>
      </c>
      <c r="B40" s="19"/>
      <c r="C40" s="20"/>
      <c r="D40" s="20"/>
      <c r="E40" s="20"/>
      <c r="F40" s="20"/>
      <c r="G40" s="21"/>
      <c r="H40" s="19"/>
      <c r="I40" s="20"/>
      <c r="J40" s="20"/>
      <c r="K40" s="20"/>
      <c r="L40" s="20"/>
      <c r="M40" s="21"/>
      <c r="N40" s="19"/>
      <c r="O40" s="20"/>
      <c r="P40" s="20"/>
      <c r="Q40" s="20"/>
      <c r="R40" s="20"/>
      <c r="S40" s="21"/>
      <c r="U40" s="28"/>
    </row>
    <row r="41" spans="1:21" ht="37.5" customHeight="1" x14ac:dyDescent="0.25">
      <c r="A41" s="18" t="s">
        <v>11</v>
      </c>
      <c r="B41" s="19"/>
      <c r="C41" s="20"/>
      <c r="D41" s="20"/>
      <c r="E41" s="20"/>
      <c r="F41" s="20"/>
      <c r="G41" s="21"/>
      <c r="H41" s="19"/>
      <c r="I41" s="20"/>
      <c r="J41" s="20"/>
      <c r="K41" s="20"/>
      <c r="L41" s="20"/>
      <c r="M41" s="21"/>
      <c r="N41" s="19"/>
      <c r="O41" s="20"/>
      <c r="P41" s="20"/>
      <c r="Q41" s="20"/>
      <c r="R41" s="20"/>
      <c r="S41" s="21"/>
      <c r="U41" s="28"/>
    </row>
    <row r="42" spans="1:21" x14ac:dyDescent="0.25">
      <c r="A42" s="18" t="s">
        <v>1</v>
      </c>
      <c r="B42" s="19"/>
      <c r="C42" s="20"/>
      <c r="D42" s="20"/>
      <c r="E42" s="20"/>
      <c r="F42" s="20"/>
      <c r="G42" s="21"/>
      <c r="H42" s="19"/>
      <c r="I42" s="20"/>
      <c r="J42" s="20"/>
      <c r="K42" s="20"/>
      <c r="L42" s="20"/>
      <c r="M42" s="21"/>
      <c r="N42" s="19"/>
      <c r="O42" s="20"/>
      <c r="P42" s="20"/>
      <c r="Q42" s="20"/>
      <c r="R42" s="20"/>
      <c r="S42" s="21"/>
      <c r="U42" s="28"/>
    </row>
    <row r="43" spans="1:21" s="1" customFormat="1" ht="24" customHeight="1" x14ac:dyDescent="0.25">
      <c r="A43" s="165" t="s">
        <v>139</v>
      </c>
      <c r="B43" s="15"/>
      <c r="C43" s="16"/>
      <c r="D43" s="16"/>
      <c r="E43" s="16"/>
      <c r="F43" s="16"/>
      <c r="G43" s="17"/>
      <c r="H43" s="16">
        <f t="shared" ref="H43" si="10">H47+H48+H49+H50</f>
        <v>2.3058000000000001</v>
      </c>
      <c r="I43" s="16"/>
      <c r="J43" s="16"/>
      <c r="K43" s="16">
        <f>K47+K48+K49+K50</f>
        <v>396.5640186</v>
      </c>
      <c r="L43" s="16">
        <f>L47+L48+L49+L50</f>
        <v>95.532272080740015</v>
      </c>
      <c r="M43" s="17">
        <f>M47+M48+M49+M50</f>
        <v>492.10320078710004</v>
      </c>
      <c r="N43" s="196"/>
      <c r="O43" s="125"/>
      <c r="P43" s="125"/>
      <c r="Q43" s="16"/>
      <c r="R43" s="16"/>
      <c r="S43" s="17"/>
      <c r="T43" s="2"/>
      <c r="U43" s="28"/>
    </row>
    <row r="44" spans="1:21" ht="51" customHeight="1" x14ac:dyDescent="0.25">
      <c r="A44" s="18" t="s">
        <v>14</v>
      </c>
      <c r="B44" s="19"/>
      <c r="C44" s="20"/>
      <c r="D44" s="20"/>
      <c r="E44" s="20"/>
      <c r="F44" s="20"/>
      <c r="G44" s="21"/>
      <c r="H44" s="19"/>
      <c r="I44" s="20"/>
      <c r="J44" s="20"/>
      <c r="K44" s="20"/>
      <c r="L44" s="20"/>
      <c r="M44" s="21"/>
      <c r="N44" s="19"/>
      <c r="O44" s="20"/>
      <c r="P44" s="20"/>
      <c r="Q44" s="20"/>
      <c r="R44" s="20"/>
      <c r="S44" s="21"/>
      <c r="U44" s="28"/>
    </row>
    <row r="45" spans="1:21" ht="18.75" customHeight="1" x14ac:dyDescent="0.25">
      <c r="A45" s="18" t="s">
        <v>1</v>
      </c>
      <c r="B45" s="19"/>
      <c r="C45" s="20"/>
      <c r="D45" s="20"/>
      <c r="E45" s="20"/>
      <c r="F45" s="20"/>
      <c r="G45" s="21"/>
      <c r="H45" s="19"/>
      <c r="I45" s="20"/>
      <c r="J45" s="20"/>
      <c r="K45" s="20"/>
      <c r="L45" s="20"/>
      <c r="M45" s="21"/>
      <c r="N45" s="19"/>
      <c r="O45" s="20"/>
      <c r="P45" s="20"/>
      <c r="Q45" s="20"/>
      <c r="R45" s="20"/>
      <c r="S45" s="21"/>
      <c r="U45" s="28"/>
    </row>
    <row r="46" spans="1:21" ht="49.5" customHeight="1" x14ac:dyDescent="0.25">
      <c r="A46" s="18" t="s">
        <v>12</v>
      </c>
      <c r="B46" s="19"/>
      <c r="C46" s="20"/>
      <c r="D46" s="20"/>
      <c r="E46" s="20"/>
      <c r="F46" s="20"/>
      <c r="G46" s="21"/>
      <c r="H46" s="29">
        <f>H47+H48+H49+H50</f>
        <v>2.3058000000000001</v>
      </c>
      <c r="I46" s="30"/>
      <c r="J46" s="30"/>
      <c r="K46" s="30">
        <f>K47++K48+K49+K50</f>
        <v>396.5640186</v>
      </c>
      <c r="L46" s="30">
        <f>L47+L48+L49+L50</f>
        <v>95.532272080740015</v>
      </c>
      <c r="M46" s="31">
        <f>M47+M48+M49+M50</f>
        <v>492.10320078710004</v>
      </c>
      <c r="N46" s="19"/>
      <c r="O46" s="20"/>
      <c r="P46" s="20"/>
      <c r="Q46" s="20"/>
      <c r="R46" s="20"/>
      <c r="S46" s="21"/>
      <c r="U46" s="28"/>
    </row>
    <row r="47" spans="1:21" x14ac:dyDescent="0.25">
      <c r="A47" s="18" t="s">
        <v>140</v>
      </c>
      <c r="B47" s="19"/>
      <c r="C47" s="20"/>
      <c r="D47" s="20"/>
      <c r="E47" s="20"/>
      <c r="F47" s="20"/>
      <c r="G47" s="21"/>
      <c r="H47" s="19">
        <v>0.55059999999999998</v>
      </c>
      <c r="I47" s="20">
        <v>1173.33</v>
      </c>
      <c r="J47" s="20">
        <v>20</v>
      </c>
      <c r="K47" s="20">
        <f>H47*I47*J47/100</f>
        <v>129.20709959999999</v>
      </c>
      <c r="L47" s="20">
        <f>K47*0.2409</f>
        <v>31.125990293639997</v>
      </c>
      <c r="M47" s="21">
        <v>160.34</v>
      </c>
      <c r="N47" s="19"/>
      <c r="O47" s="20"/>
      <c r="P47" s="20"/>
      <c r="Q47" s="20"/>
      <c r="R47" s="20"/>
      <c r="S47" s="21"/>
      <c r="U47" s="28"/>
    </row>
    <row r="48" spans="1:21" x14ac:dyDescent="0.25">
      <c r="A48" s="18" t="s">
        <v>133</v>
      </c>
      <c r="B48" s="19"/>
      <c r="C48" s="20"/>
      <c r="D48" s="20"/>
      <c r="E48" s="20"/>
      <c r="F48" s="20"/>
      <c r="G48" s="21"/>
      <c r="H48" s="19">
        <v>0.33750000000000002</v>
      </c>
      <c r="I48" s="20">
        <v>1173.33</v>
      </c>
      <c r="J48" s="20">
        <v>20</v>
      </c>
      <c r="K48" s="20">
        <f>H48*I48*J48/100</f>
        <v>79.199775000000002</v>
      </c>
      <c r="L48" s="20">
        <f t="shared" ref="L48:L50" si="11">K48*0.2409</f>
        <v>19.079225797500001</v>
      </c>
      <c r="M48" s="21">
        <f t="shared" ref="M48:M50" si="12">K48+L48</f>
        <v>98.279000797500004</v>
      </c>
      <c r="N48" s="19"/>
      <c r="O48" s="20"/>
      <c r="P48" s="20"/>
      <c r="Q48" s="20"/>
      <c r="R48" s="20"/>
      <c r="S48" s="21"/>
      <c r="U48" s="28"/>
    </row>
    <row r="49" spans="1:21" x14ac:dyDescent="0.25">
      <c r="A49" s="18" t="s">
        <v>134</v>
      </c>
      <c r="B49" s="19"/>
      <c r="C49" s="20"/>
      <c r="D49" s="20"/>
      <c r="E49" s="20"/>
      <c r="F49" s="20"/>
      <c r="G49" s="21"/>
      <c r="H49" s="19">
        <v>0.91139999999999999</v>
      </c>
      <c r="I49" s="20">
        <v>663.6</v>
      </c>
      <c r="J49" s="20">
        <v>20</v>
      </c>
      <c r="K49" s="20">
        <f>H49*I49*J49/100</f>
        <v>120.96100800000001</v>
      </c>
      <c r="L49" s="20">
        <f t="shared" si="11"/>
        <v>29.139506827200002</v>
      </c>
      <c r="M49" s="21">
        <f t="shared" si="12"/>
        <v>150.10051482720002</v>
      </c>
      <c r="N49" s="19"/>
      <c r="O49" s="20"/>
      <c r="P49" s="20"/>
      <c r="Q49" s="20"/>
      <c r="R49" s="20"/>
      <c r="S49" s="21"/>
      <c r="U49" s="28"/>
    </row>
    <row r="50" spans="1:21" x14ac:dyDescent="0.25">
      <c r="A50" s="18" t="s">
        <v>141</v>
      </c>
      <c r="B50" s="19"/>
      <c r="C50" s="20"/>
      <c r="D50" s="20"/>
      <c r="E50" s="20"/>
      <c r="F50" s="20"/>
      <c r="G50" s="21"/>
      <c r="H50" s="19">
        <v>0.50629999999999997</v>
      </c>
      <c r="I50" s="20">
        <v>663.6</v>
      </c>
      <c r="J50" s="20">
        <v>20</v>
      </c>
      <c r="K50" s="20">
        <f>H50*I50*J50/100</f>
        <v>67.19613600000001</v>
      </c>
      <c r="L50" s="20">
        <f t="shared" si="11"/>
        <v>16.187549162400003</v>
      </c>
      <c r="M50" s="21">
        <f t="shared" si="12"/>
        <v>83.383685162400013</v>
      </c>
      <c r="N50" s="19"/>
      <c r="O50" s="20"/>
      <c r="P50" s="20"/>
      <c r="Q50" s="20"/>
      <c r="R50" s="20"/>
      <c r="S50" s="21"/>
      <c r="U50" s="28"/>
    </row>
    <row r="51" spans="1:21" ht="64.5" customHeight="1" x14ac:dyDescent="0.25">
      <c r="A51" s="18" t="s">
        <v>13</v>
      </c>
      <c r="B51" s="19"/>
      <c r="C51" s="20"/>
      <c r="D51" s="20"/>
      <c r="E51" s="20"/>
      <c r="F51" s="20"/>
      <c r="G51" s="21"/>
      <c r="H51" s="19"/>
      <c r="I51" s="20"/>
      <c r="J51" s="20"/>
      <c r="K51" s="20"/>
      <c r="L51" s="20"/>
      <c r="M51" s="21"/>
      <c r="N51" s="19"/>
      <c r="O51" s="20"/>
      <c r="P51" s="20"/>
      <c r="Q51" s="20"/>
      <c r="R51" s="20"/>
      <c r="S51" s="21"/>
      <c r="U51" s="28"/>
    </row>
    <row r="52" spans="1:21" x14ac:dyDescent="0.25">
      <c r="A52" s="18" t="s">
        <v>1</v>
      </c>
      <c r="B52" s="19"/>
      <c r="C52" s="20"/>
      <c r="D52" s="20"/>
      <c r="E52" s="20"/>
      <c r="F52" s="20"/>
      <c r="G52" s="21"/>
      <c r="H52" s="19"/>
      <c r="I52" s="20"/>
      <c r="J52" s="20"/>
      <c r="K52" s="20"/>
      <c r="L52" s="20"/>
      <c r="M52" s="21"/>
      <c r="N52" s="19"/>
      <c r="O52" s="20"/>
      <c r="P52" s="20"/>
      <c r="Q52" s="20"/>
      <c r="R52" s="20"/>
      <c r="S52" s="21"/>
      <c r="U52" s="28"/>
    </row>
    <row r="53" spans="1:21" ht="37.5" customHeight="1" x14ac:dyDescent="0.25">
      <c r="A53" s="18" t="s">
        <v>11</v>
      </c>
      <c r="B53" s="19"/>
      <c r="C53" s="20"/>
      <c r="D53" s="20"/>
      <c r="E53" s="20"/>
      <c r="F53" s="20"/>
      <c r="G53" s="21"/>
      <c r="H53" s="19"/>
      <c r="I53" s="20"/>
      <c r="J53" s="20"/>
      <c r="K53" s="20"/>
      <c r="L53" s="20"/>
      <c r="M53" s="21"/>
      <c r="N53" s="19"/>
      <c r="O53" s="20"/>
      <c r="P53" s="20"/>
      <c r="Q53" s="20"/>
      <c r="R53" s="20"/>
      <c r="S53" s="21"/>
      <c r="U53" s="28"/>
    </row>
    <row r="54" spans="1:21" ht="22.5" customHeight="1" x14ac:dyDescent="0.25">
      <c r="A54" s="18"/>
      <c r="B54" s="19"/>
      <c r="C54" s="20"/>
      <c r="D54" s="20"/>
      <c r="E54" s="20"/>
      <c r="F54" s="20"/>
      <c r="G54" s="21"/>
      <c r="H54" s="19"/>
      <c r="I54" s="20"/>
      <c r="J54" s="20"/>
      <c r="K54" s="20"/>
      <c r="L54" s="20"/>
      <c r="M54" s="21"/>
      <c r="N54" s="19"/>
      <c r="O54" s="20"/>
      <c r="P54" s="20"/>
      <c r="Q54" s="20"/>
      <c r="R54" s="20"/>
      <c r="S54" s="21"/>
      <c r="U54" s="28"/>
    </row>
    <row r="55" spans="1:21" s="1" customFormat="1" ht="24" customHeight="1" x14ac:dyDescent="0.25">
      <c r="A55" s="165" t="s">
        <v>142</v>
      </c>
      <c r="B55" s="15"/>
      <c r="C55" s="16"/>
      <c r="D55" s="16"/>
      <c r="E55" s="16"/>
      <c r="F55" s="16"/>
      <c r="G55" s="17"/>
      <c r="H55" s="16">
        <f t="shared" ref="H55" si="13">H58+H61</f>
        <v>1.4841500000000001</v>
      </c>
      <c r="I55" s="16"/>
      <c r="J55" s="16"/>
      <c r="K55" s="16">
        <f>K58+K61</f>
        <v>226.99</v>
      </c>
      <c r="L55" s="16">
        <f>L58+L61</f>
        <v>54.682000000000002</v>
      </c>
      <c r="M55" s="17">
        <f>M58+M61</f>
        <v>281.67200000000003</v>
      </c>
      <c r="N55" s="196"/>
      <c r="O55" s="125"/>
      <c r="P55" s="125"/>
      <c r="Q55" s="16"/>
      <c r="R55" s="16"/>
      <c r="S55" s="17"/>
      <c r="T55" s="2"/>
      <c r="U55" s="28"/>
    </row>
    <row r="56" spans="1:21" ht="47.25" customHeight="1" x14ac:dyDescent="0.25">
      <c r="A56" s="18" t="s">
        <v>14</v>
      </c>
      <c r="B56" s="19"/>
      <c r="C56" s="20"/>
      <c r="D56" s="20"/>
      <c r="E56" s="20"/>
      <c r="F56" s="20"/>
      <c r="G56" s="21"/>
      <c r="H56" s="19"/>
      <c r="I56" s="20"/>
      <c r="J56" s="20"/>
      <c r="K56" s="20"/>
      <c r="L56" s="20"/>
      <c r="M56" s="21"/>
      <c r="N56" s="19"/>
      <c r="O56" s="20"/>
      <c r="P56" s="20"/>
      <c r="Q56" s="20"/>
      <c r="R56" s="20"/>
      <c r="S56" s="21"/>
      <c r="U56" s="28"/>
    </row>
    <row r="57" spans="1:21" ht="18.75" customHeight="1" x14ac:dyDescent="0.25">
      <c r="A57" s="18"/>
      <c r="B57" s="19"/>
      <c r="C57" s="20"/>
      <c r="D57" s="20"/>
      <c r="E57" s="20"/>
      <c r="F57" s="20"/>
      <c r="G57" s="21"/>
      <c r="H57" s="19"/>
      <c r="I57" s="20"/>
      <c r="J57" s="20"/>
      <c r="K57" s="20"/>
      <c r="L57" s="20"/>
      <c r="M57" s="21"/>
      <c r="N57" s="19"/>
      <c r="O57" s="20"/>
      <c r="P57" s="20"/>
      <c r="Q57" s="20"/>
      <c r="R57" s="20"/>
      <c r="S57" s="21"/>
      <c r="U57" s="28"/>
    </row>
    <row r="58" spans="1:21" ht="49.5" customHeight="1" x14ac:dyDescent="0.25">
      <c r="A58" s="18" t="s">
        <v>12</v>
      </c>
      <c r="B58" s="19"/>
      <c r="C58" s="20"/>
      <c r="D58" s="20"/>
      <c r="E58" s="20"/>
      <c r="F58" s="20"/>
      <c r="G58" s="21"/>
      <c r="H58" s="29">
        <f>H59+H60</f>
        <v>1.0664500000000001</v>
      </c>
      <c r="I58" s="30"/>
      <c r="J58" s="30"/>
      <c r="K58" s="30">
        <f>K59+K60</f>
        <v>180</v>
      </c>
      <c r="L58" s="30">
        <f>L59+L60</f>
        <v>43.362000000000002</v>
      </c>
      <c r="M58" s="31">
        <f>M59+M60</f>
        <v>223.36199999999999</v>
      </c>
      <c r="N58" s="19"/>
      <c r="O58" s="20"/>
      <c r="P58" s="20"/>
      <c r="Q58" s="20"/>
      <c r="R58" s="20"/>
      <c r="S58" s="21"/>
      <c r="U58" s="28"/>
    </row>
    <row r="59" spans="1:21" x14ac:dyDescent="0.25">
      <c r="A59" s="18" t="s">
        <v>133</v>
      </c>
      <c r="B59" s="19"/>
      <c r="C59" s="20"/>
      <c r="D59" s="20"/>
      <c r="E59" s="20"/>
      <c r="F59" s="20"/>
      <c r="G59" s="21"/>
      <c r="H59" s="19">
        <v>0.75</v>
      </c>
      <c r="I59" s="20">
        <v>880</v>
      </c>
      <c r="J59" s="20">
        <v>20</v>
      </c>
      <c r="K59" s="20">
        <v>132</v>
      </c>
      <c r="L59" s="20">
        <f>K59*0.2409</f>
        <v>31.7988</v>
      </c>
      <c r="M59" s="21">
        <f>K59+L59</f>
        <v>163.7988</v>
      </c>
      <c r="N59" s="19"/>
      <c r="O59" s="20"/>
      <c r="P59" s="20"/>
      <c r="Q59" s="20"/>
      <c r="R59" s="20"/>
      <c r="S59" s="21"/>
      <c r="U59" s="28"/>
    </row>
    <row r="60" spans="1:21" x14ac:dyDescent="0.25">
      <c r="A60" s="18" t="s">
        <v>134</v>
      </c>
      <c r="B60" s="19"/>
      <c r="C60" s="20"/>
      <c r="D60" s="20"/>
      <c r="E60" s="20"/>
      <c r="F60" s="20"/>
      <c r="G60" s="21"/>
      <c r="H60" s="19">
        <v>0.31645000000000001</v>
      </c>
      <c r="I60" s="20">
        <v>758.4</v>
      </c>
      <c r="J60" s="20">
        <v>20</v>
      </c>
      <c r="K60" s="20">
        <v>48</v>
      </c>
      <c r="L60" s="20">
        <f>K60*0.2409</f>
        <v>11.5632</v>
      </c>
      <c r="M60" s="21">
        <f>K60+L60</f>
        <v>59.563200000000002</v>
      </c>
      <c r="N60" s="19"/>
      <c r="O60" s="20"/>
      <c r="P60" s="20"/>
      <c r="Q60" s="20"/>
      <c r="R60" s="20"/>
      <c r="S60" s="21"/>
      <c r="U60" s="28"/>
    </row>
    <row r="61" spans="1:21" ht="64.5" customHeight="1" x14ac:dyDescent="0.25">
      <c r="A61" s="18" t="s">
        <v>13</v>
      </c>
      <c r="B61" s="19"/>
      <c r="C61" s="20"/>
      <c r="D61" s="20"/>
      <c r="E61" s="20"/>
      <c r="F61" s="20"/>
      <c r="G61" s="21"/>
      <c r="H61" s="29">
        <f>H62</f>
        <v>0.41770000000000002</v>
      </c>
      <c r="I61" s="30"/>
      <c r="J61" s="30"/>
      <c r="K61" s="30">
        <v>46.99</v>
      </c>
      <c r="L61" s="30">
        <v>11.32</v>
      </c>
      <c r="M61" s="31">
        <v>58.31</v>
      </c>
      <c r="N61" s="19"/>
      <c r="O61" s="20"/>
      <c r="P61" s="20"/>
      <c r="Q61" s="20"/>
      <c r="R61" s="20"/>
      <c r="S61" s="21"/>
      <c r="U61" s="28"/>
    </row>
    <row r="62" spans="1:21" x14ac:dyDescent="0.25">
      <c r="A62" s="18" t="s">
        <v>136</v>
      </c>
      <c r="B62" s="19"/>
      <c r="C62" s="20"/>
      <c r="D62" s="20"/>
      <c r="E62" s="20"/>
      <c r="F62" s="20"/>
      <c r="G62" s="21"/>
      <c r="H62" s="19">
        <v>0.41770000000000002</v>
      </c>
      <c r="I62" s="20">
        <v>562.48</v>
      </c>
      <c r="J62" s="20">
        <v>20</v>
      </c>
      <c r="K62" s="20">
        <f>H62*I62*J62/100</f>
        <v>46.989579200000009</v>
      </c>
      <c r="L62" s="20">
        <f>K62*0.2409</f>
        <v>11.319789629280002</v>
      </c>
      <c r="M62" s="21">
        <f>K62+L62</f>
        <v>58.309368829280011</v>
      </c>
      <c r="N62" s="19"/>
      <c r="O62" s="20"/>
      <c r="P62" s="20"/>
      <c r="Q62" s="20"/>
      <c r="R62" s="20"/>
      <c r="S62" s="21"/>
      <c r="U62" s="28"/>
    </row>
    <row r="63" spans="1:21" x14ac:dyDescent="0.25">
      <c r="A63" s="18" t="s">
        <v>1</v>
      </c>
      <c r="B63" s="19"/>
      <c r="C63" s="20"/>
      <c r="D63" s="20"/>
      <c r="E63" s="20"/>
      <c r="F63" s="20"/>
      <c r="G63" s="21"/>
      <c r="H63" s="19"/>
      <c r="I63" s="20"/>
      <c r="J63" s="20"/>
      <c r="K63" s="20"/>
      <c r="L63" s="20"/>
      <c r="M63" s="21"/>
      <c r="N63" s="19"/>
      <c r="O63" s="20"/>
      <c r="P63" s="20"/>
      <c r="Q63" s="20"/>
      <c r="R63" s="20"/>
      <c r="S63" s="21"/>
      <c r="U63" s="28"/>
    </row>
    <row r="64" spans="1:21" ht="37.5" customHeight="1" x14ac:dyDescent="0.25">
      <c r="A64" s="18" t="s">
        <v>11</v>
      </c>
      <c r="B64" s="19"/>
      <c r="C64" s="20"/>
      <c r="D64" s="20"/>
      <c r="E64" s="20"/>
      <c r="F64" s="20"/>
      <c r="G64" s="21"/>
      <c r="H64" s="19"/>
      <c r="I64" s="20"/>
      <c r="J64" s="20"/>
      <c r="K64" s="20"/>
      <c r="L64" s="20"/>
      <c r="M64" s="21"/>
      <c r="N64" s="19"/>
      <c r="O64" s="20"/>
      <c r="P64" s="20"/>
      <c r="Q64" s="20"/>
      <c r="R64" s="20"/>
      <c r="S64" s="21"/>
      <c r="U64" s="28"/>
    </row>
    <row r="65" spans="1:21" ht="22.5" customHeight="1" x14ac:dyDescent="0.25">
      <c r="A65" s="18"/>
      <c r="B65" s="19"/>
      <c r="C65" s="20"/>
      <c r="D65" s="20"/>
      <c r="E65" s="20"/>
      <c r="F65" s="20"/>
      <c r="G65" s="21"/>
      <c r="H65" s="19"/>
      <c r="I65" s="20"/>
      <c r="J65" s="20"/>
      <c r="K65" s="20"/>
      <c r="L65" s="20"/>
      <c r="M65" s="21"/>
      <c r="N65" s="19"/>
      <c r="O65" s="20"/>
      <c r="P65" s="20"/>
      <c r="Q65" s="20"/>
      <c r="R65" s="20"/>
      <c r="S65" s="21"/>
      <c r="U65" s="28"/>
    </row>
    <row r="66" spans="1:21" s="1" customFormat="1" ht="24" customHeight="1" x14ac:dyDescent="0.25">
      <c r="A66" s="165" t="s">
        <v>143</v>
      </c>
      <c r="B66" s="15"/>
      <c r="C66" s="16"/>
      <c r="D66" s="16"/>
      <c r="E66" s="16"/>
      <c r="F66" s="16"/>
      <c r="G66" s="17"/>
      <c r="H66" s="16">
        <f t="shared" ref="H66" si="14">H67+H70</f>
        <v>4.8418000000000001</v>
      </c>
      <c r="I66" s="16"/>
      <c r="J66" s="16"/>
      <c r="K66" s="16">
        <f>K67+K70</f>
        <v>758.56448799999998</v>
      </c>
      <c r="L66" s="16">
        <f>L67+L70</f>
        <v>182.74318515919998</v>
      </c>
      <c r="M66" s="17">
        <f>M67+M70</f>
        <v>941.30767315920002</v>
      </c>
      <c r="N66" s="196"/>
      <c r="O66" s="125"/>
      <c r="P66" s="125"/>
      <c r="Q66" s="16"/>
      <c r="R66" s="16"/>
      <c r="S66" s="17"/>
      <c r="T66" s="2"/>
      <c r="U66" s="28"/>
    </row>
    <row r="67" spans="1:21" ht="50.25" customHeight="1" x14ac:dyDescent="0.25">
      <c r="A67" s="18" t="s">
        <v>14</v>
      </c>
      <c r="B67" s="19"/>
      <c r="C67" s="20"/>
      <c r="D67" s="20"/>
      <c r="E67" s="20"/>
      <c r="F67" s="20"/>
      <c r="G67" s="21"/>
      <c r="H67" s="29">
        <v>1</v>
      </c>
      <c r="I67" s="30"/>
      <c r="J67" s="30"/>
      <c r="K67" s="30">
        <v>150</v>
      </c>
      <c r="L67" s="30">
        <v>36.14</v>
      </c>
      <c r="M67" s="31">
        <v>186.14</v>
      </c>
      <c r="N67" s="19"/>
      <c r="O67" s="20"/>
      <c r="P67" s="20"/>
      <c r="Q67" s="20"/>
      <c r="R67" s="20"/>
      <c r="S67" s="21"/>
      <c r="U67" s="28"/>
    </row>
    <row r="68" spans="1:21" ht="18.75" customHeight="1" x14ac:dyDescent="0.25">
      <c r="A68" s="18" t="s">
        <v>144</v>
      </c>
      <c r="B68" s="19"/>
      <c r="C68" s="20"/>
      <c r="D68" s="20"/>
      <c r="E68" s="20"/>
      <c r="F68" s="20"/>
      <c r="G68" s="21"/>
      <c r="H68" s="19">
        <v>1</v>
      </c>
      <c r="I68" s="20">
        <v>750</v>
      </c>
      <c r="J68" s="20">
        <v>20</v>
      </c>
      <c r="K68" s="20">
        <f>H68*I68*J68/100</f>
        <v>150</v>
      </c>
      <c r="L68" s="20">
        <f>K68*0.2409</f>
        <v>36.134999999999998</v>
      </c>
      <c r="M68" s="21">
        <f>K68+L68</f>
        <v>186.13499999999999</v>
      </c>
      <c r="N68" s="19"/>
      <c r="O68" s="20"/>
      <c r="P68" s="20"/>
      <c r="Q68" s="20"/>
      <c r="R68" s="20"/>
      <c r="S68" s="21"/>
      <c r="U68" s="28"/>
    </row>
    <row r="69" spans="1:21" ht="19.5" customHeight="1" x14ac:dyDescent="0.25">
      <c r="A69" s="18" t="s">
        <v>1</v>
      </c>
      <c r="B69" s="19"/>
      <c r="C69" s="20"/>
      <c r="D69" s="20"/>
      <c r="E69" s="20"/>
      <c r="F69" s="20"/>
      <c r="G69" s="21"/>
      <c r="H69" s="19"/>
      <c r="I69" s="20"/>
      <c r="J69" s="20"/>
      <c r="K69" s="20"/>
      <c r="L69" s="20"/>
      <c r="M69" s="21"/>
      <c r="N69" s="19"/>
      <c r="O69" s="20"/>
      <c r="P69" s="20"/>
      <c r="Q69" s="20"/>
      <c r="R69" s="20"/>
      <c r="S69" s="21"/>
      <c r="U69" s="28"/>
    </row>
    <row r="70" spans="1:21" ht="49.5" customHeight="1" x14ac:dyDescent="0.25">
      <c r="A70" s="18" t="s">
        <v>12</v>
      </c>
      <c r="B70" s="19"/>
      <c r="C70" s="20"/>
      <c r="D70" s="20"/>
      <c r="E70" s="20"/>
      <c r="F70" s="20"/>
      <c r="G70" s="21"/>
      <c r="H70" s="29">
        <f>H71+H72+H73+H74</f>
        <v>3.8418000000000001</v>
      </c>
      <c r="I70" s="30"/>
      <c r="J70" s="30"/>
      <c r="K70" s="30">
        <f>K71+K72+K73+K74</f>
        <v>608.56448799999998</v>
      </c>
      <c r="L70" s="30">
        <f>L71+L72+L73+L74</f>
        <v>146.6031851592</v>
      </c>
      <c r="M70" s="31">
        <f>M71+M72+M73+M74</f>
        <v>755.16767315920004</v>
      </c>
      <c r="N70" s="19"/>
      <c r="O70" s="20"/>
      <c r="P70" s="20"/>
      <c r="Q70" s="20"/>
      <c r="R70" s="20"/>
      <c r="S70" s="21"/>
      <c r="U70" s="28"/>
    </row>
    <row r="71" spans="1:21" x14ac:dyDescent="0.25">
      <c r="A71" s="18" t="s">
        <v>145</v>
      </c>
      <c r="B71" s="19"/>
      <c r="C71" s="20"/>
      <c r="D71" s="20"/>
      <c r="E71" s="20"/>
      <c r="F71" s="20"/>
      <c r="G71" s="21"/>
      <c r="H71" s="19">
        <v>0.5</v>
      </c>
      <c r="I71" s="20">
        <v>700</v>
      </c>
      <c r="J71" s="20">
        <v>20</v>
      </c>
      <c r="K71" s="20">
        <f>H71*I71*J71/100</f>
        <v>70</v>
      </c>
      <c r="L71" s="20">
        <f>K71*0.2409</f>
        <v>16.863</v>
      </c>
      <c r="M71" s="21">
        <f>K71+L71</f>
        <v>86.863</v>
      </c>
      <c r="N71" s="19"/>
      <c r="O71" s="20"/>
      <c r="P71" s="20"/>
      <c r="Q71" s="20"/>
      <c r="R71" s="20"/>
      <c r="S71" s="21"/>
      <c r="U71" s="28"/>
    </row>
    <row r="72" spans="1:21" x14ac:dyDescent="0.25">
      <c r="A72" s="18" t="s">
        <v>146</v>
      </c>
      <c r="B72" s="19"/>
      <c r="C72" s="20"/>
      <c r="D72" s="20"/>
      <c r="E72" s="20"/>
      <c r="F72" s="20"/>
      <c r="G72" s="21"/>
      <c r="H72" s="19">
        <v>1.0632999999999999</v>
      </c>
      <c r="I72" s="20">
        <v>805.8</v>
      </c>
      <c r="J72" s="20">
        <v>20</v>
      </c>
      <c r="K72" s="20">
        <f>H72*I72*J72/100</f>
        <v>171.36142799999999</v>
      </c>
      <c r="L72" s="20">
        <f t="shared" ref="L72:L74" si="15">K72*0.2409</f>
        <v>41.280968005199995</v>
      </c>
      <c r="M72" s="21">
        <f t="shared" ref="M72:M74" si="16">K72+L72</f>
        <v>212.6423960052</v>
      </c>
      <c r="N72" s="19"/>
      <c r="O72" s="20"/>
      <c r="P72" s="20"/>
      <c r="Q72" s="20"/>
      <c r="R72" s="20"/>
      <c r="S72" s="21"/>
      <c r="U72" s="28"/>
    </row>
    <row r="73" spans="1:21" x14ac:dyDescent="0.25">
      <c r="A73" s="18" t="s">
        <v>146</v>
      </c>
      <c r="B73" s="19"/>
      <c r="C73" s="20"/>
      <c r="D73" s="20"/>
      <c r="E73" s="20"/>
      <c r="F73" s="20"/>
      <c r="G73" s="21"/>
      <c r="H73" s="19">
        <v>1.0632999999999999</v>
      </c>
      <c r="I73" s="20">
        <v>805.8</v>
      </c>
      <c r="J73" s="20">
        <v>20</v>
      </c>
      <c r="K73" s="20">
        <f>H73*I73*J73/100</f>
        <v>171.36142799999999</v>
      </c>
      <c r="L73" s="20">
        <f t="shared" si="15"/>
        <v>41.280968005199995</v>
      </c>
      <c r="M73" s="21">
        <f t="shared" si="16"/>
        <v>212.6423960052</v>
      </c>
      <c r="N73" s="19"/>
      <c r="O73" s="20"/>
      <c r="P73" s="20"/>
      <c r="Q73" s="20"/>
      <c r="R73" s="20"/>
      <c r="S73" s="21"/>
      <c r="U73" s="28"/>
    </row>
    <row r="74" spans="1:21" x14ac:dyDescent="0.25">
      <c r="A74" s="18" t="s">
        <v>146</v>
      </c>
      <c r="B74" s="19"/>
      <c r="C74" s="20"/>
      <c r="D74" s="20"/>
      <c r="E74" s="20"/>
      <c r="F74" s="20"/>
      <c r="G74" s="21"/>
      <c r="H74" s="19">
        <v>1.2152000000000001</v>
      </c>
      <c r="I74" s="20">
        <v>805.8</v>
      </c>
      <c r="J74" s="20">
        <v>20</v>
      </c>
      <c r="K74" s="20">
        <f>H74*I74*J74/100</f>
        <v>195.841632</v>
      </c>
      <c r="L74" s="20">
        <f t="shared" si="15"/>
        <v>47.178249148799999</v>
      </c>
      <c r="M74" s="21">
        <f t="shared" si="16"/>
        <v>243.01988114880001</v>
      </c>
      <c r="N74" s="19"/>
      <c r="O74" s="20"/>
      <c r="P74" s="20"/>
      <c r="Q74" s="20"/>
      <c r="R74" s="20"/>
      <c r="S74" s="21"/>
      <c r="U74" s="28"/>
    </row>
    <row r="75" spans="1:21" ht="64.5" customHeight="1" x14ac:dyDescent="0.25">
      <c r="A75" s="18" t="s">
        <v>13</v>
      </c>
      <c r="B75" s="19"/>
      <c r="C75" s="20"/>
      <c r="D75" s="20"/>
      <c r="E75" s="20"/>
      <c r="F75" s="20"/>
      <c r="G75" s="21"/>
      <c r="H75" s="19"/>
      <c r="I75" s="20"/>
      <c r="J75" s="20"/>
      <c r="K75" s="20"/>
      <c r="L75" s="20"/>
      <c r="M75" s="21"/>
      <c r="N75" s="19"/>
      <c r="O75" s="20"/>
      <c r="P75" s="20"/>
      <c r="Q75" s="20"/>
      <c r="R75" s="20"/>
      <c r="S75" s="21"/>
      <c r="U75" s="28"/>
    </row>
    <row r="76" spans="1:21" x14ac:dyDescent="0.25">
      <c r="A76" s="18" t="s">
        <v>1</v>
      </c>
      <c r="B76" s="19"/>
      <c r="C76" s="20"/>
      <c r="D76" s="20"/>
      <c r="E76" s="20"/>
      <c r="F76" s="20"/>
      <c r="G76" s="21"/>
      <c r="H76" s="19"/>
      <c r="I76" s="20"/>
      <c r="J76" s="20"/>
      <c r="K76" s="20"/>
      <c r="L76" s="20"/>
      <c r="M76" s="21"/>
      <c r="N76" s="19"/>
      <c r="O76" s="20"/>
      <c r="P76" s="20"/>
      <c r="Q76" s="20"/>
      <c r="R76" s="20"/>
      <c r="S76" s="21"/>
      <c r="U76" s="28"/>
    </row>
    <row r="77" spans="1:21" ht="37.5" customHeight="1" x14ac:dyDescent="0.25">
      <c r="A77" s="18" t="s">
        <v>11</v>
      </c>
      <c r="B77" s="19"/>
      <c r="C77" s="20"/>
      <c r="D77" s="20"/>
      <c r="E77" s="20"/>
      <c r="F77" s="20"/>
      <c r="G77" s="21"/>
      <c r="H77" s="19"/>
      <c r="I77" s="20"/>
      <c r="J77" s="20"/>
      <c r="K77" s="20"/>
      <c r="L77" s="20"/>
      <c r="M77" s="21"/>
      <c r="N77" s="19"/>
      <c r="O77" s="20"/>
      <c r="P77" s="20"/>
      <c r="Q77" s="20"/>
      <c r="R77" s="20"/>
      <c r="S77" s="21"/>
      <c r="U77" s="28"/>
    </row>
    <row r="78" spans="1:21" ht="22.5" customHeight="1" x14ac:dyDescent="0.25">
      <c r="A78" s="18"/>
      <c r="B78" s="19"/>
      <c r="C78" s="20"/>
      <c r="D78" s="20"/>
      <c r="E78" s="20"/>
      <c r="F78" s="20"/>
      <c r="G78" s="21"/>
      <c r="H78" s="19"/>
      <c r="I78" s="20"/>
      <c r="J78" s="20"/>
      <c r="K78" s="20"/>
      <c r="L78" s="20"/>
      <c r="M78" s="21"/>
      <c r="N78" s="19"/>
      <c r="O78" s="20"/>
      <c r="P78" s="20"/>
      <c r="Q78" s="20"/>
      <c r="R78" s="20"/>
      <c r="S78" s="21"/>
      <c r="U78" s="28"/>
    </row>
    <row r="79" spans="1:21" s="1" customFormat="1" ht="24" customHeight="1" x14ac:dyDescent="0.25">
      <c r="A79" s="165" t="s">
        <v>147</v>
      </c>
      <c r="B79" s="15"/>
      <c r="C79" s="16"/>
      <c r="D79" s="16"/>
      <c r="E79" s="16"/>
      <c r="F79" s="16"/>
      <c r="G79" s="17"/>
      <c r="H79" s="16">
        <v>0.5</v>
      </c>
      <c r="I79" s="16"/>
      <c r="J79" s="16"/>
      <c r="K79" s="16">
        <v>88</v>
      </c>
      <c r="L79" s="16">
        <v>21.2</v>
      </c>
      <c r="M79" s="17">
        <v>109.2</v>
      </c>
      <c r="N79" s="196"/>
      <c r="O79" s="125"/>
      <c r="P79" s="125"/>
      <c r="Q79" s="16"/>
      <c r="R79" s="16"/>
      <c r="S79" s="17"/>
      <c r="T79" s="2"/>
      <c r="U79" s="28"/>
    </row>
    <row r="80" spans="1:21" ht="51.75" customHeight="1" x14ac:dyDescent="0.25">
      <c r="A80" s="18" t="s">
        <v>14</v>
      </c>
      <c r="B80" s="19"/>
      <c r="C80" s="20"/>
      <c r="D80" s="20"/>
      <c r="E80" s="20"/>
      <c r="F80" s="20"/>
      <c r="G80" s="21"/>
      <c r="H80" s="19"/>
      <c r="I80" s="20"/>
      <c r="J80" s="20"/>
      <c r="K80" s="20"/>
      <c r="L80" s="20"/>
      <c r="M80" s="21"/>
      <c r="N80" s="19"/>
      <c r="O80" s="20"/>
      <c r="P80" s="20"/>
      <c r="Q80" s="20"/>
      <c r="R80" s="20"/>
      <c r="S80" s="21"/>
      <c r="U80" s="28"/>
    </row>
    <row r="81" spans="1:21" ht="18.75" customHeight="1" x14ac:dyDescent="0.25">
      <c r="A81" s="18" t="s">
        <v>1</v>
      </c>
      <c r="B81" s="19"/>
      <c r="C81" s="20"/>
      <c r="D81" s="20"/>
      <c r="E81" s="20"/>
      <c r="F81" s="20"/>
      <c r="G81" s="21"/>
      <c r="H81" s="19"/>
      <c r="I81" s="20"/>
      <c r="J81" s="20"/>
      <c r="K81" s="20"/>
      <c r="L81" s="20"/>
      <c r="M81" s="21"/>
      <c r="N81" s="19"/>
      <c r="O81" s="20"/>
      <c r="P81" s="20"/>
      <c r="Q81" s="20"/>
      <c r="R81" s="20"/>
      <c r="S81" s="21"/>
      <c r="U81" s="28"/>
    </row>
    <row r="82" spans="1:21" ht="49.5" customHeight="1" x14ac:dyDescent="0.25">
      <c r="A82" s="18" t="s">
        <v>12</v>
      </c>
      <c r="B82" s="19"/>
      <c r="C82" s="20"/>
      <c r="D82" s="20"/>
      <c r="E82" s="20"/>
      <c r="F82" s="20"/>
      <c r="G82" s="21"/>
      <c r="H82" s="29">
        <v>0.5</v>
      </c>
      <c r="I82" s="30"/>
      <c r="J82" s="30"/>
      <c r="K82" s="30">
        <v>88</v>
      </c>
      <c r="L82" s="30">
        <v>21.2</v>
      </c>
      <c r="M82" s="31">
        <v>109.2</v>
      </c>
      <c r="N82" s="19"/>
      <c r="O82" s="20"/>
      <c r="P82" s="20"/>
      <c r="Q82" s="20"/>
      <c r="R82" s="20"/>
      <c r="S82" s="21"/>
      <c r="U82" s="28"/>
    </row>
    <row r="83" spans="1:21" x14ac:dyDescent="0.25">
      <c r="A83" s="18" t="s">
        <v>133</v>
      </c>
      <c r="B83" s="19"/>
      <c r="C83" s="20"/>
      <c r="D83" s="20"/>
      <c r="E83" s="20"/>
      <c r="F83" s="20"/>
      <c r="G83" s="21"/>
      <c r="H83" s="19">
        <v>0.5</v>
      </c>
      <c r="I83" s="20">
        <v>880</v>
      </c>
      <c r="J83" s="20">
        <v>20</v>
      </c>
      <c r="K83" s="20">
        <f>H83*I83*J83/100</f>
        <v>88</v>
      </c>
      <c r="L83" s="20">
        <f>K83*0.2409</f>
        <v>21.199200000000001</v>
      </c>
      <c r="M83" s="21">
        <f>K83+L83</f>
        <v>109.1992</v>
      </c>
      <c r="N83" s="19"/>
      <c r="O83" s="20"/>
      <c r="P83" s="20"/>
      <c r="Q83" s="20"/>
      <c r="R83" s="20"/>
      <c r="S83" s="21"/>
      <c r="U83" s="28"/>
    </row>
    <row r="84" spans="1:21" ht="64.5" customHeight="1" x14ac:dyDescent="0.25">
      <c r="A84" s="18" t="s">
        <v>13</v>
      </c>
      <c r="B84" s="19"/>
      <c r="C84" s="20"/>
      <c r="D84" s="20"/>
      <c r="E84" s="20"/>
      <c r="F84" s="20"/>
      <c r="G84" s="21"/>
      <c r="H84" s="19"/>
      <c r="I84" s="20"/>
      <c r="J84" s="20"/>
      <c r="K84" s="20"/>
      <c r="L84" s="20"/>
      <c r="M84" s="21"/>
      <c r="N84" s="19"/>
      <c r="O84" s="20"/>
      <c r="P84" s="20"/>
      <c r="Q84" s="20"/>
      <c r="R84" s="20"/>
      <c r="S84" s="21"/>
      <c r="U84" s="28"/>
    </row>
    <row r="85" spans="1:21" x14ac:dyDescent="0.25">
      <c r="A85" s="18" t="s">
        <v>1</v>
      </c>
      <c r="B85" s="19"/>
      <c r="C85" s="20"/>
      <c r="D85" s="20"/>
      <c r="E85" s="20"/>
      <c r="F85" s="20"/>
      <c r="G85" s="21"/>
      <c r="H85" s="19"/>
      <c r="I85" s="20"/>
      <c r="J85" s="20"/>
      <c r="K85" s="20"/>
      <c r="L85" s="20"/>
      <c r="M85" s="21"/>
      <c r="N85" s="19"/>
      <c r="O85" s="20"/>
      <c r="P85" s="20"/>
      <c r="Q85" s="20"/>
      <c r="R85" s="20"/>
      <c r="S85" s="21"/>
      <c r="U85" s="28"/>
    </row>
    <row r="86" spans="1:21" x14ac:dyDescent="0.25">
      <c r="A86" s="18" t="s">
        <v>1</v>
      </c>
      <c r="B86" s="19"/>
      <c r="C86" s="20"/>
      <c r="D86" s="20"/>
      <c r="E86" s="20"/>
      <c r="F86" s="20"/>
      <c r="G86" s="21"/>
      <c r="H86" s="19"/>
      <c r="I86" s="20"/>
      <c r="J86" s="20"/>
      <c r="K86" s="20"/>
      <c r="L86" s="20"/>
      <c r="M86" s="21"/>
      <c r="N86" s="19"/>
      <c r="O86" s="20"/>
      <c r="P86" s="20"/>
      <c r="Q86" s="20"/>
      <c r="R86" s="20"/>
      <c r="S86" s="21"/>
      <c r="U86" s="28"/>
    </row>
    <row r="87" spans="1:21" ht="37.5" customHeight="1" x14ac:dyDescent="0.25">
      <c r="A87" s="18" t="s">
        <v>11</v>
      </c>
      <c r="B87" s="19"/>
      <c r="C87" s="20"/>
      <c r="D87" s="20"/>
      <c r="E87" s="20"/>
      <c r="F87" s="20"/>
      <c r="G87" s="21"/>
      <c r="H87" s="19"/>
      <c r="I87" s="20"/>
      <c r="J87" s="20"/>
      <c r="K87" s="20"/>
      <c r="L87" s="20"/>
      <c r="M87" s="21"/>
      <c r="N87" s="19"/>
      <c r="O87" s="20"/>
      <c r="P87" s="20"/>
      <c r="Q87" s="20"/>
      <c r="R87" s="20"/>
      <c r="S87" s="21"/>
      <c r="U87" s="28"/>
    </row>
    <row r="88" spans="1:21" ht="22.5" customHeight="1" x14ac:dyDescent="0.25">
      <c r="A88" s="18"/>
      <c r="B88" s="19"/>
      <c r="C88" s="20"/>
      <c r="D88" s="20"/>
      <c r="E88" s="20"/>
      <c r="F88" s="20"/>
      <c r="G88" s="21"/>
      <c r="H88" s="19"/>
      <c r="I88" s="20"/>
      <c r="J88" s="20"/>
      <c r="K88" s="20"/>
      <c r="L88" s="20"/>
      <c r="M88" s="21"/>
      <c r="N88" s="19"/>
      <c r="O88" s="20"/>
      <c r="P88" s="20"/>
      <c r="Q88" s="20"/>
      <c r="R88" s="20"/>
      <c r="S88" s="21"/>
      <c r="U88" s="28"/>
    </row>
    <row r="89" spans="1:21" s="1" customFormat="1" ht="24" customHeight="1" x14ac:dyDescent="0.25">
      <c r="A89" s="165" t="s">
        <v>85</v>
      </c>
      <c r="B89" s="15"/>
      <c r="C89" s="16"/>
      <c r="D89" s="16"/>
      <c r="E89" s="16"/>
      <c r="F89" s="16"/>
      <c r="G89" s="17"/>
      <c r="H89" s="15">
        <v>0.75</v>
      </c>
      <c r="I89" s="16"/>
      <c r="J89" s="16"/>
      <c r="K89" s="16">
        <v>252</v>
      </c>
      <c r="L89" s="16">
        <v>60.71</v>
      </c>
      <c r="M89" s="17">
        <v>312.70999999999998</v>
      </c>
      <c r="N89" s="196"/>
      <c r="O89" s="125"/>
      <c r="P89" s="125"/>
      <c r="Q89" s="16"/>
      <c r="R89" s="16"/>
      <c r="S89" s="17"/>
      <c r="T89" s="2"/>
      <c r="U89" s="28"/>
    </row>
    <row r="90" spans="1:21" ht="56.25" customHeight="1" x14ac:dyDescent="0.25">
      <c r="A90" s="18" t="s">
        <v>14</v>
      </c>
      <c r="B90" s="19"/>
      <c r="C90" s="20"/>
      <c r="D90" s="20"/>
      <c r="E90" s="20"/>
      <c r="F90" s="20"/>
      <c r="G90" s="21"/>
      <c r="H90" s="19"/>
      <c r="I90" s="20"/>
      <c r="J90" s="20"/>
      <c r="K90" s="20"/>
      <c r="L90" s="20"/>
      <c r="M90" s="21"/>
      <c r="N90" s="19"/>
      <c r="O90" s="20"/>
      <c r="P90" s="20"/>
      <c r="Q90" s="20"/>
      <c r="R90" s="20"/>
      <c r="S90" s="21"/>
      <c r="U90" s="28"/>
    </row>
    <row r="91" spans="1:21" ht="18.75" customHeight="1" x14ac:dyDescent="0.25">
      <c r="A91" s="18" t="s">
        <v>1</v>
      </c>
      <c r="B91" s="19"/>
      <c r="C91" s="20"/>
      <c r="D91" s="20"/>
      <c r="E91" s="20"/>
      <c r="F91" s="20"/>
      <c r="G91" s="21"/>
      <c r="H91" s="19"/>
      <c r="I91" s="20"/>
      <c r="J91" s="20"/>
      <c r="K91" s="20"/>
      <c r="L91" s="20"/>
      <c r="M91" s="21"/>
      <c r="N91" s="19"/>
      <c r="O91" s="20"/>
      <c r="P91" s="20"/>
      <c r="Q91" s="20"/>
      <c r="R91" s="20"/>
      <c r="S91" s="21"/>
      <c r="U91" s="28"/>
    </row>
    <row r="92" spans="1:21" ht="49.5" customHeight="1" x14ac:dyDescent="0.25">
      <c r="A92" s="18" t="s">
        <v>12</v>
      </c>
      <c r="B92" s="19"/>
      <c r="C92" s="20"/>
      <c r="D92" s="20"/>
      <c r="E92" s="20"/>
      <c r="F92" s="20"/>
      <c r="G92" s="21"/>
      <c r="H92" s="29">
        <v>0.75</v>
      </c>
      <c r="I92" s="30"/>
      <c r="J92" s="30"/>
      <c r="K92" s="30">
        <v>252</v>
      </c>
      <c r="L92" s="30">
        <v>60.71</v>
      </c>
      <c r="M92" s="31">
        <v>312.70999999999998</v>
      </c>
      <c r="N92" s="19"/>
      <c r="O92" s="20"/>
      <c r="P92" s="20"/>
      <c r="Q92" s="20"/>
      <c r="R92" s="20"/>
      <c r="S92" s="21"/>
      <c r="U92" s="28"/>
    </row>
    <row r="93" spans="1:21" x14ac:dyDescent="0.25">
      <c r="A93" s="18" t="s">
        <v>148</v>
      </c>
      <c r="B93" s="19"/>
      <c r="C93" s="20"/>
      <c r="D93" s="20"/>
      <c r="E93" s="20"/>
      <c r="F93" s="20"/>
      <c r="G93" s="21"/>
      <c r="H93" s="19">
        <v>0.75</v>
      </c>
      <c r="I93" s="20">
        <v>1680</v>
      </c>
      <c r="J93" s="20">
        <v>20</v>
      </c>
      <c r="K93" s="20">
        <f>I93*H93*J93/100</f>
        <v>252</v>
      </c>
      <c r="L93" s="20">
        <f>K93*0.2409</f>
        <v>60.706800000000001</v>
      </c>
      <c r="M93" s="21">
        <f>K93+L93</f>
        <v>312.70679999999999</v>
      </c>
      <c r="N93" s="19"/>
      <c r="O93" s="20"/>
      <c r="P93" s="20"/>
      <c r="Q93" s="20"/>
      <c r="R93" s="20"/>
      <c r="S93" s="21"/>
      <c r="U93" s="28"/>
    </row>
    <row r="94" spans="1:21" ht="64.5" customHeight="1" x14ac:dyDescent="0.25">
      <c r="A94" s="18" t="s">
        <v>13</v>
      </c>
      <c r="B94" s="19"/>
      <c r="C94" s="20"/>
      <c r="D94" s="20"/>
      <c r="E94" s="20"/>
      <c r="F94" s="20"/>
      <c r="G94" s="21"/>
      <c r="H94" s="19"/>
      <c r="I94" s="20"/>
      <c r="J94" s="20"/>
      <c r="K94" s="20"/>
      <c r="L94" s="20"/>
      <c r="M94" s="21"/>
      <c r="N94" s="19"/>
      <c r="O94" s="20"/>
      <c r="P94" s="20"/>
      <c r="Q94" s="20"/>
      <c r="R94" s="20"/>
      <c r="S94" s="21"/>
      <c r="U94" s="28"/>
    </row>
    <row r="95" spans="1:21" x14ac:dyDescent="0.25">
      <c r="A95" s="18" t="s">
        <v>1</v>
      </c>
      <c r="B95" s="19"/>
      <c r="C95" s="20"/>
      <c r="D95" s="20"/>
      <c r="E95" s="20"/>
      <c r="F95" s="20"/>
      <c r="G95" s="21"/>
      <c r="H95" s="19"/>
      <c r="I95" s="20"/>
      <c r="J95" s="20"/>
      <c r="K95" s="20"/>
      <c r="L95" s="20"/>
      <c r="M95" s="21"/>
      <c r="N95" s="19"/>
      <c r="O95" s="20"/>
      <c r="P95" s="20"/>
      <c r="Q95" s="20"/>
      <c r="R95" s="20"/>
      <c r="S95" s="21"/>
    </row>
    <row r="96" spans="1:21" ht="37.5" customHeight="1" x14ac:dyDescent="0.25">
      <c r="A96" s="18" t="s">
        <v>11</v>
      </c>
      <c r="B96" s="19"/>
      <c r="C96" s="20"/>
      <c r="D96" s="20"/>
      <c r="E96" s="20"/>
      <c r="F96" s="20"/>
      <c r="G96" s="21"/>
      <c r="H96" s="19"/>
      <c r="I96" s="20"/>
      <c r="J96" s="20"/>
      <c r="K96" s="20"/>
      <c r="L96" s="20"/>
      <c r="M96" s="21"/>
      <c r="N96" s="19"/>
      <c r="O96" s="20"/>
      <c r="P96" s="20"/>
      <c r="Q96" s="20"/>
      <c r="R96" s="20"/>
      <c r="S96" s="21"/>
    </row>
    <row r="97" spans="1:20" ht="22.5" customHeight="1" x14ac:dyDescent="0.25">
      <c r="A97" s="18"/>
      <c r="B97" s="19"/>
      <c r="C97" s="20"/>
      <c r="D97" s="20"/>
      <c r="E97" s="20"/>
      <c r="F97" s="20"/>
      <c r="G97" s="21"/>
      <c r="H97" s="19"/>
      <c r="I97" s="20"/>
      <c r="J97" s="20"/>
      <c r="K97" s="20"/>
      <c r="L97" s="20"/>
      <c r="M97" s="21"/>
      <c r="N97" s="19"/>
      <c r="O97" s="20"/>
      <c r="P97" s="20"/>
      <c r="Q97" s="20"/>
      <c r="R97" s="20"/>
      <c r="S97" s="21"/>
    </row>
    <row r="99" spans="1:20" x14ac:dyDescent="0.25">
      <c r="A99" s="901" t="s">
        <v>33</v>
      </c>
      <c r="B99" s="901"/>
      <c r="C99" s="901"/>
      <c r="D99" s="901"/>
      <c r="E99" s="901"/>
      <c r="F99" s="901"/>
      <c r="G99" s="901"/>
      <c r="H99" s="901"/>
      <c r="I99" s="901"/>
      <c r="J99" s="901"/>
      <c r="K99" s="901"/>
      <c r="L99" s="901"/>
      <c r="M99" s="901"/>
      <c r="N99" s="901"/>
      <c r="O99" s="901"/>
      <c r="P99" s="901"/>
      <c r="Q99" s="901"/>
      <c r="R99" s="901"/>
    </row>
    <row r="100" spans="1:20" x14ac:dyDescent="0.25">
      <c r="S100" s="25"/>
      <c r="T100" s="25"/>
    </row>
    <row r="101" spans="1:20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4" spans="1:20" ht="18" customHeight="1" x14ac:dyDescent="0.25"/>
    <row r="105" spans="1:20" ht="18" customHeight="1" x14ac:dyDescent="0.25"/>
    <row r="106" spans="1:20" ht="18" customHeight="1" x14ac:dyDescent="0.25"/>
  </sheetData>
  <mergeCells count="6">
    <mergeCell ref="A99:R99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2:W119"/>
  <sheetViews>
    <sheetView zoomScale="70" zoomScaleNormal="70" zoomScaleSheetLayoutView="80" workbookViewId="0">
      <pane xSplit="8" ySplit="9" topLeftCell="I51" activePane="bottomRight" state="frozen"/>
      <selection activeCell="F143" sqref="F143"/>
      <selection pane="topRight" activeCell="F143" sqref="F143"/>
      <selection pane="bottomLeft" activeCell="F143" sqref="F143"/>
      <selection pane="bottomRight" activeCell="T75" sqref="T75"/>
    </sheetView>
  </sheetViews>
  <sheetFormatPr defaultRowHeight="16.5" x14ac:dyDescent="0.25"/>
  <cols>
    <col min="1" max="1" width="42.7109375" style="2" customWidth="1"/>
    <col min="2" max="2" width="11.7109375" style="2" customWidth="1"/>
    <col min="3" max="3" width="16" style="2" customWidth="1"/>
    <col min="4" max="21" width="14" style="2" customWidth="1"/>
    <col min="22" max="22" width="17.5703125" style="2" customWidth="1"/>
    <col min="23" max="24" width="15.85546875" style="2" customWidth="1"/>
    <col min="25" max="16384" width="9.140625" style="2"/>
  </cols>
  <sheetData>
    <row r="2" spans="1:23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</row>
    <row r="4" spans="1:23" ht="17.25" x14ac:dyDescent="0.3">
      <c r="A4" s="197" t="s">
        <v>149</v>
      </c>
    </row>
    <row r="5" spans="1:23" ht="17.25" thickBot="1" x14ac:dyDescent="0.3">
      <c r="K5" s="2">
        <v>158</v>
      </c>
    </row>
    <row r="6" spans="1:23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857" t="s">
        <v>4</v>
      </c>
      <c r="I6" s="858"/>
      <c r="J6" s="858"/>
      <c r="K6" s="858"/>
      <c r="L6" s="858"/>
      <c r="M6" s="858"/>
      <c r="N6" s="858"/>
      <c r="O6" s="859"/>
      <c r="P6" s="857" t="s">
        <v>5</v>
      </c>
      <c r="Q6" s="858"/>
      <c r="R6" s="858"/>
      <c r="S6" s="858"/>
      <c r="T6" s="858"/>
      <c r="U6" s="859"/>
    </row>
    <row r="7" spans="1:23" ht="104.25" customHeight="1" x14ac:dyDescent="0.25">
      <c r="A7" s="907"/>
      <c r="B7" s="3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28</v>
      </c>
      <c r="I7" s="161" t="s">
        <v>1190</v>
      </c>
      <c r="J7" s="4" t="s">
        <v>10</v>
      </c>
      <c r="K7" s="4" t="s">
        <v>154</v>
      </c>
      <c r="L7" s="4" t="s">
        <v>6</v>
      </c>
      <c r="M7" s="4" t="s">
        <v>7</v>
      </c>
      <c r="N7" s="4" t="s">
        <v>8</v>
      </c>
      <c r="O7" s="5" t="s">
        <v>9</v>
      </c>
      <c r="P7" s="3" t="s">
        <v>28</v>
      </c>
      <c r="Q7" s="4" t="s">
        <v>10</v>
      </c>
      <c r="R7" s="4" t="s">
        <v>6</v>
      </c>
      <c r="S7" s="4" t="s">
        <v>7</v>
      </c>
      <c r="T7" s="4" t="s">
        <v>8</v>
      </c>
      <c r="U7" s="5" t="s">
        <v>9</v>
      </c>
    </row>
    <row r="8" spans="1:23" ht="13.5" customHeight="1" x14ac:dyDescent="0.25">
      <c r="A8" s="6"/>
      <c r="B8" s="7"/>
      <c r="C8" s="8"/>
      <c r="D8" s="8"/>
      <c r="E8" s="8"/>
      <c r="F8" s="8"/>
      <c r="G8" s="9"/>
      <c r="H8" s="7"/>
      <c r="I8" s="162"/>
      <c r="J8" s="162"/>
      <c r="K8" s="8"/>
      <c r="L8" s="8"/>
      <c r="M8" s="8"/>
      <c r="N8" s="8"/>
      <c r="O8" s="9"/>
      <c r="P8" s="7"/>
      <c r="Q8" s="8"/>
      <c r="R8" s="8"/>
      <c r="S8" s="8"/>
      <c r="T8" s="8"/>
      <c r="U8" s="9"/>
    </row>
    <row r="9" spans="1:23" s="1" customFormat="1" ht="20.25" customHeight="1" x14ac:dyDescent="0.25">
      <c r="A9" s="10" t="s">
        <v>0</v>
      </c>
      <c r="B9" s="11"/>
      <c r="C9" s="12"/>
      <c r="D9" s="12"/>
      <c r="E9" s="12"/>
      <c r="F9" s="12"/>
      <c r="G9" s="13"/>
      <c r="H9" s="11">
        <v>50.95</v>
      </c>
      <c r="I9" s="164"/>
      <c r="J9" s="164"/>
      <c r="K9" s="12"/>
      <c r="L9" s="12"/>
      <c r="M9" s="12">
        <v>12265.97</v>
      </c>
      <c r="N9" s="12">
        <v>2954.87</v>
      </c>
      <c r="O9" s="13">
        <v>15220.84</v>
      </c>
      <c r="P9" s="11"/>
      <c r="Q9" s="12"/>
      <c r="R9" s="12"/>
      <c r="S9" s="12"/>
      <c r="T9" s="12"/>
      <c r="U9" s="13"/>
    </row>
    <row r="10" spans="1:23" s="1" customFormat="1" ht="21.75" customHeight="1" x14ac:dyDescent="0.25">
      <c r="A10" s="165" t="s">
        <v>132</v>
      </c>
      <c r="B10" s="15"/>
      <c r="C10" s="16"/>
      <c r="D10" s="16"/>
      <c r="E10" s="16"/>
      <c r="F10" s="16"/>
      <c r="G10" s="17"/>
      <c r="H10" s="15"/>
      <c r="I10" s="167"/>
      <c r="J10" s="167"/>
      <c r="K10" s="16"/>
      <c r="L10" s="16"/>
      <c r="M10" s="16">
        <f>M11+M79+M82</f>
        <v>12166.510000000004</v>
      </c>
      <c r="N10" s="16">
        <f>N11+N79+N82</f>
        <v>2930.9099999999994</v>
      </c>
      <c r="O10" s="16">
        <f>O11+O79+O82</f>
        <v>15097.419999999998</v>
      </c>
      <c r="P10" s="15"/>
      <c r="Q10" s="16"/>
      <c r="R10" s="16"/>
      <c r="S10" s="16"/>
      <c r="T10" s="16"/>
      <c r="U10" s="17"/>
    </row>
    <row r="11" spans="1:23" ht="51.75" customHeight="1" x14ac:dyDescent="0.25">
      <c r="A11" s="18" t="s">
        <v>14</v>
      </c>
      <c r="B11" s="19"/>
      <c r="C11" s="20"/>
      <c r="D11" s="20"/>
      <c r="E11" s="20"/>
      <c r="F11" s="20"/>
      <c r="G11" s="21"/>
      <c r="H11" s="19"/>
      <c r="I11" s="171"/>
      <c r="J11" s="171"/>
      <c r="K11" s="20"/>
      <c r="L11" s="20"/>
      <c r="M11" s="20">
        <f>SUM(M12:M77)</f>
        <v>8580.1900000000041</v>
      </c>
      <c r="N11" s="20">
        <f>SUM(N12:N77)</f>
        <v>2066.9599999999991</v>
      </c>
      <c r="O11" s="20">
        <f>SUM(O12:O77)</f>
        <v>10647.149999999998</v>
      </c>
      <c r="P11" s="19"/>
      <c r="Q11" s="20"/>
      <c r="R11" s="20"/>
      <c r="S11" s="20"/>
      <c r="T11" s="20"/>
      <c r="U11" s="21"/>
    </row>
    <row r="12" spans="1:23" ht="15" customHeight="1" x14ac:dyDescent="0.25">
      <c r="A12" s="18" t="s">
        <v>80</v>
      </c>
      <c r="B12" s="19"/>
      <c r="C12" s="20"/>
      <c r="D12" s="20"/>
      <c r="E12" s="20"/>
      <c r="F12" s="20"/>
      <c r="G12" s="21"/>
      <c r="H12" s="133">
        <v>0.61</v>
      </c>
      <c r="I12" s="847">
        <v>96</v>
      </c>
      <c r="J12" s="171"/>
      <c r="K12" s="20">
        <v>8.8800000000000008</v>
      </c>
      <c r="L12" s="20">
        <v>20</v>
      </c>
      <c r="M12" s="20">
        <v>170.5</v>
      </c>
      <c r="N12" s="20">
        <v>41.07</v>
      </c>
      <c r="O12" s="21">
        <v>211.57</v>
      </c>
      <c r="P12" s="19"/>
      <c r="Q12" s="20"/>
      <c r="R12" s="20"/>
      <c r="S12" s="20"/>
      <c r="T12" s="20"/>
      <c r="U12" s="21"/>
      <c r="V12" s="297"/>
      <c r="W12" s="28"/>
    </row>
    <row r="13" spans="1:23" ht="16.5" customHeight="1" x14ac:dyDescent="0.25">
      <c r="A13" s="18" t="s">
        <v>80</v>
      </c>
      <c r="B13" s="19"/>
      <c r="C13" s="20"/>
      <c r="D13" s="20"/>
      <c r="E13" s="20"/>
      <c r="F13" s="20"/>
      <c r="G13" s="21"/>
      <c r="H13" s="133">
        <v>0.2</v>
      </c>
      <c r="I13" s="848">
        <v>32</v>
      </c>
      <c r="J13" s="171"/>
      <c r="K13" s="20">
        <v>8.8800000000000008</v>
      </c>
      <c r="L13" s="20">
        <v>20</v>
      </c>
      <c r="M13" s="20">
        <v>56.83</v>
      </c>
      <c r="N13" s="20">
        <v>13.69</v>
      </c>
      <c r="O13" s="21">
        <v>70.52</v>
      </c>
      <c r="P13" s="19"/>
      <c r="Q13" s="20"/>
      <c r="R13" s="20"/>
      <c r="S13" s="20"/>
      <c r="T13" s="20"/>
      <c r="U13" s="21"/>
      <c r="V13" s="297"/>
      <c r="W13" s="28"/>
    </row>
    <row r="14" spans="1:23" ht="16.5" customHeight="1" x14ac:dyDescent="0.25">
      <c r="A14" s="18" t="s">
        <v>80</v>
      </c>
      <c r="B14" s="19"/>
      <c r="C14" s="20"/>
      <c r="D14" s="20"/>
      <c r="E14" s="20"/>
      <c r="F14" s="20"/>
      <c r="G14" s="21"/>
      <c r="H14" s="133">
        <v>0.3</v>
      </c>
      <c r="I14" s="848">
        <v>48</v>
      </c>
      <c r="J14" s="171"/>
      <c r="K14" s="20">
        <v>8.8800000000000008</v>
      </c>
      <c r="L14" s="20">
        <v>20</v>
      </c>
      <c r="M14" s="20">
        <v>85.25</v>
      </c>
      <c r="N14" s="20">
        <v>20.54</v>
      </c>
      <c r="O14" s="21">
        <v>105.79</v>
      </c>
      <c r="P14" s="19"/>
      <c r="Q14" s="20"/>
      <c r="R14" s="20"/>
      <c r="S14" s="20"/>
      <c r="T14" s="20"/>
      <c r="U14" s="21"/>
      <c r="V14" s="297"/>
      <c r="W14" s="28"/>
    </row>
    <row r="15" spans="1:23" ht="16.5" customHeight="1" x14ac:dyDescent="0.25">
      <c r="A15" s="18" t="s">
        <v>80</v>
      </c>
      <c r="B15" s="19"/>
      <c r="C15" s="20"/>
      <c r="D15" s="20"/>
      <c r="E15" s="20"/>
      <c r="F15" s="20"/>
      <c r="G15" s="21"/>
      <c r="H15" s="19">
        <v>0.35</v>
      </c>
      <c r="I15" s="848">
        <v>56</v>
      </c>
      <c r="J15" s="171"/>
      <c r="K15" s="20">
        <v>8.8800000000000008</v>
      </c>
      <c r="L15" s="20">
        <v>20</v>
      </c>
      <c r="M15" s="20">
        <v>99.46</v>
      </c>
      <c r="N15" s="20">
        <v>23.96</v>
      </c>
      <c r="O15" s="21">
        <v>123.42</v>
      </c>
      <c r="P15" s="19"/>
      <c r="Q15" s="20"/>
      <c r="R15" s="20"/>
      <c r="S15" s="20"/>
      <c r="T15" s="20"/>
      <c r="U15" s="21"/>
      <c r="V15" s="297"/>
      <c r="W15" s="28"/>
    </row>
    <row r="16" spans="1:23" ht="16.5" customHeight="1" x14ac:dyDescent="0.25">
      <c r="A16" s="18" t="s">
        <v>80</v>
      </c>
      <c r="B16" s="19"/>
      <c r="C16" s="20"/>
      <c r="D16" s="20"/>
      <c r="E16" s="20"/>
      <c r="F16" s="20"/>
      <c r="G16" s="21"/>
      <c r="H16" s="19">
        <v>0.35</v>
      </c>
      <c r="I16" s="848">
        <v>56</v>
      </c>
      <c r="J16" s="171"/>
      <c r="K16" s="20">
        <v>8.8800000000000008</v>
      </c>
      <c r="L16" s="20">
        <v>20</v>
      </c>
      <c r="M16" s="20">
        <v>99.46</v>
      </c>
      <c r="N16" s="20">
        <v>23.96</v>
      </c>
      <c r="O16" s="21">
        <v>123.42</v>
      </c>
      <c r="P16" s="19"/>
      <c r="Q16" s="20"/>
      <c r="R16" s="20"/>
      <c r="S16" s="20"/>
      <c r="T16" s="20"/>
      <c r="U16" s="21"/>
      <c r="V16" s="297"/>
      <c r="W16" s="28"/>
    </row>
    <row r="17" spans="1:23" ht="15" customHeight="1" x14ac:dyDescent="0.25">
      <c r="A17" s="18" t="s">
        <v>80</v>
      </c>
      <c r="B17" s="19"/>
      <c r="C17" s="20"/>
      <c r="D17" s="20"/>
      <c r="E17" s="20"/>
      <c r="F17" s="20"/>
      <c r="G17" s="21"/>
      <c r="H17" s="19">
        <v>0.56000000000000005</v>
      </c>
      <c r="I17" s="848">
        <v>88</v>
      </c>
      <c r="J17" s="171"/>
      <c r="K17" s="20">
        <v>8.8800000000000008</v>
      </c>
      <c r="L17" s="20">
        <v>20</v>
      </c>
      <c r="M17" s="20">
        <v>156.29</v>
      </c>
      <c r="N17" s="20">
        <v>37.65</v>
      </c>
      <c r="O17" s="21">
        <v>193.94</v>
      </c>
      <c r="P17" s="19"/>
      <c r="Q17" s="20"/>
      <c r="R17" s="20"/>
      <c r="S17" s="20"/>
      <c r="T17" s="20"/>
      <c r="U17" s="21"/>
      <c r="V17" s="297"/>
      <c r="W17" s="28"/>
    </row>
    <row r="18" spans="1:23" ht="15" customHeight="1" x14ac:dyDescent="0.25">
      <c r="A18" s="18" t="s">
        <v>80</v>
      </c>
      <c r="B18" s="19"/>
      <c r="C18" s="20"/>
      <c r="D18" s="20"/>
      <c r="E18" s="20"/>
      <c r="F18" s="20"/>
      <c r="G18" s="21"/>
      <c r="H18" s="19">
        <v>0.76</v>
      </c>
      <c r="I18" s="848">
        <v>120</v>
      </c>
      <c r="J18" s="171"/>
      <c r="K18" s="20">
        <v>8.8800000000000008</v>
      </c>
      <c r="L18" s="20">
        <v>20</v>
      </c>
      <c r="M18" s="20">
        <v>213.12</v>
      </c>
      <c r="N18" s="20">
        <v>51.34</v>
      </c>
      <c r="O18" s="21">
        <v>264.45999999999998</v>
      </c>
      <c r="P18" s="19"/>
      <c r="Q18" s="20"/>
      <c r="R18" s="20"/>
      <c r="S18" s="20"/>
      <c r="T18" s="20"/>
      <c r="U18" s="21"/>
      <c r="V18" s="297"/>
      <c r="W18" s="28"/>
    </row>
    <row r="19" spans="1:23" ht="15" customHeight="1" x14ac:dyDescent="0.25">
      <c r="A19" s="18" t="s">
        <v>80</v>
      </c>
      <c r="B19" s="19"/>
      <c r="C19" s="20"/>
      <c r="D19" s="20"/>
      <c r="E19" s="20"/>
      <c r="F19" s="20"/>
      <c r="G19" s="21"/>
      <c r="H19" s="133">
        <v>0.4</v>
      </c>
      <c r="I19" s="848">
        <v>63</v>
      </c>
      <c r="J19" s="171"/>
      <c r="K19" s="20">
        <v>8.8800000000000008</v>
      </c>
      <c r="L19" s="20">
        <v>20</v>
      </c>
      <c r="M19" s="20">
        <v>111.89</v>
      </c>
      <c r="N19" s="20">
        <v>26.95</v>
      </c>
      <c r="O19" s="21">
        <v>138.84</v>
      </c>
      <c r="P19" s="19"/>
      <c r="Q19" s="20"/>
      <c r="R19" s="20"/>
      <c r="S19" s="20"/>
      <c r="T19" s="20"/>
      <c r="U19" s="21"/>
      <c r="V19" s="297"/>
      <c r="W19" s="28"/>
    </row>
    <row r="20" spans="1:23" ht="15" customHeight="1" x14ac:dyDescent="0.25">
      <c r="A20" s="18" t="s">
        <v>80</v>
      </c>
      <c r="B20" s="19"/>
      <c r="C20" s="20"/>
      <c r="D20" s="20"/>
      <c r="E20" s="20"/>
      <c r="F20" s="20"/>
      <c r="G20" s="21"/>
      <c r="H20" s="19">
        <v>0.06</v>
      </c>
      <c r="I20" s="848">
        <v>9</v>
      </c>
      <c r="J20" s="171"/>
      <c r="K20" s="20">
        <v>8.8800000000000008</v>
      </c>
      <c r="L20" s="20">
        <v>20</v>
      </c>
      <c r="M20" s="20">
        <v>16.190000000000001</v>
      </c>
      <c r="N20" s="20">
        <v>3.9</v>
      </c>
      <c r="O20" s="21">
        <v>20.09</v>
      </c>
      <c r="P20" s="19"/>
      <c r="Q20" s="20"/>
      <c r="R20" s="20"/>
      <c r="S20" s="20"/>
      <c r="T20" s="20"/>
      <c r="U20" s="21"/>
      <c r="V20" s="297"/>
      <c r="W20" s="28"/>
    </row>
    <row r="21" spans="1:23" ht="15" customHeight="1" x14ac:dyDescent="0.25">
      <c r="A21" s="18" t="s">
        <v>80</v>
      </c>
      <c r="B21" s="19"/>
      <c r="C21" s="20"/>
      <c r="D21" s="20"/>
      <c r="E21" s="20"/>
      <c r="F21" s="20"/>
      <c r="G21" s="21"/>
      <c r="H21" s="19">
        <v>0.15</v>
      </c>
      <c r="I21" s="848">
        <v>24</v>
      </c>
      <c r="J21" s="171"/>
      <c r="K21" s="20">
        <v>8.8800000000000008</v>
      </c>
      <c r="L21" s="20">
        <v>20</v>
      </c>
      <c r="M21" s="20">
        <v>42.62</v>
      </c>
      <c r="N21" s="20">
        <v>10.27</v>
      </c>
      <c r="O21" s="21">
        <v>52.89</v>
      </c>
      <c r="P21" s="19"/>
      <c r="Q21" s="20"/>
      <c r="R21" s="20"/>
      <c r="S21" s="20"/>
      <c r="T21" s="20"/>
      <c r="U21" s="21"/>
      <c r="V21" s="297"/>
      <c r="W21" s="28"/>
    </row>
    <row r="22" spans="1:23" ht="16.5" customHeight="1" x14ac:dyDescent="0.25">
      <c r="A22" s="18" t="s">
        <v>80</v>
      </c>
      <c r="B22" s="19"/>
      <c r="C22" s="20"/>
      <c r="D22" s="20"/>
      <c r="E22" s="20"/>
      <c r="F22" s="20"/>
      <c r="G22" s="21"/>
      <c r="H22" s="19">
        <v>0.41</v>
      </c>
      <c r="I22" s="848">
        <v>65</v>
      </c>
      <c r="J22" s="171"/>
      <c r="K22" s="20">
        <v>8.8800000000000008</v>
      </c>
      <c r="L22" s="20">
        <v>20</v>
      </c>
      <c r="M22" s="20">
        <v>115.44</v>
      </c>
      <c r="N22" s="20">
        <v>27.81</v>
      </c>
      <c r="O22" s="21">
        <v>143.25</v>
      </c>
      <c r="P22" s="19"/>
      <c r="Q22" s="20"/>
      <c r="R22" s="20"/>
      <c r="S22" s="20"/>
      <c r="T22" s="20"/>
      <c r="U22" s="21"/>
      <c r="V22" s="297"/>
      <c r="W22" s="28"/>
    </row>
    <row r="23" spans="1:23" ht="15" customHeight="1" x14ac:dyDescent="0.25">
      <c r="A23" s="18" t="s">
        <v>80</v>
      </c>
      <c r="B23" s="19"/>
      <c r="C23" s="20"/>
      <c r="D23" s="20"/>
      <c r="E23" s="20"/>
      <c r="F23" s="20"/>
      <c r="G23" s="21"/>
      <c r="H23" s="19">
        <v>0.36</v>
      </c>
      <c r="I23" s="848">
        <v>57</v>
      </c>
      <c r="J23" s="171"/>
      <c r="K23" s="20">
        <v>8.8800000000000008</v>
      </c>
      <c r="L23" s="20">
        <v>20</v>
      </c>
      <c r="M23" s="20">
        <v>101.23</v>
      </c>
      <c r="N23" s="20">
        <v>24.39</v>
      </c>
      <c r="O23" s="21">
        <v>125.62</v>
      </c>
      <c r="P23" s="19"/>
      <c r="Q23" s="20"/>
      <c r="R23" s="20"/>
      <c r="S23" s="20"/>
      <c r="T23" s="20"/>
      <c r="U23" s="21"/>
      <c r="V23" s="297"/>
      <c r="W23" s="28"/>
    </row>
    <row r="24" spans="1:23" ht="18.75" customHeight="1" x14ac:dyDescent="0.25">
      <c r="A24" s="18" t="s">
        <v>80</v>
      </c>
      <c r="B24" s="19"/>
      <c r="C24" s="20"/>
      <c r="D24" s="20"/>
      <c r="E24" s="20"/>
      <c r="F24" s="20"/>
      <c r="G24" s="21"/>
      <c r="H24" s="19">
        <v>0.14000000000000001</v>
      </c>
      <c r="I24" s="848">
        <v>22</v>
      </c>
      <c r="J24" s="171"/>
      <c r="K24" s="20">
        <v>8.8800000000000008</v>
      </c>
      <c r="L24" s="20">
        <v>20</v>
      </c>
      <c r="M24" s="20">
        <v>39.07</v>
      </c>
      <c r="N24" s="20">
        <v>9.41</v>
      </c>
      <c r="O24" s="21">
        <v>48.48</v>
      </c>
      <c r="P24" s="19"/>
      <c r="Q24" s="20"/>
      <c r="R24" s="20"/>
      <c r="S24" s="20"/>
      <c r="T24" s="20"/>
      <c r="U24" s="21"/>
      <c r="V24" s="297"/>
      <c r="W24" s="28"/>
    </row>
    <row r="25" spans="1:23" ht="18.75" customHeight="1" x14ac:dyDescent="0.25">
      <c r="A25" s="18" t="s">
        <v>80</v>
      </c>
      <c r="B25" s="19"/>
      <c r="C25" s="20"/>
      <c r="D25" s="20"/>
      <c r="E25" s="20"/>
      <c r="F25" s="20"/>
      <c r="G25" s="21"/>
      <c r="H25" s="133">
        <v>0.7</v>
      </c>
      <c r="I25" s="848">
        <v>111</v>
      </c>
      <c r="J25" s="171"/>
      <c r="K25" s="20">
        <v>8.8800000000000008</v>
      </c>
      <c r="L25" s="20">
        <v>20</v>
      </c>
      <c r="M25" s="20">
        <v>197.14</v>
      </c>
      <c r="N25" s="20">
        <v>47.49</v>
      </c>
      <c r="O25" s="21">
        <v>244.63</v>
      </c>
      <c r="P25" s="19"/>
      <c r="Q25" s="20"/>
      <c r="R25" s="20"/>
      <c r="S25" s="20"/>
      <c r="T25" s="20"/>
      <c r="U25" s="21"/>
      <c r="V25" s="297"/>
      <c r="W25" s="28"/>
    </row>
    <row r="26" spans="1:23" ht="18.75" customHeight="1" x14ac:dyDescent="0.25">
      <c r="A26" s="18" t="s">
        <v>80</v>
      </c>
      <c r="B26" s="19"/>
      <c r="C26" s="20"/>
      <c r="D26" s="20"/>
      <c r="E26" s="20"/>
      <c r="F26" s="20"/>
      <c r="G26" s="21"/>
      <c r="H26" s="19">
        <v>0.41</v>
      </c>
      <c r="I26" s="848">
        <v>64</v>
      </c>
      <c r="J26" s="171"/>
      <c r="K26" s="20">
        <v>8.8800000000000008</v>
      </c>
      <c r="L26" s="20">
        <v>20</v>
      </c>
      <c r="M26" s="20">
        <v>113.66</v>
      </c>
      <c r="N26" s="20">
        <v>27.38</v>
      </c>
      <c r="O26" s="21">
        <v>141.04</v>
      </c>
      <c r="P26" s="19"/>
      <c r="Q26" s="20"/>
      <c r="R26" s="20"/>
      <c r="S26" s="20"/>
      <c r="T26" s="20"/>
      <c r="U26" s="21"/>
      <c r="V26" s="297"/>
      <c r="W26" s="28"/>
    </row>
    <row r="27" spans="1:23" ht="18.75" customHeight="1" x14ac:dyDescent="0.25">
      <c r="A27" s="18" t="s">
        <v>80</v>
      </c>
      <c r="B27" s="19"/>
      <c r="C27" s="20"/>
      <c r="D27" s="20"/>
      <c r="E27" s="20"/>
      <c r="F27" s="20"/>
      <c r="G27" s="21"/>
      <c r="H27" s="19">
        <v>0.91</v>
      </c>
      <c r="I27" s="848">
        <v>144</v>
      </c>
      <c r="J27" s="171"/>
      <c r="K27" s="20">
        <v>8.8800000000000008</v>
      </c>
      <c r="L27" s="20">
        <v>20</v>
      </c>
      <c r="M27" s="20">
        <v>255.74</v>
      </c>
      <c r="N27" s="20">
        <v>61.61</v>
      </c>
      <c r="O27" s="21">
        <v>317.35000000000002</v>
      </c>
      <c r="P27" s="19"/>
      <c r="Q27" s="20"/>
      <c r="R27" s="20"/>
      <c r="S27" s="20"/>
      <c r="T27" s="20"/>
      <c r="U27" s="21"/>
      <c r="V27" s="297"/>
      <c r="W27" s="28"/>
    </row>
    <row r="28" spans="1:23" ht="18.75" customHeight="1" x14ac:dyDescent="0.25">
      <c r="A28" s="18" t="s">
        <v>80</v>
      </c>
      <c r="B28" s="19"/>
      <c r="C28" s="20"/>
      <c r="D28" s="20"/>
      <c r="E28" s="20"/>
      <c r="F28" s="20"/>
      <c r="G28" s="21"/>
      <c r="H28" s="19">
        <v>0.35</v>
      </c>
      <c r="I28" s="848">
        <v>56</v>
      </c>
      <c r="J28" s="171"/>
      <c r="K28" s="20">
        <v>10.08</v>
      </c>
      <c r="L28" s="20">
        <v>20</v>
      </c>
      <c r="M28" s="20">
        <v>112.9</v>
      </c>
      <c r="N28" s="20">
        <v>27.2</v>
      </c>
      <c r="O28" s="21">
        <v>140.1</v>
      </c>
      <c r="P28" s="19"/>
      <c r="Q28" s="20"/>
      <c r="R28" s="20"/>
      <c r="S28" s="20"/>
      <c r="T28" s="20"/>
      <c r="U28" s="21"/>
      <c r="V28" s="297"/>
      <c r="W28" s="28"/>
    </row>
    <row r="29" spans="1:23" ht="18.75" customHeight="1" x14ac:dyDescent="0.25">
      <c r="A29" s="18" t="s">
        <v>80</v>
      </c>
      <c r="B29" s="19"/>
      <c r="C29" s="20"/>
      <c r="D29" s="20"/>
      <c r="E29" s="20"/>
      <c r="F29" s="20"/>
      <c r="G29" s="21"/>
      <c r="H29" s="19">
        <v>0.72</v>
      </c>
      <c r="I29" s="848">
        <v>113</v>
      </c>
      <c r="J29" s="171"/>
      <c r="K29" s="20">
        <v>10.08</v>
      </c>
      <c r="L29" s="20">
        <v>20</v>
      </c>
      <c r="M29" s="20">
        <v>227.81</v>
      </c>
      <c r="N29" s="20">
        <v>54.88</v>
      </c>
      <c r="O29" s="21">
        <v>282.69</v>
      </c>
      <c r="P29" s="19"/>
      <c r="Q29" s="20"/>
      <c r="R29" s="20"/>
      <c r="S29" s="20"/>
      <c r="T29" s="20"/>
      <c r="U29" s="21"/>
      <c r="V29" s="297"/>
      <c r="W29" s="28"/>
    </row>
    <row r="30" spans="1:23" ht="18.75" customHeight="1" x14ac:dyDescent="0.25">
      <c r="A30" s="18" t="s">
        <v>80</v>
      </c>
      <c r="B30" s="19"/>
      <c r="C30" s="20"/>
      <c r="D30" s="20"/>
      <c r="E30" s="20"/>
      <c r="F30" s="20"/>
      <c r="G30" s="21"/>
      <c r="H30" s="19">
        <v>0.35</v>
      </c>
      <c r="I30" s="847">
        <v>56</v>
      </c>
      <c r="J30" s="171"/>
      <c r="K30" s="20">
        <v>10.08</v>
      </c>
      <c r="L30" s="20">
        <v>20</v>
      </c>
      <c r="M30" s="20">
        <v>112.9</v>
      </c>
      <c r="N30" s="20">
        <v>27.2</v>
      </c>
      <c r="O30" s="21">
        <v>140.1</v>
      </c>
      <c r="P30" s="19"/>
      <c r="Q30" s="20"/>
      <c r="R30" s="20"/>
      <c r="S30" s="20"/>
      <c r="T30" s="20"/>
      <c r="U30" s="21"/>
      <c r="V30" s="297"/>
      <c r="W30" s="28"/>
    </row>
    <row r="31" spans="1:23" ht="18.75" customHeight="1" x14ac:dyDescent="0.25">
      <c r="A31" s="18" t="s">
        <v>80</v>
      </c>
      <c r="B31" s="19"/>
      <c r="C31" s="20"/>
      <c r="D31" s="20"/>
      <c r="E31" s="20"/>
      <c r="F31" s="20"/>
      <c r="G31" s="21"/>
      <c r="H31" s="133">
        <v>0.2</v>
      </c>
      <c r="I31" s="848">
        <v>32</v>
      </c>
      <c r="J31" s="171"/>
      <c r="K31" s="20">
        <v>10.08</v>
      </c>
      <c r="L31" s="20">
        <v>20</v>
      </c>
      <c r="M31" s="20">
        <v>64.510000000000005</v>
      </c>
      <c r="N31" s="20">
        <v>15.54</v>
      </c>
      <c r="O31" s="21">
        <v>80.05</v>
      </c>
      <c r="P31" s="19"/>
      <c r="Q31" s="20"/>
      <c r="R31" s="20"/>
      <c r="S31" s="20"/>
      <c r="T31" s="20"/>
      <c r="U31" s="21"/>
      <c r="V31" s="297"/>
      <c r="W31" s="28"/>
    </row>
    <row r="32" spans="1:23" ht="18.75" customHeight="1" x14ac:dyDescent="0.25">
      <c r="A32" s="18" t="s">
        <v>80</v>
      </c>
      <c r="B32" s="19"/>
      <c r="C32" s="20"/>
      <c r="D32" s="20"/>
      <c r="E32" s="20"/>
      <c r="F32" s="20"/>
      <c r="G32" s="21"/>
      <c r="H32" s="19">
        <v>0.06</v>
      </c>
      <c r="I32" s="848">
        <v>9</v>
      </c>
      <c r="J32" s="171"/>
      <c r="K32" s="20">
        <v>10.08</v>
      </c>
      <c r="L32" s="20">
        <v>20</v>
      </c>
      <c r="M32" s="20">
        <v>18.14</v>
      </c>
      <c r="N32" s="20">
        <v>4.37</v>
      </c>
      <c r="O32" s="21">
        <v>22.51</v>
      </c>
      <c r="P32" s="19"/>
      <c r="Q32" s="20"/>
      <c r="R32" s="20"/>
      <c r="S32" s="20"/>
      <c r="T32" s="20"/>
      <c r="U32" s="21"/>
      <c r="V32" s="297"/>
      <c r="W32" s="28"/>
    </row>
    <row r="33" spans="1:23" ht="18.75" customHeight="1" x14ac:dyDescent="0.25">
      <c r="A33" s="18" t="s">
        <v>80</v>
      </c>
      <c r="B33" s="19"/>
      <c r="C33" s="20"/>
      <c r="D33" s="20"/>
      <c r="E33" s="20"/>
      <c r="F33" s="20"/>
      <c r="G33" s="21"/>
      <c r="H33" s="133">
        <v>0.1</v>
      </c>
      <c r="I33" s="848">
        <v>16</v>
      </c>
      <c r="J33" s="171"/>
      <c r="K33" s="20">
        <v>10.08</v>
      </c>
      <c r="L33" s="20">
        <v>20</v>
      </c>
      <c r="M33" s="20">
        <v>32.26</v>
      </c>
      <c r="N33" s="20">
        <v>7.77</v>
      </c>
      <c r="O33" s="21">
        <v>40.03</v>
      </c>
      <c r="P33" s="19"/>
      <c r="Q33" s="20"/>
      <c r="R33" s="20"/>
      <c r="S33" s="20"/>
      <c r="T33" s="20"/>
      <c r="U33" s="21"/>
      <c r="V33" s="297"/>
      <c r="W33" s="28"/>
    </row>
    <row r="34" spans="1:23" ht="18.75" customHeight="1" x14ac:dyDescent="0.25">
      <c r="A34" s="18" t="s">
        <v>80</v>
      </c>
      <c r="B34" s="19"/>
      <c r="C34" s="20"/>
      <c r="D34" s="20"/>
      <c r="E34" s="20"/>
      <c r="F34" s="20"/>
      <c r="G34" s="21"/>
      <c r="H34" s="19">
        <v>0.25</v>
      </c>
      <c r="I34" s="848">
        <v>40</v>
      </c>
      <c r="J34" s="171"/>
      <c r="K34" s="20">
        <v>10.08</v>
      </c>
      <c r="L34" s="20">
        <v>20</v>
      </c>
      <c r="M34" s="20">
        <v>80.64</v>
      </c>
      <c r="N34" s="20">
        <v>19.43</v>
      </c>
      <c r="O34" s="21">
        <v>100.07</v>
      </c>
      <c r="P34" s="19"/>
      <c r="Q34" s="20"/>
      <c r="R34" s="20"/>
      <c r="S34" s="20"/>
      <c r="T34" s="20"/>
      <c r="U34" s="21"/>
      <c r="V34" s="297"/>
      <c r="W34" s="28"/>
    </row>
    <row r="35" spans="1:23" ht="18.75" customHeight="1" x14ac:dyDescent="0.25">
      <c r="A35" s="18" t="s">
        <v>80</v>
      </c>
      <c r="B35" s="19"/>
      <c r="C35" s="20"/>
      <c r="D35" s="20"/>
      <c r="E35" s="20"/>
      <c r="F35" s="20"/>
      <c r="G35" s="21"/>
      <c r="H35" s="19">
        <v>0.45</v>
      </c>
      <c r="I35" s="848">
        <v>72</v>
      </c>
      <c r="J35" s="171"/>
      <c r="K35" s="20">
        <v>10.08</v>
      </c>
      <c r="L35" s="20">
        <v>20</v>
      </c>
      <c r="M35" s="20">
        <v>145.15</v>
      </c>
      <c r="N35" s="20">
        <v>34.97</v>
      </c>
      <c r="O35" s="21">
        <v>180.12</v>
      </c>
      <c r="P35" s="19"/>
      <c r="Q35" s="20"/>
      <c r="R35" s="20"/>
      <c r="S35" s="20"/>
      <c r="T35" s="20"/>
      <c r="U35" s="21"/>
      <c r="V35" s="297"/>
      <c r="W35" s="28"/>
    </row>
    <row r="36" spans="1:23" ht="18.75" customHeight="1" x14ac:dyDescent="0.25">
      <c r="A36" s="18" t="s">
        <v>80</v>
      </c>
      <c r="B36" s="19"/>
      <c r="C36" s="20"/>
      <c r="D36" s="20"/>
      <c r="E36" s="20"/>
      <c r="F36" s="20"/>
      <c r="G36" s="21"/>
      <c r="H36" s="19">
        <v>0.51</v>
      </c>
      <c r="I36" s="848">
        <v>81</v>
      </c>
      <c r="J36" s="171"/>
      <c r="K36" s="20">
        <v>10.08</v>
      </c>
      <c r="L36" s="20">
        <v>20</v>
      </c>
      <c r="M36" s="20">
        <v>163.30000000000001</v>
      </c>
      <c r="N36" s="20">
        <v>39.340000000000003</v>
      </c>
      <c r="O36" s="21">
        <v>202.64</v>
      </c>
      <c r="P36" s="19"/>
      <c r="Q36" s="20"/>
      <c r="R36" s="20"/>
      <c r="S36" s="20"/>
      <c r="T36" s="20"/>
      <c r="U36" s="21"/>
      <c r="V36" s="297"/>
      <c r="W36" s="28"/>
    </row>
    <row r="37" spans="1:23" ht="18.75" customHeight="1" x14ac:dyDescent="0.25">
      <c r="A37" s="18" t="s">
        <v>80</v>
      </c>
      <c r="B37" s="19"/>
      <c r="C37" s="20"/>
      <c r="D37" s="20"/>
      <c r="E37" s="20"/>
      <c r="F37" s="20"/>
      <c r="G37" s="21"/>
      <c r="H37" s="19">
        <v>0.16</v>
      </c>
      <c r="I37" s="848">
        <v>26</v>
      </c>
      <c r="J37" s="171"/>
      <c r="K37" s="20">
        <v>10.08</v>
      </c>
      <c r="L37" s="20">
        <v>20</v>
      </c>
      <c r="M37" s="20">
        <v>52.42</v>
      </c>
      <c r="N37" s="20">
        <v>12.63</v>
      </c>
      <c r="O37" s="21">
        <v>65.05</v>
      </c>
      <c r="P37" s="19"/>
      <c r="Q37" s="20"/>
      <c r="R37" s="20"/>
      <c r="S37" s="20"/>
      <c r="T37" s="20"/>
      <c r="U37" s="21"/>
      <c r="V37" s="297"/>
      <c r="W37" s="28"/>
    </row>
    <row r="38" spans="1:23" ht="18.75" customHeight="1" x14ac:dyDescent="0.25">
      <c r="A38" s="18" t="s">
        <v>80</v>
      </c>
      <c r="B38" s="19"/>
      <c r="C38" s="20"/>
      <c r="D38" s="20"/>
      <c r="E38" s="20"/>
      <c r="F38" s="20"/>
      <c r="G38" s="21"/>
      <c r="H38" s="19">
        <v>0.26</v>
      </c>
      <c r="I38" s="848">
        <v>41</v>
      </c>
      <c r="J38" s="171"/>
      <c r="K38" s="20">
        <v>10.08</v>
      </c>
      <c r="L38" s="20">
        <v>20</v>
      </c>
      <c r="M38" s="20">
        <v>82.66</v>
      </c>
      <c r="N38" s="20">
        <v>19.91</v>
      </c>
      <c r="O38" s="21">
        <v>102.57</v>
      </c>
      <c r="P38" s="19"/>
      <c r="Q38" s="20"/>
      <c r="R38" s="20"/>
      <c r="S38" s="20"/>
      <c r="T38" s="20"/>
      <c r="U38" s="21"/>
      <c r="V38" s="297"/>
      <c r="W38" s="28"/>
    </row>
    <row r="39" spans="1:23" ht="18.75" customHeight="1" x14ac:dyDescent="0.25">
      <c r="A39" s="18" t="s">
        <v>80</v>
      </c>
      <c r="B39" s="19"/>
      <c r="C39" s="20"/>
      <c r="D39" s="20"/>
      <c r="E39" s="20"/>
      <c r="F39" s="20"/>
      <c r="G39" s="21"/>
      <c r="H39" s="19">
        <v>0.28000000000000003</v>
      </c>
      <c r="I39" s="848">
        <v>45</v>
      </c>
      <c r="J39" s="171"/>
      <c r="K39" s="20">
        <v>10.08</v>
      </c>
      <c r="L39" s="20">
        <v>20</v>
      </c>
      <c r="M39" s="20">
        <v>90.72</v>
      </c>
      <c r="N39" s="20">
        <v>21.85</v>
      </c>
      <c r="O39" s="21">
        <v>112.57</v>
      </c>
      <c r="P39" s="19"/>
      <c r="Q39" s="20"/>
      <c r="R39" s="20"/>
      <c r="S39" s="20"/>
      <c r="T39" s="20"/>
      <c r="U39" s="21"/>
      <c r="V39" s="297"/>
      <c r="W39" s="28"/>
    </row>
    <row r="40" spans="1:23" ht="18.75" customHeight="1" x14ac:dyDescent="0.25">
      <c r="A40" s="18" t="s">
        <v>80</v>
      </c>
      <c r="B40" s="19"/>
      <c r="C40" s="20"/>
      <c r="D40" s="20"/>
      <c r="E40" s="20"/>
      <c r="F40" s="20"/>
      <c r="G40" s="21"/>
      <c r="H40" s="19">
        <v>0.22</v>
      </c>
      <c r="I40" s="848">
        <v>34</v>
      </c>
      <c r="J40" s="171"/>
      <c r="K40" s="20">
        <v>10.08</v>
      </c>
      <c r="L40" s="20">
        <v>20</v>
      </c>
      <c r="M40" s="20">
        <v>68.540000000000006</v>
      </c>
      <c r="N40" s="20">
        <v>16.510000000000002</v>
      </c>
      <c r="O40" s="21">
        <v>85.05</v>
      </c>
      <c r="P40" s="19"/>
      <c r="Q40" s="20"/>
      <c r="R40" s="20"/>
      <c r="S40" s="20"/>
      <c r="T40" s="20"/>
      <c r="U40" s="21"/>
      <c r="V40" s="297"/>
      <c r="W40" s="28"/>
    </row>
    <row r="41" spans="1:23" ht="18.75" customHeight="1" x14ac:dyDescent="0.25">
      <c r="A41" s="18" t="s">
        <v>80</v>
      </c>
      <c r="B41" s="19"/>
      <c r="C41" s="20"/>
      <c r="D41" s="20"/>
      <c r="E41" s="20"/>
      <c r="F41" s="20"/>
      <c r="G41" s="21"/>
      <c r="H41" s="133">
        <v>0.6</v>
      </c>
      <c r="I41" s="848">
        <v>95</v>
      </c>
      <c r="J41" s="171"/>
      <c r="K41" s="20">
        <v>10.08</v>
      </c>
      <c r="L41" s="20">
        <v>20</v>
      </c>
      <c r="M41" s="20">
        <v>191.52</v>
      </c>
      <c r="N41" s="20">
        <v>46.14</v>
      </c>
      <c r="O41" s="21">
        <v>237.66</v>
      </c>
      <c r="P41" s="19"/>
      <c r="Q41" s="20"/>
      <c r="R41" s="20"/>
      <c r="S41" s="20"/>
      <c r="T41" s="20"/>
      <c r="U41" s="21"/>
      <c r="V41" s="297"/>
      <c r="W41" s="28"/>
    </row>
    <row r="42" spans="1:23" ht="18.75" customHeight="1" x14ac:dyDescent="0.25">
      <c r="A42" s="18" t="s">
        <v>80</v>
      </c>
      <c r="B42" s="19"/>
      <c r="C42" s="20"/>
      <c r="D42" s="20"/>
      <c r="E42" s="20"/>
      <c r="F42" s="20"/>
      <c r="G42" s="21"/>
      <c r="H42" s="133">
        <v>0.3</v>
      </c>
      <c r="I42" s="848">
        <v>48</v>
      </c>
      <c r="J42" s="171"/>
      <c r="K42" s="20">
        <v>10.08</v>
      </c>
      <c r="L42" s="20">
        <v>20</v>
      </c>
      <c r="M42" s="20">
        <v>96.77</v>
      </c>
      <c r="N42" s="20">
        <v>23.31</v>
      </c>
      <c r="O42" s="21">
        <v>120.08</v>
      </c>
      <c r="P42" s="19"/>
      <c r="Q42" s="20"/>
      <c r="R42" s="20"/>
      <c r="S42" s="20"/>
      <c r="T42" s="20"/>
      <c r="U42" s="21"/>
      <c r="V42" s="297"/>
      <c r="W42" s="28"/>
    </row>
    <row r="43" spans="1:23" ht="18.75" customHeight="1" x14ac:dyDescent="0.25">
      <c r="A43" s="18" t="s">
        <v>80</v>
      </c>
      <c r="B43" s="19"/>
      <c r="C43" s="20"/>
      <c r="D43" s="20"/>
      <c r="E43" s="20"/>
      <c r="F43" s="20"/>
      <c r="G43" s="21"/>
      <c r="H43" s="19">
        <v>0.11</v>
      </c>
      <c r="I43" s="848">
        <v>17</v>
      </c>
      <c r="J43" s="171"/>
      <c r="K43" s="20">
        <v>10.08</v>
      </c>
      <c r="L43" s="20">
        <v>20</v>
      </c>
      <c r="M43" s="20">
        <v>34.270000000000003</v>
      </c>
      <c r="N43" s="20">
        <v>8.26</v>
      </c>
      <c r="O43" s="21">
        <v>42.53</v>
      </c>
      <c r="P43" s="19"/>
      <c r="Q43" s="20"/>
      <c r="R43" s="20"/>
      <c r="S43" s="20"/>
      <c r="T43" s="20"/>
      <c r="U43" s="21"/>
      <c r="V43" s="297"/>
      <c r="W43" s="28"/>
    </row>
    <row r="44" spans="1:23" ht="18.75" customHeight="1" x14ac:dyDescent="0.25">
      <c r="A44" s="18" t="s">
        <v>80</v>
      </c>
      <c r="B44" s="19"/>
      <c r="C44" s="20"/>
      <c r="D44" s="20"/>
      <c r="E44" s="20"/>
      <c r="F44" s="20"/>
      <c r="G44" s="21"/>
      <c r="H44" s="19">
        <v>0.14000000000000001</v>
      </c>
      <c r="I44" s="848">
        <v>22</v>
      </c>
      <c r="J44" s="171"/>
      <c r="K44" s="20">
        <v>10.08</v>
      </c>
      <c r="L44" s="20">
        <v>20</v>
      </c>
      <c r="M44" s="20">
        <v>44.35</v>
      </c>
      <c r="N44" s="20">
        <v>10.68</v>
      </c>
      <c r="O44" s="21">
        <v>55.03</v>
      </c>
      <c r="P44" s="19"/>
      <c r="Q44" s="20"/>
      <c r="R44" s="20"/>
      <c r="S44" s="20"/>
      <c r="T44" s="20"/>
      <c r="U44" s="21"/>
      <c r="V44" s="297"/>
      <c r="W44" s="28"/>
    </row>
    <row r="45" spans="1:23" ht="18.75" customHeight="1" x14ac:dyDescent="0.25">
      <c r="A45" s="18" t="s">
        <v>80</v>
      </c>
      <c r="B45" s="19"/>
      <c r="C45" s="20"/>
      <c r="D45" s="20"/>
      <c r="E45" s="20"/>
      <c r="F45" s="20"/>
      <c r="G45" s="21"/>
      <c r="H45" s="133">
        <v>0.1</v>
      </c>
      <c r="I45" s="848">
        <v>16</v>
      </c>
      <c r="J45" s="171"/>
      <c r="K45" s="20">
        <v>10.08</v>
      </c>
      <c r="L45" s="20">
        <v>20</v>
      </c>
      <c r="M45" s="20">
        <v>32.26</v>
      </c>
      <c r="N45" s="20">
        <v>7.77</v>
      </c>
      <c r="O45" s="21">
        <v>40.03</v>
      </c>
      <c r="P45" s="19"/>
      <c r="Q45" s="20"/>
      <c r="R45" s="20"/>
      <c r="S45" s="20"/>
      <c r="T45" s="20"/>
      <c r="U45" s="21"/>
      <c r="V45" s="297"/>
      <c r="W45" s="28"/>
    </row>
    <row r="46" spans="1:23" ht="18.75" customHeight="1" x14ac:dyDescent="0.25">
      <c r="A46" s="18" t="s">
        <v>80</v>
      </c>
      <c r="B46" s="19"/>
      <c r="C46" s="20"/>
      <c r="D46" s="20"/>
      <c r="E46" s="20"/>
      <c r="F46" s="20"/>
      <c r="G46" s="21"/>
      <c r="H46" s="19">
        <v>0.05</v>
      </c>
      <c r="I46" s="848">
        <v>8</v>
      </c>
      <c r="J46" s="171"/>
      <c r="K46" s="20">
        <v>10.08</v>
      </c>
      <c r="L46" s="20">
        <v>20</v>
      </c>
      <c r="M46" s="20">
        <v>16.13</v>
      </c>
      <c r="N46" s="20">
        <v>3.89</v>
      </c>
      <c r="O46" s="21">
        <v>20.02</v>
      </c>
      <c r="P46" s="19"/>
      <c r="Q46" s="20"/>
      <c r="R46" s="20"/>
      <c r="S46" s="20"/>
      <c r="T46" s="20"/>
      <c r="U46" s="21"/>
      <c r="V46" s="297"/>
      <c r="W46" s="28"/>
    </row>
    <row r="47" spans="1:23" ht="18.75" customHeight="1" x14ac:dyDescent="0.25">
      <c r="A47" s="18" t="s">
        <v>80</v>
      </c>
      <c r="B47" s="19"/>
      <c r="C47" s="20"/>
      <c r="D47" s="20"/>
      <c r="E47" s="20"/>
      <c r="F47" s="20"/>
      <c r="G47" s="21"/>
      <c r="H47" s="133">
        <v>0.1</v>
      </c>
      <c r="I47" s="848">
        <v>16</v>
      </c>
      <c r="J47" s="171"/>
      <c r="K47" s="20">
        <v>10.08</v>
      </c>
      <c r="L47" s="20">
        <v>20</v>
      </c>
      <c r="M47" s="20">
        <v>32.26</v>
      </c>
      <c r="N47" s="20">
        <v>7.77</v>
      </c>
      <c r="O47" s="21">
        <v>40.03</v>
      </c>
      <c r="P47" s="19"/>
      <c r="Q47" s="20"/>
      <c r="R47" s="20"/>
      <c r="S47" s="20"/>
      <c r="T47" s="20"/>
      <c r="U47" s="21"/>
      <c r="V47" s="297"/>
      <c r="W47" s="28"/>
    </row>
    <row r="48" spans="1:23" ht="18.75" customHeight="1" x14ac:dyDescent="0.25">
      <c r="A48" s="18" t="s">
        <v>80</v>
      </c>
      <c r="B48" s="19"/>
      <c r="C48" s="20"/>
      <c r="D48" s="20"/>
      <c r="E48" s="20"/>
      <c r="F48" s="20"/>
      <c r="G48" s="21"/>
      <c r="H48" s="19">
        <v>1.22</v>
      </c>
      <c r="I48" s="848">
        <v>192</v>
      </c>
      <c r="J48" s="171"/>
      <c r="K48" s="20">
        <v>10.08</v>
      </c>
      <c r="L48" s="20">
        <v>20</v>
      </c>
      <c r="M48" s="20">
        <v>387.07</v>
      </c>
      <c r="N48" s="20">
        <v>93.25</v>
      </c>
      <c r="O48" s="21">
        <v>480.32</v>
      </c>
      <c r="P48" s="19"/>
      <c r="Q48" s="20"/>
      <c r="R48" s="20"/>
      <c r="S48" s="20"/>
      <c r="T48" s="20"/>
      <c r="U48" s="21"/>
      <c r="V48" s="297"/>
      <c r="W48" s="28"/>
    </row>
    <row r="49" spans="1:23" ht="18.75" customHeight="1" x14ac:dyDescent="0.25">
      <c r="A49" s="18" t="s">
        <v>80</v>
      </c>
      <c r="B49" s="19"/>
      <c r="C49" s="20"/>
      <c r="D49" s="20"/>
      <c r="E49" s="20"/>
      <c r="F49" s="20"/>
      <c r="G49" s="21"/>
      <c r="H49" s="133">
        <v>0.2</v>
      </c>
      <c r="I49" s="848">
        <v>32</v>
      </c>
      <c r="J49" s="171"/>
      <c r="K49" s="20">
        <v>10.08</v>
      </c>
      <c r="L49" s="20">
        <v>20</v>
      </c>
      <c r="M49" s="20">
        <v>64.510000000000005</v>
      </c>
      <c r="N49" s="20">
        <v>15.54</v>
      </c>
      <c r="O49" s="21">
        <v>80.05</v>
      </c>
      <c r="P49" s="19"/>
      <c r="Q49" s="20"/>
      <c r="R49" s="20"/>
      <c r="S49" s="20"/>
      <c r="T49" s="20"/>
      <c r="U49" s="21"/>
      <c r="V49" s="297"/>
      <c r="W49" s="28"/>
    </row>
    <row r="50" spans="1:23" ht="18.75" customHeight="1" x14ac:dyDescent="0.25">
      <c r="A50" s="18" t="s">
        <v>80</v>
      </c>
      <c r="B50" s="19"/>
      <c r="C50" s="20"/>
      <c r="D50" s="20"/>
      <c r="E50" s="20"/>
      <c r="F50" s="20"/>
      <c r="G50" s="21"/>
      <c r="H50" s="19">
        <v>0.25</v>
      </c>
      <c r="I50" s="848">
        <v>40</v>
      </c>
      <c r="J50" s="171"/>
      <c r="K50" s="20">
        <v>10.08</v>
      </c>
      <c r="L50" s="20">
        <v>20</v>
      </c>
      <c r="M50" s="20">
        <v>80.64</v>
      </c>
      <c r="N50" s="20">
        <v>19.43</v>
      </c>
      <c r="O50" s="21">
        <v>100.07</v>
      </c>
      <c r="P50" s="19"/>
      <c r="Q50" s="20"/>
      <c r="R50" s="20"/>
      <c r="S50" s="20"/>
      <c r="T50" s="20"/>
      <c r="U50" s="21"/>
      <c r="V50" s="297"/>
      <c r="W50" s="28"/>
    </row>
    <row r="51" spans="1:23" ht="18.75" customHeight="1" x14ac:dyDescent="0.25">
      <c r="A51" s="18" t="s">
        <v>80</v>
      </c>
      <c r="B51" s="19"/>
      <c r="C51" s="20"/>
      <c r="D51" s="20"/>
      <c r="E51" s="20"/>
      <c r="F51" s="20"/>
      <c r="G51" s="21"/>
      <c r="H51" s="133">
        <v>0.2</v>
      </c>
      <c r="I51" s="848">
        <v>32</v>
      </c>
      <c r="J51" s="171"/>
      <c r="K51" s="20">
        <v>10.08</v>
      </c>
      <c r="L51" s="20">
        <v>20</v>
      </c>
      <c r="M51" s="20">
        <v>64.510000000000005</v>
      </c>
      <c r="N51" s="20">
        <v>15.54</v>
      </c>
      <c r="O51" s="21">
        <v>80.05</v>
      </c>
      <c r="P51" s="19"/>
      <c r="Q51" s="20"/>
      <c r="R51" s="20"/>
      <c r="S51" s="20"/>
      <c r="T51" s="20"/>
      <c r="U51" s="21"/>
      <c r="V51" s="297"/>
      <c r="W51" s="28"/>
    </row>
    <row r="52" spans="1:23" ht="18.75" customHeight="1" x14ac:dyDescent="0.25">
      <c r="A52" s="18" t="s">
        <v>80</v>
      </c>
      <c r="B52" s="19"/>
      <c r="C52" s="20"/>
      <c r="D52" s="20"/>
      <c r="E52" s="20"/>
      <c r="F52" s="20"/>
      <c r="G52" s="21"/>
      <c r="H52" s="19">
        <v>0.41</v>
      </c>
      <c r="I52" s="848">
        <v>64</v>
      </c>
      <c r="J52" s="171"/>
      <c r="K52" s="20">
        <v>10.08</v>
      </c>
      <c r="L52" s="20">
        <v>20</v>
      </c>
      <c r="M52" s="20">
        <v>129.02000000000001</v>
      </c>
      <c r="N52" s="20">
        <v>31.08</v>
      </c>
      <c r="O52" s="21">
        <v>160.1</v>
      </c>
      <c r="P52" s="19"/>
      <c r="Q52" s="20"/>
      <c r="R52" s="20"/>
      <c r="S52" s="20"/>
      <c r="T52" s="20"/>
      <c r="U52" s="21"/>
      <c r="V52" s="297"/>
      <c r="W52" s="28"/>
    </row>
    <row r="53" spans="1:23" ht="18.75" customHeight="1" x14ac:dyDescent="0.25">
      <c r="A53" s="18" t="s">
        <v>80</v>
      </c>
      <c r="B53" s="19"/>
      <c r="C53" s="20"/>
      <c r="D53" s="20"/>
      <c r="E53" s="20"/>
      <c r="F53" s="20"/>
      <c r="G53" s="21"/>
      <c r="H53" s="133">
        <v>0.4</v>
      </c>
      <c r="I53" s="848">
        <v>63</v>
      </c>
      <c r="J53" s="171"/>
      <c r="K53" s="20">
        <v>10.08</v>
      </c>
      <c r="L53" s="20">
        <v>20</v>
      </c>
      <c r="M53" s="20">
        <v>127.01</v>
      </c>
      <c r="N53" s="20">
        <v>30.6</v>
      </c>
      <c r="O53" s="21">
        <v>157.61000000000001</v>
      </c>
      <c r="P53" s="19"/>
      <c r="Q53" s="20"/>
      <c r="R53" s="20"/>
      <c r="S53" s="20"/>
      <c r="T53" s="20"/>
      <c r="U53" s="21"/>
      <c r="V53" s="297"/>
      <c r="W53" s="28"/>
    </row>
    <row r="54" spans="1:23" ht="18.75" customHeight="1" x14ac:dyDescent="0.25">
      <c r="A54" s="18" t="s">
        <v>80</v>
      </c>
      <c r="B54" s="19"/>
      <c r="C54" s="20"/>
      <c r="D54" s="20"/>
      <c r="E54" s="20"/>
      <c r="F54" s="20"/>
      <c r="G54" s="21"/>
      <c r="H54" s="19">
        <v>0.06</v>
      </c>
      <c r="I54" s="848">
        <v>9</v>
      </c>
      <c r="J54" s="171"/>
      <c r="K54" s="20">
        <v>10.08</v>
      </c>
      <c r="L54" s="20">
        <v>20</v>
      </c>
      <c r="M54" s="20">
        <v>18.14</v>
      </c>
      <c r="N54" s="20">
        <v>4.37</v>
      </c>
      <c r="O54" s="21">
        <v>22.51</v>
      </c>
      <c r="P54" s="19"/>
      <c r="Q54" s="20"/>
      <c r="R54" s="20"/>
      <c r="S54" s="20"/>
      <c r="T54" s="20"/>
      <c r="U54" s="21"/>
      <c r="V54" s="297"/>
      <c r="W54" s="28"/>
    </row>
    <row r="55" spans="1:23" ht="18.75" customHeight="1" x14ac:dyDescent="0.25">
      <c r="A55" s="18" t="s">
        <v>80</v>
      </c>
      <c r="B55" s="19"/>
      <c r="C55" s="20"/>
      <c r="D55" s="20"/>
      <c r="E55" s="20"/>
      <c r="F55" s="20"/>
      <c r="G55" s="21"/>
      <c r="H55" s="19">
        <v>0.72</v>
      </c>
      <c r="I55" s="848">
        <v>113</v>
      </c>
      <c r="J55" s="171"/>
      <c r="K55" s="20">
        <v>10.08</v>
      </c>
      <c r="L55" s="20">
        <v>20</v>
      </c>
      <c r="M55" s="20">
        <v>227.81</v>
      </c>
      <c r="N55" s="20">
        <v>54.88</v>
      </c>
      <c r="O55" s="21">
        <v>282.69</v>
      </c>
      <c r="P55" s="19"/>
      <c r="Q55" s="20"/>
      <c r="R55" s="20"/>
      <c r="S55" s="20"/>
      <c r="T55" s="20"/>
      <c r="U55" s="21"/>
      <c r="V55" s="297"/>
      <c r="W55" s="28"/>
    </row>
    <row r="56" spans="1:23" ht="18.75" customHeight="1" x14ac:dyDescent="0.25">
      <c r="A56" s="18" t="s">
        <v>80</v>
      </c>
      <c r="B56" s="19"/>
      <c r="C56" s="20"/>
      <c r="D56" s="20"/>
      <c r="E56" s="20"/>
      <c r="F56" s="20"/>
      <c r="G56" s="21"/>
      <c r="H56" s="19">
        <v>0.66</v>
      </c>
      <c r="I56" s="848">
        <v>104</v>
      </c>
      <c r="J56" s="171"/>
      <c r="K56" s="20">
        <v>10.08</v>
      </c>
      <c r="L56" s="20">
        <v>20</v>
      </c>
      <c r="M56" s="20">
        <v>209.66</v>
      </c>
      <c r="N56" s="20">
        <v>50.51</v>
      </c>
      <c r="O56" s="21">
        <v>260.17</v>
      </c>
      <c r="P56" s="19"/>
      <c r="Q56" s="20"/>
      <c r="R56" s="20"/>
      <c r="S56" s="20"/>
      <c r="T56" s="20"/>
      <c r="U56" s="21"/>
      <c r="V56" s="297"/>
      <c r="W56" s="28"/>
    </row>
    <row r="57" spans="1:23" ht="18.75" customHeight="1" x14ac:dyDescent="0.25">
      <c r="A57" s="18" t="s">
        <v>80</v>
      </c>
      <c r="B57" s="19"/>
      <c r="C57" s="20"/>
      <c r="D57" s="20"/>
      <c r="E57" s="20"/>
      <c r="F57" s="20"/>
      <c r="G57" s="21"/>
      <c r="H57" s="19">
        <v>0.28000000000000003</v>
      </c>
      <c r="I57" s="848">
        <v>44</v>
      </c>
      <c r="J57" s="171"/>
      <c r="K57" s="20">
        <v>10.08</v>
      </c>
      <c r="L57" s="20">
        <v>20</v>
      </c>
      <c r="M57" s="20">
        <v>88.7</v>
      </c>
      <c r="N57" s="20">
        <v>21.37</v>
      </c>
      <c r="O57" s="21">
        <v>110.07</v>
      </c>
      <c r="P57" s="19"/>
      <c r="Q57" s="20"/>
      <c r="R57" s="20"/>
      <c r="S57" s="20"/>
      <c r="T57" s="20"/>
      <c r="U57" s="21"/>
      <c r="V57" s="297"/>
      <c r="W57" s="28"/>
    </row>
    <row r="58" spans="1:23" ht="18.75" customHeight="1" x14ac:dyDescent="0.25">
      <c r="A58" s="18" t="s">
        <v>80</v>
      </c>
      <c r="B58" s="19"/>
      <c r="C58" s="20"/>
      <c r="D58" s="20"/>
      <c r="E58" s="20"/>
      <c r="F58" s="20"/>
      <c r="G58" s="21"/>
      <c r="H58" s="19">
        <v>0.11</v>
      </c>
      <c r="I58" s="848">
        <v>17</v>
      </c>
      <c r="J58" s="171"/>
      <c r="K58" s="20">
        <v>10.08</v>
      </c>
      <c r="L58" s="20">
        <v>20</v>
      </c>
      <c r="M58" s="20">
        <v>34.270000000000003</v>
      </c>
      <c r="N58" s="20">
        <v>8.26</v>
      </c>
      <c r="O58" s="21">
        <v>42.53</v>
      </c>
      <c r="P58" s="19"/>
      <c r="Q58" s="20"/>
      <c r="R58" s="20"/>
      <c r="S58" s="20"/>
      <c r="T58" s="20"/>
      <c r="U58" s="21"/>
      <c r="V58" s="297"/>
      <c r="W58" s="28"/>
    </row>
    <row r="59" spans="1:23" ht="18.75" customHeight="1" x14ac:dyDescent="0.25">
      <c r="A59" s="18" t="s">
        <v>80</v>
      </c>
      <c r="B59" s="19"/>
      <c r="C59" s="20"/>
      <c r="D59" s="20"/>
      <c r="E59" s="20"/>
      <c r="F59" s="20"/>
      <c r="G59" s="21"/>
      <c r="H59" s="19">
        <v>0.66</v>
      </c>
      <c r="I59" s="848">
        <v>104</v>
      </c>
      <c r="J59" s="171"/>
      <c r="K59" s="20">
        <v>10.08</v>
      </c>
      <c r="L59" s="20">
        <v>20</v>
      </c>
      <c r="M59" s="20">
        <v>209.66</v>
      </c>
      <c r="N59" s="20">
        <v>50.51</v>
      </c>
      <c r="O59" s="21">
        <v>260.17</v>
      </c>
      <c r="P59" s="19"/>
      <c r="Q59" s="20"/>
      <c r="R59" s="20"/>
      <c r="S59" s="20"/>
      <c r="T59" s="20"/>
      <c r="U59" s="21"/>
      <c r="V59" s="297"/>
      <c r="W59" s="28"/>
    </row>
    <row r="60" spans="1:23" ht="18.75" customHeight="1" x14ac:dyDescent="0.25">
      <c r="A60" s="18" t="s">
        <v>80</v>
      </c>
      <c r="B60" s="19"/>
      <c r="C60" s="20"/>
      <c r="D60" s="20"/>
      <c r="E60" s="20"/>
      <c r="F60" s="20"/>
      <c r="G60" s="21"/>
      <c r="H60" s="19">
        <v>0.51</v>
      </c>
      <c r="I60" s="848">
        <v>80</v>
      </c>
      <c r="J60" s="171"/>
      <c r="K60" s="20">
        <v>10.08</v>
      </c>
      <c r="L60" s="20">
        <v>20</v>
      </c>
      <c r="M60" s="20">
        <v>161.28</v>
      </c>
      <c r="N60" s="20">
        <v>38.85</v>
      </c>
      <c r="O60" s="21">
        <v>200.13</v>
      </c>
      <c r="P60" s="19"/>
      <c r="Q60" s="20"/>
      <c r="R60" s="20"/>
      <c r="S60" s="20"/>
      <c r="T60" s="20"/>
      <c r="U60" s="21"/>
      <c r="V60" s="297"/>
      <c r="W60" s="28"/>
    </row>
    <row r="61" spans="1:23" ht="18.75" customHeight="1" x14ac:dyDescent="0.25">
      <c r="A61" s="18" t="s">
        <v>80</v>
      </c>
      <c r="B61" s="19"/>
      <c r="C61" s="20"/>
      <c r="D61" s="20"/>
      <c r="E61" s="20"/>
      <c r="F61" s="20"/>
      <c r="G61" s="21"/>
      <c r="H61" s="133">
        <v>0.4</v>
      </c>
      <c r="I61" s="848">
        <v>63</v>
      </c>
      <c r="J61" s="171"/>
      <c r="K61" s="20">
        <v>10.08</v>
      </c>
      <c r="L61" s="20">
        <v>20</v>
      </c>
      <c r="M61" s="20">
        <v>127.01</v>
      </c>
      <c r="N61" s="20">
        <v>30.6</v>
      </c>
      <c r="O61" s="21">
        <v>157.61000000000001</v>
      </c>
      <c r="P61" s="19"/>
      <c r="Q61" s="20"/>
      <c r="R61" s="20"/>
      <c r="S61" s="20"/>
      <c r="T61" s="20"/>
      <c r="U61" s="21"/>
      <c r="V61" s="297"/>
      <c r="W61" s="28"/>
    </row>
    <row r="62" spans="1:23" ht="18.75" customHeight="1" x14ac:dyDescent="0.25">
      <c r="A62" s="18" t="s">
        <v>80</v>
      </c>
      <c r="B62" s="19"/>
      <c r="C62" s="20"/>
      <c r="D62" s="20"/>
      <c r="E62" s="20"/>
      <c r="F62" s="20"/>
      <c r="G62" s="21"/>
      <c r="H62" s="19">
        <v>0.41</v>
      </c>
      <c r="I62" s="848">
        <v>64</v>
      </c>
      <c r="J62" s="171"/>
      <c r="K62" s="20">
        <v>10.08</v>
      </c>
      <c r="L62" s="20">
        <v>20</v>
      </c>
      <c r="M62" s="20">
        <v>129.02000000000001</v>
      </c>
      <c r="N62" s="20">
        <v>31.08</v>
      </c>
      <c r="O62" s="21">
        <v>160.1</v>
      </c>
      <c r="P62" s="19"/>
      <c r="Q62" s="20"/>
      <c r="R62" s="20"/>
      <c r="S62" s="20"/>
      <c r="T62" s="20"/>
      <c r="U62" s="21"/>
      <c r="V62" s="297"/>
      <c r="W62" s="28"/>
    </row>
    <row r="63" spans="1:23" ht="18.75" customHeight="1" x14ac:dyDescent="0.25">
      <c r="A63" s="18" t="s">
        <v>80</v>
      </c>
      <c r="B63" s="19"/>
      <c r="C63" s="20"/>
      <c r="D63" s="20"/>
      <c r="E63" s="20"/>
      <c r="F63" s="20"/>
      <c r="G63" s="21"/>
      <c r="H63" s="19">
        <v>0.25</v>
      </c>
      <c r="I63" s="848">
        <v>40</v>
      </c>
      <c r="J63" s="171"/>
      <c r="K63" s="20">
        <v>10.08</v>
      </c>
      <c r="L63" s="20">
        <v>20</v>
      </c>
      <c r="M63" s="20">
        <v>80.64</v>
      </c>
      <c r="N63" s="20">
        <v>19.43</v>
      </c>
      <c r="O63" s="21">
        <v>100.07</v>
      </c>
      <c r="P63" s="19"/>
      <c r="Q63" s="20"/>
      <c r="R63" s="20"/>
      <c r="S63" s="20"/>
      <c r="T63" s="20"/>
      <c r="U63" s="21"/>
      <c r="V63" s="297"/>
      <c r="W63" s="28"/>
    </row>
    <row r="64" spans="1:23" ht="18.75" customHeight="1" x14ac:dyDescent="0.25">
      <c r="A64" s="18" t="s">
        <v>80</v>
      </c>
      <c r="B64" s="19"/>
      <c r="C64" s="20"/>
      <c r="D64" s="20"/>
      <c r="E64" s="20"/>
      <c r="F64" s="20"/>
      <c r="G64" s="21"/>
      <c r="H64" s="19">
        <v>0.11</v>
      </c>
      <c r="I64" s="848">
        <v>18</v>
      </c>
      <c r="J64" s="171"/>
      <c r="K64" s="20">
        <v>10.08</v>
      </c>
      <c r="L64" s="20">
        <v>20</v>
      </c>
      <c r="M64" s="20">
        <v>36.29</v>
      </c>
      <c r="N64" s="20">
        <v>8.74</v>
      </c>
      <c r="O64" s="21">
        <v>45.03</v>
      </c>
      <c r="P64" s="19"/>
      <c r="Q64" s="20"/>
      <c r="R64" s="20"/>
      <c r="S64" s="20"/>
      <c r="T64" s="20"/>
      <c r="U64" s="21"/>
      <c r="V64" s="297"/>
      <c r="W64" s="28"/>
    </row>
    <row r="65" spans="1:23" ht="18.75" customHeight="1" x14ac:dyDescent="0.25">
      <c r="A65" s="18" t="s">
        <v>80</v>
      </c>
      <c r="B65" s="19"/>
      <c r="C65" s="20"/>
      <c r="D65" s="20"/>
      <c r="E65" s="20"/>
      <c r="F65" s="20"/>
      <c r="G65" s="21"/>
      <c r="H65" s="133">
        <v>0.3</v>
      </c>
      <c r="I65" s="848">
        <v>48</v>
      </c>
      <c r="J65" s="171"/>
      <c r="K65" s="20">
        <v>10.08</v>
      </c>
      <c r="L65" s="20">
        <v>20</v>
      </c>
      <c r="M65" s="20">
        <v>96.77</v>
      </c>
      <c r="N65" s="20">
        <v>23.31</v>
      </c>
      <c r="O65" s="21">
        <v>120.08</v>
      </c>
      <c r="P65" s="19"/>
      <c r="Q65" s="20"/>
      <c r="R65" s="20"/>
      <c r="S65" s="20"/>
      <c r="T65" s="20"/>
      <c r="U65" s="21"/>
      <c r="V65" s="297"/>
      <c r="W65" s="28"/>
    </row>
    <row r="66" spans="1:23" ht="18.75" customHeight="1" x14ac:dyDescent="0.25">
      <c r="A66" s="18" t="s">
        <v>80</v>
      </c>
      <c r="B66" s="19"/>
      <c r="C66" s="20"/>
      <c r="D66" s="20"/>
      <c r="E66" s="20"/>
      <c r="F66" s="20"/>
      <c r="G66" s="21"/>
      <c r="H66" s="19">
        <v>0.61</v>
      </c>
      <c r="I66" s="848">
        <v>96</v>
      </c>
      <c r="J66" s="171"/>
      <c r="K66" s="20">
        <v>10.08</v>
      </c>
      <c r="L66" s="20">
        <v>20</v>
      </c>
      <c r="M66" s="20">
        <v>193.54</v>
      </c>
      <c r="N66" s="20">
        <v>46.62</v>
      </c>
      <c r="O66" s="21">
        <v>240.16</v>
      </c>
      <c r="P66" s="19"/>
      <c r="Q66" s="20"/>
      <c r="R66" s="20"/>
      <c r="S66" s="20"/>
      <c r="T66" s="20"/>
      <c r="U66" s="21"/>
      <c r="V66" s="297"/>
      <c r="W66" s="28"/>
    </row>
    <row r="67" spans="1:23" ht="18.75" customHeight="1" x14ac:dyDescent="0.25">
      <c r="A67" s="18" t="s">
        <v>80</v>
      </c>
      <c r="B67" s="19"/>
      <c r="C67" s="20"/>
      <c r="D67" s="20"/>
      <c r="E67" s="20"/>
      <c r="F67" s="20"/>
      <c r="G67" s="21"/>
      <c r="H67" s="19">
        <v>1.01</v>
      </c>
      <c r="I67" s="171"/>
      <c r="J67" s="171">
        <v>1676</v>
      </c>
      <c r="K67" s="20"/>
      <c r="L67" s="20">
        <v>20</v>
      </c>
      <c r="M67" s="20">
        <v>339.44</v>
      </c>
      <c r="N67" s="20">
        <v>81.77</v>
      </c>
      <c r="O67" s="21">
        <v>421.21</v>
      </c>
      <c r="P67" s="19"/>
      <c r="Q67" s="20"/>
      <c r="R67" s="20"/>
      <c r="S67" s="20"/>
      <c r="T67" s="20"/>
      <c r="U67" s="21"/>
      <c r="V67" s="297"/>
      <c r="W67" s="28"/>
    </row>
    <row r="68" spans="1:23" ht="18.75" customHeight="1" x14ac:dyDescent="0.25">
      <c r="A68" s="18" t="s">
        <v>24</v>
      </c>
      <c r="B68" s="19"/>
      <c r="C68" s="20"/>
      <c r="D68" s="20"/>
      <c r="E68" s="20"/>
      <c r="F68" s="20"/>
      <c r="G68" s="21"/>
      <c r="H68" s="19">
        <v>1.06</v>
      </c>
      <c r="I68" s="171"/>
      <c r="J68" s="171">
        <v>906</v>
      </c>
      <c r="K68" s="20"/>
      <c r="L68" s="20">
        <v>20</v>
      </c>
      <c r="M68" s="20">
        <v>192.67</v>
      </c>
      <c r="N68" s="20">
        <v>46.41</v>
      </c>
      <c r="O68" s="21">
        <v>239.08</v>
      </c>
      <c r="P68" s="19"/>
      <c r="Q68" s="20"/>
      <c r="R68" s="20"/>
      <c r="S68" s="20"/>
      <c r="T68" s="20"/>
      <c r="U68" s="21"/>
      <c r="V68" s="297"/>
      <c r="W68" s="28"/>
    </row>
    <row r="69" spans="1:23" ht="18.75" customHeight="1" x14ac:dyDescent="0.25">
      <c r="A69" s="18" t="s">
        <v>24</v>
      </c>
      <c r="B69" s="19"/>
      <c r="C69" s="20"/>
      <c r="D69" s="20"/>
      <c r="E69" s="20"/>
      <c r="F69" s="20"/>
      <c r="G69" s="21"/>
      <c r="H69" s="19">
        <v>1.01</v>
      </c>
      <c r="I69" s="171"/>
      <c r="J69" s="171">
        <v>1030</v>
      </c>
      <c r="K69" s="20"/>
      <c r="L69" s="20">
        <v>20</v>
      </c>
      <c r="M69" s="20">
        <v>208.61</v>
      </c>
      <c r="N69" s="20">
        <v>50.25</v>
      </c>
      <c r="O69" s="21">
        <v>258.86</v>
      </c>
      <c r="P69" s="19"/>
      <c r="Q69" s="20"/>
      <c r="R69" s="20"/>
      <c r="S69" s="20"/>
      <c r="T69" s="20"/>
      <c r="U69" s="21"/>
      <c r="V69" s="297"/>
      <c r="W69" s="28"/>
    </row>
    <row r="70" spans="1:23" ht="18.75" customHeight="1" x14ac:dyDescent="0.25">
      <c r="A70" s="18" t="s">
        <v>24</v>
      </c>
      <c r="B70" s="19"/>
      <c r="C70" s="20"/>
      <c r="D70" s="20"/>
      <c r="E70" s="20"/>
      <c r="F70" s="20"/>
      <c r="G70" s="21"/>
      <c r="H70" s="19">
        <v>1.1399999999999999</v>
      </c>
      <c r="I70" s="171"/>
      <c r="J70" s="171">
        <v>1030</v>
      </c>
      <c r="K70" s="20"/>
      <c r="L70" s="20">
        <v>20</v>
      </c>
      <c r="M70" s="20">
        <v>234.68</v>
      </c>
      <c r="N70" s="20">
        <v>56.53</v>
      </c>
      <c r="O70" s="21">
        <v>291.20999999999998</v>
      </c>
      <c r="P70" s="19"/>
      <c r="Q70" s="20"/>
      <c r="R70" s="20"/>
      <c r="S70" s="20"/>
      <c r="T70" s="20"/>
      <c r="U70" s="21"/>
      <c r="V70" s="297"/>
      <c r="W70" s="28"/>
    </row>
    <row r="71" spans="1:23" ht="18.75" customHeight="1" x14ac:dyDescent="0.25">
      <c r="A71" s="18" t="s">
        <v>24</v>
      </c>
      <c r="B71" s="19"/>
      <c r="C71" s="20"/>
      <c r="D71" s="20"/>
      <c r="E71" s="20"/>
      <c r="F71" s="20"/>
      <c r="G71" s="21"/>
      <c r="H71" s="19">
        <v>1.06</v>
      </c>
      <c r="I71" s="171"/>
      <c r="J71" s="171">
        <v>1030</v>
      </c>
      <c r="K71" s="20"/>
      <c r="L71" s="20">
        <v>20</v>
      </c>
      <c r="M71" s="20">
        <v>219.04</v>
      </c>
      <c r="N71" s="20">
        <v>52.77</v>
      </c>
      <c r="O71" s="21">
        <v>271.81</v>
      </c>
      <c r="P71" s="19"/>
      <c r="Q71" s="20"/>
      <c r="R71" s="20"/>
      <c r="S71" s="20"/>
      <c r="T71" s="20"/>
      <c r="U71" s="21"/>
      <c r="V71" s="297"/>
      <c r="W71" s="28"/>
    </row>
    <row r="72" spans="1:23" ht="18.75" customHeight="1" x14ac:dyDescent="0.25">
      <c r="A72" s="18" t="s">
        <v>24</v>
      </c>
      <c r="B72" s="19"/>
      <c r="C72" s="20"/>
      <c r="D72" s="20"/>
      <c r="E72" s="20"/>
      <c r="F72" s="20"/>
      <c r="G72" s="21"/>
      <c r="H72" s="19">
        <v>1.1399999999999999</v>
      </c>
      <c r="I72" s="171"/>
      <c r="J72" s="171">
        <v>1030</v>
      </c>
      <c r="K72" s="20"/>
      <c r="L72" s="20">
        <v>20</v>
      </c>
      <c r="M72" s="20">
        <v>234.68</v>
      </c>
      <c r="N72" s="20">
        <v>56.53</v>
      </c>
      <c r="O72" s="21">
        <v>291.20999999999998</v>
      </c>
      <c r="P72" s="19"/>
      <c r="Q72" s="20"/>
      <c r="R72" s="20"/>
      <c r="S72" s="20"/>
      <c r="T72" s="20"/>
      <c r="U72" s="21"/>
      <c r="V72" s="297"/>
      <c r="W72" s="28"/>
    </row>
    <row r="73" spans="1:23" ht="18.75" customHeight="1" x14ac:dyDescent="0.25">
      <c r="A73" s="18" t="s">
        <v>24</v>
      </c>
      <c r="B73" s="19"/>
      <c r="C73" s="20"/>
      <c r="D73" s="20"/>
      <c r="E73" s="20"/>
      <c r="F73" s="20"/>
      <c r="G73" s="21"/>
      <c r="H73" s="19">
        <v>1.03</v>
      </c>
      <c r="I73" s="171"/>
      <c r="J73" s="171">
        <v>1030</v>
      </c>
      <c r="K73" s="20"/>
      <c r="L73" s="20">
        <v>20</v>
      </c>
      <c r="M73" s="20">
        <v>211.22</v>
      </c>
      <c r="N73" s="20">
        <v>50.88</v>
      </c>
      <c r="O73" s="21">
        <v>262.10000000000002</v>
      </c>
      <c r="P73" s="19"/>
      <c r="Q73" s="20"/>
      <c r="R73" s="20"/>
      <c r="S73" s="20"/>
      <c r="T73" s="20"/>
      <c r="U73" s="21"/>
      <c r="V73" s="297"/>
      <c r="W73" s="28"/>
    </row>
    <row r="74" spans="1:23" ht="18.75" customHeight="1" x14ac:dyDescent="0.25">
      <c r="A74" s="18" t="s">
        <v>24</v>
      </c>
      <c r="B74" s="19"/>
      <c r="C74" s="20"/>
      <c r="D74" s="20"/>
      <c r="E74" s="20"/>
      <c r="F74" s="20"/>
      <c r="G74" s="21"/>
      <c r="H74" s="19">
        <v>1.1399999999999999</v>
      </c>
      <c r="I74" s="171"/>
      <c r="J74" s="171">
        <v>1030</v>
      </c>
      <c r="K74" s="20"/>
      <c r="L74" s="20">
        <v>20</v>
      </c>
      <c r="M74" s="20">
        <v>234.68</v>
      </c>
      <c r="N74" s="20">
        <v>56.53</v>
      </c>
      <c r="O74" s="21">
        <v>291.20999999999998</v>
      </c>
      <c r="P74" s="19"/>
      <c r="Q74" s="20"/>
      <c r="R74" s="20"/>
      <c r="S74" s="20"/>
      <c r="T74" s="20"/>
      <c r="U74" s="21"/>
      <c r="V74" s="297"/>
      <c r="W74" s="28"/>
    </row>
    <row r="75" spans="1:23" ht="18.75" customHeight="1" x14ac:dyDescent="0.25">
      <c r="A75" s="18" t="s">
        <v>24</v>
      </c>
      <c r="B75" s="19"/>
      <c r="C75" s="20"/>
      <c r="D75" s="20"/>
      <c r="E75" s="20"/>
      <c r="F75" s="20"/>
      <c r="G75" s="21"/>
      <c r="H75" s="19">
        <v>1.01</v>
      </c>
      <c r="I75" s="171"/>
      <c r="J75" s="171">
        <v>1030</v>
      </c>
      <c r="K75" s="20"/>
      <c r="L75" s="20">
        <v>20</v>
      </c>
      <c r="M75" s="20">
        <v>208.61</v>
      </c>
      <c r="N75" s="20">
        <v>50.25</v>
      </c>
      <c r="O75" s="21">
        <v>258.86</v>
      </c>
      <c r="P75" s="19"/>
      <c r="Q75" s="20"/>
      <c r="R75" s="20"/>
      <c r="S75" s="20"/>
      <c r="T75" s="20"/>
      <c r="U75" s="21"/>
      <c r="V75" s="297"/>
      <c r="W75" s="28"/>
    </row>
    <row r="76" spans="1:23" ht="18.75" customHeight="1" x14ac:dyDescent="0.25">
      <c r="A76" s="18" t="s">
        <v>24</v>
      </c>
      <c r="B76" s="19"/>
      <c r="C76" s="20"/>
      <c r="D76" s="20"/>
      <c r="E76" s="20"/>
      <c r="F76" s="20"/>
      <c r="G76" s="21"/>
      <c r="H76" s="19">
        <v>1.01</v>
      </c>
      <c r="I76" s="171"/>
      <c r="J76" s="171">
        <v>1030</v>
      </c>
      <c r="K76" s="20"/>
      <c r="L76" s="20">
        <v>20</v>
      </c>
      <c r="M76" s="20">
        <v>208.61</v>
      </c>
      <c r="N76" s="20">
        <v>50.25</v>
      </c>
      <c r="O76" s="21">
        <v>258.86</v>
      </c>
      <c r="P76" s="19"/>
      <c r="Q76" s="20"/>
      <c r="R76" s="20"/>
      <c r="S76" s="20"/>
      <c r="T76" s="20"/>
      <c r="U76" s="21"/>
      <c r="V76" s="297"/>
      <c r="W76" s="28"/>
    </row>
    <row r="77" spans="1:23" ht="18.75" customHeight="1" x14ac:dyDescent="0.25">
      <c r="A77" s="18" t="s">
        <v>24</v>
      </c>
      <c r="B77" s="19"/>
      <c r="C77" s="20"/>
      <c r="D77" s="20"/>
      <c r="E77" s="20"/>
      <c r="F77" s="20"/>
      <c r="G77" s="21"/>
      <c r="H77" s="19">
        <v>1.05</v>
      </c>
      <c r="I77" s="171"/>
      <c r="J77" s="171">
        <v>1185</v>
      </c>
      <c r="K77" s="20"/>
      <c r="L77" s="20">
        <v>20</v>
      </c>
      <c r="M77" s="20">
        <v>249</v>
      </c>
      <c r="N77" s="20">
        <v>59.98</v>
      </c>
      <c r="O77" s="21">
        <v>308.98</v>
      </c>
      <c r="P77" s="19"/>
      <c r="Q77" s="20"/>
      <c r="R77" s="20"/>
      <c r="S77" s="20"/>
      <c r="T77" s="20"/>
      <c r="U77" s="21"/>
      <c r="V77" s="297"/>
      <c r="W77" s="28"/>
    </row>
    <row r="78" spans="1:23" ht="15" customHeight="1" x14ac:dyDescent="0.25">
      <c r="A78" s="18"/>
      <c r="B78" s="19"/>
      <c r="C78" s="20"/>
      <c r="D78" s="20"/>
      <c r="E78" s="20"/>
      <c r="F78" s="20"/>
      <c r="G78" s="21"/>
      <c r="H78" s="19"/>
      <c r="I78" s="171"/>
      <c r="J78" s="171"/>
      <c r="K78" s="20"/>
      <c r="L78" s="20"/>
      <c r="M78" s="20"/>
      <c r="N78" s="20"/>
      <c r="O78" s="21"/>
      <c r="P78" s="19"/>
      <c r="Q78" s="20"/>
      <c r="R78" s="20"/>
      <c r="S78" s="20"/>
      <c r="T78" s="20"/>
      <c r="U78" s="21"/>
      <c r="V78" s="297"/>
      <c r="W78" s="28"/>
    </row>
    <row r="79" spans="1:23" ht="56.25" customHeight="1" x14ac:dyDescent="0.25">
      <c r="A79" s="18" t="s">
        <v>13</v>
      </c>
      <c r="B79" s="19"/>
      <c r="C79" s="20"/>
      <c r="D79" s="20"/>
      <c r="E79" s="20"/>
      <c r="F79" s="20"/>
      <c r="G79" s="21"/>
      <c r="H79" s="19"/>
      <c r="I79" s="171"/>
      <c r="J79" s="171"/>
      <c r="K79" s="20"/>
      <c r="L79" s="20"/>
      <c r="M79" s="20">
        <f>SUM(M80:M81)</f>
        <v>304.72000000000003</v>
      </c>
      <c r="N79" s="20">
        <f t="shared" ref="N79:O79" si="0">SUM(N80:N81)</f>
        <v>73.400000000000006</v>
      </c>
      <c r="O79" s="20">
        <f t="shared" si="0"/>
        <v>378.12</v>
      </c>
      <c r="P79" s="19"/>
      <c r="Q79" s="20"/>
      <c r="R79" s="20"/>
      <c r="S79" s="20"/>
      <c r="T79" s="20"/>
      <c r="U79" s="21"/>
      <c r="V79" s="297"/>
      <c r="W79" s="28"/>
    </row>
    <row r="80" spans="1:23" x14ac:dyDescent="0.25">
      <c r="A80" s="18" t="s">
        <v>25</v>
      </c>
      <c r="B80" s="19"/>
      <c r="C80" s="20"/>
      <c r="D80" s="20"/>
      <c r="E80" s="20"/>
      <c r="F80" s="20"/>
      <c r="G80" s="21"/>
      <c r="H80" s="19">
        <v>1</v>
      </c>
      <c r="I80" s="171"/>
      <c r="J80" s="171">
        <v>757</v>
      </c>
      <c r="K80" s="20"/>
      <c r="L80" s="20">
        <v>20</v>
      </c>
      <c r="M80" s="20">
        <v>151.4</v>
      </c>
      <c r="N80" s="20">
        <v>36.47</v>
      </c>
      <c r="O80" s="21">
        <v>187.87</v>
      </c>
      <c r="P80" s="19"/>
      <c r="Q80" s="20"/>
      <c r="R80" s="20"/>
      <c r="S80" s="20"/>
      <c r="T80" s="20"/>
      <c r="U80" s="21"/>
      <c r="V80" s="297"/>
      <c r="W80" s="28"/>
    </row>
    <row r="81" spans="1:23" x14ac:dyDescent="0.25">
      <c r="A81" s="18" t="s">
        <v>25</v>
      </c>
      <c r="B81" s="19"/>
      <c r="C81" s="20"/>
      <c r="D81" s="20"/>
      <c r="E81" s="20"/>
      <c r="F81" s="20"/>
      <c r="G81" s="21"/>
      <c r="H81" s="19">
        <v>1.01</v>
      </c>
      <c r="I81" s="171"/>
      <c r="J81" s="171">
        <v>757</v>
      </c>
      <c r="K81" s="20"/>
      <c r="L81" s="20">
        <v>20</v>
      </c>
      <c r="M81" s="20">
        <v>153.32</v>
      </c>
      <c r="N81" s="20">
        <v>36.93</v>
      </c>
      <c r="O81" s="21">
        <v>190.25</v>
      </c>
      <c r="P81" s="19"/>
      <c r="Q81" s="20"/>
      <c r="R81" s="20"/>
      <c r="S81" s="20"/>
      <c r="T81" s="20"/>
      <c r="U81" s="21"/>
      <c r="V81" s="297"/>
      <c r="W81" s="28"/>
    </row>
    <row r="82" spans="1:23" ht="36" customHeight="1" x14ac:dyDescent="0.25">
      <c r="A82" s="18" t="s">
        <v>11</v>
      </c>
      <c r="B82" s="19"/>
      <c r="C82" s="20"/>
      <c r="D82" s="20"/>
      <c r="E82" s="20"/>
      <c r="F82" s="20"/>
      <c r="G82" s="21"/>
      <c r="H82" s="19"/>
      <c r="I82" s="171"/>
      <c r="J82" s="171"/>
      <c r="K82" s="20"/>
      <c r="L82" s="20"/>
      <c r="M82" s="20">
        <f>SUM(M83:M100)</f>
        <v>3281.6000000000004</v>
      </c>
      <c r="N82" s="20">
        <f t="shared" ref="N82:O82" si="1">SUM(N83:N100)</f>
        <v>790.55000000000018</v>
      </c>
      <c r="O82" s="20">
        <f t="shared" si="1"/>
        <v>4072.15</v>
      </c>
      <c r="P82" s="19"/>
      <c r="Q82" s="20"/>
      <c r="R82" s="20"/>
      <c r="S82" s="20"/>
      <c r="T82" s="20"/>
      <c r="U82" s="21"/>
      <c r="V82" s="297"/>
      <c r="W82" s="28"/>
    </row>
    <row r="83" spans="1:23" x14ac:dyDescent="0.25">
      <c r="A83" s="18" t="s">
        <v>150</v>
      </c>
      <c r="B83" s="19"/>
      <c r="C83" s="20"/>
      <c r="D83" s="20"/>
      <c r="E83" s="20"/>
      <c r="F83" s="20"/>
      <c r="G83" s="21"/>
      <c r="H83" s="19">
        <v>1</v>
      </c>
      <c r="I83" s="171"/>
      <c r="J83" s="171">
        <v>1339</v>
      </c>
      <c r="K83" s="20"/>
      <c r="L83" s="20">
        <v>20</v>
      </c>
      <c r="M83" s="20">
        <v>267.8</v>
      </c>
      <c r="N83" s="20">
        <v>64.510000000000005</v>
      </c>
      <c r="O83" s="21">
        <v>332.31</v>
      </c>
      <c r="P83" s="19"/>
      <c r="Q83" s="20"/>
      <c r="R83" s="20"/>
      <c r="S83" s="20"/>
      <c r="T83" s="20"/>
      <c r="U83" s="21"/>
      <c r="V83" s="297"/>
      <c r="W83" s="28"/>
    </row>
    <row r="84" spans="1:23" x14ac:dyDescent="0.25">
      <c r="A84" s="18" t="s">
        <v>151</v>
      </c>
      <c r="B84" s="19"/>
      <c r="C84" s="20"/>
      <c r="D84" s="20"/>
      <c r="E84" s="20"/>
      <c r="F84" s="20"/>
      <c r="G84" s="21"/>
      <c r="H84" s="19">
        <v>1</v>
      </c>
      <c r="I84" s="171"/>
      <c r="J84" s="171">
        <v>2515</v>
      </c>
      <c r="K84" s="20"/>
      <c r="L84" s="20">
        <v>20</v>
      </c>
      <c r="M84" s="20">
        <v>503</v>
      </c>
      <c r="N84" s="20">
        <v>121.17</v>
      </c>
      <c r="O84" s="21">
        <v>624.16999999999996</v>
      </c>
      <c r="P84" s="19"/>
      <c r="Q84" s="20"/>
      <c r="R84" s="20"/>
      <c r="S84" s="20"/>
      <c r="T84" s="20"/>
      <c r="U84" s="21"/>
      <c r="V84" s="297"/>
      <c r="W84" s="28"/>
    </row>
    <row r="85" spans="1:23" x14ac:dyDescent="0.25">
      <c r="A85" s="18" t="s">
        <v>19</v>
      </c>
      <c r="B85" s="19"/>
      <c r="C85" s="20"/>
      <c r="D85" s="20"/>
      <c r="E85" s="20"/>
      <c r="F85" s="20"/>
      <c r="G85" s="21"/>
      <c r="H85" s="19">
        <v>1</v>
      </c>
      <c r="I85" s="171"/>
      <c r="J85" s="171">
        <v>705</v>
      </c>
      <c r="K85" s="20"/>
      <c r="L85" s="20">
        <v>20</v>
      </c>
      <c r="M85" s="20">
        <v>141</v>
      </c>
      <c r="N85" s="20">
        <v>33.97</v>
      </c>
      <c r="O85" s="21">
        <v>174.97</v>
      </c>
      <c r="P85" s="19"/>
      <c r="Q85" s="20"/>
      <c r="R85" s="20"/>
      <c r="S85" s="20"/>
      <c r="T85" s="20"/>
      <c r="U85" s="21"/>
      <c r="V85" s="297"/>
      <c r="W85" s="28"/>
    </row>
    <row r="86" spans="1:23" x14ac:dyDescent="0.25">
      <c r="A86" s="18" t="s">
        <v>19</v>
      </c>
      <c r="B86" s="19"/>
      <c r="C86" s="20"/>
      <c r="D86" s="20"/>
      <c r="E86" s="20"/>
      <c r="F86" s="20"/>
      <c r="G86" s="21"/>
      <c r="H86" s="19">
        <v>1</v>
      </c>
      <c r="I86" s="171"/>
      <c r="J86" s="171">
        <v>705</v>
      </c>
      <c r="K86" s="20"/>
      <c r="L86" s="20">
        <v>20</v>
      </c>
      <c r="M86" s="20">
        <v>141</v>
      </c>
      <c r="N86" s="20">
        <v>33.97</v>
      </c>
      <c r="O86" s="21">
        <v>174.97</v>
      </c>
      <c r="P86" s="19"/>
      <c r="Q86" s="20"/>
      <c r="R86" s="20"/>
      <c r="S86" s="20"/>
      <c r="T86" s="20"/>
      <c r="U86" s="21"/>
      <c r="V86" s="297"/>
      <c r="W86" s="28"/>
    </row>
    <row r="87" spans="1:23" x14ac:dyDescent="0.25">
      <c r="A87" s="18" t="s">
        <v>19</v>
      </c>
      <c r="B87" s="19"/>
      <c r="C87" s="20"/>
      <c r="D87" s="20"/>
      <c r="E87" s="20"/>
      <c r="F87" s="20"/>
      <c r="G87" s="21"/>
      <c r="H87" s="19">
        <v>1</v>
      </c>
      <c r="I87" s="171"/>
      <c r="J87" s="171">
        <v>705</v>
      </c>
      <c r="K87" s="20"/>
      <c r="L87" s="20">
        <v>20</v>
      </c>
      <c r="M87" s="20">
        <v>141</v>
      </c>
      <c r="N87" s="20">
        <v>33.97</v>
      </c>
      <c r="O87" s="21">
        <v>174.97</v>
      </c>
      <c r="P87" s="19"/>
      <c r="Q87" s="20"/>
      <c r="R87" s="20"/>
      <c r="S87" s="20"/>
      <c r="T87" s="20"/>
      <c r="U87" s="21"/>
      <c r="V87" s="297"/>
      <c r="W87" s="28"/>
    </row>
    <row r="88" spans="1:23" x14ac:dyDescent="0.25">
      <c r="A88" s="18" t="s">
        <v>19</v>
      </c>
      <c r="B88" s="19"/>
      <c r="C88" s="20"/>
      <c r="D88" s="20"/>
      <c r="E88" s="20"/>
      <c r="F88" s="20"/>
      <c r="G88" s="21"/>
      <c r="H88" s="19">
        <v>1</v>
      </c>
      <c r="I88" s="171"/>
      <c r="J88" s="171">
        <v>705</v>
      </c>
      <c r="K88" s="20"/>
      <c r="L88" s="20">
        <v>20</v>
      </c>
      <c r="M88" s="20">
        <v>141</v>
      </c>
      <c r="N88" s="20">
        <v>33.97</v>
      </c>
      <c r="O88" s="21">
        <v>174.97</v>
      </c>
      <c r="P88" s="19"/>
      <c r="Q88" s="20"/>
      <c r="R88" s="20"/>
      <c r="S88" s="20"/>
      <c r="T88" s="20"/>
      <c r="U88" s="21"/>
      <c r="V88" s="297"/>
      <c r="W88" s="28"/>
    </row>
    <row r="89" spans="1:23" x14ac:dyDescent="0.25">
      <c r="A89" s="18" t="s">
        <v>19</v>
      </c>
      <c r="B89" s="19"/>
      <c r="C89" s="20"/>
      <c r="D89" s="20"/>
      <c r="E89" s="20"/>
      <c r="F89" s="20"/>
      <c r="G89" s="21"/>
      <c r="H89" s="19">
        <v>1</v>
      </c>
      <c r="I89" s="171"/>
      <c r="J89" s="171">
        <v>705</v>
      </c>
      <c r="K89" s="20"/>
      <c r="L89" s="20">
        <v>20</v>
      </c>
      <c r="M89" s="20">
        <v>141</v>
      </c>
      <c r="N89" s="20">
        <v>33.97</v>
      </c>
      <c r="O89" s="21">
        <v>174.97</v>
      </c>
      <c r="P89" s="19"/>
      <c r="Q89" s="20"/>
      <c r="R89" s="20"/>
      <c r="S89" s="20"/>
      <c r="T89" s="20"/>
      <c r="U89" s="21"/>
      <c r="V89" s="297"/>
      <c r="W89" s="28"/>
    </row>
    <row r="90" spans="1:23" x14ac:dyDescent="0.25">
      <c r="A90" s="18" t="s">
        <v>19</v>
      </c>
      <c r="B90" s="19"/>
      <c r="C90" s="20"/>
      <c r="D90" s="20"/>
      <c r="E90" s="20"/>
      <c r="F90" s="20"/>
      <c r="G90" s="21"/>
      <c r="H90" s="19">
        <v>1.01</v>
      </c>
      <c r="I90" s="171"/>
      <c r="J90" s="171">
        <v>705</v>
      </c>
      <c r="K90" s="20"/>
      <c r="L90" s="20">
        <v>20</v>
      </c>
      <c r="M90" s="20">
        <v>142.78</v>
      </c>
      <c r="N90" s="20">
        <v>34.4</v>
      </c>
      <c r="O90" s="21">
        <v>177.18</v>
      </c>
      <c r="P90" s="19"/>
      <c r="Q90" s="20"/>
      <c r="R90" s="20"/>
      <c r="S90" s="20"/>
      <c r="T90" s="20"/>
      <c r="U90" s="21"/>
      <c r="V90" s="297"/>
      <c r="W90" s="28"/>
    </row>
    <row r="91" spans="1:23" x14ac:dyDescent="0.25">
      <c r="A91" s="18" t="s">
        <v>19</v>
      </c>
      <c r="B91" s="19"/>
      <c r="C91" s="20"/>
      <c r="D91" s="20"/>
      <c r="E91" s="20"/>
      <c r="F91" s="20"/>
      <c r="G91" s="21"/>
      <c r="H91" s="19">
        <v>0.46</v>
      </c>
      <c r="I91" s="171"/>
      <c r="J91" s="171">
        <v>705</v>
      </c>
      <c r="K91" s="20"/>
      <c r="L91" s="20">
        <v>20</v>
      </c>
      <c r="M91" s="20">
        <v>64.25</v>
      </c>
      <c r="N91" s="20">
        <v>15.48</v>
      </c>
      <c r="O91" s="21">
        <v>79.73</v>
      </c>
      <c r="P91" s="19"/>
      <c r="Q91" s="20"/>
      <c r="R91" s="20"/>
      <c r="S91" s="20"/>
      <c r="T91" s="20"/>
      <c r="U91" s="21"/>
      <c r="V91" s="297"/>
      <c r="W91" s="28"/>
    </row>
    <row r="92" spans="1:23" x14ac:dyDescent="0.25">
      <c r="A92" s="18" t="s">
        <v>19</v>
      </c>
      <c r="B92" s="19"/>
      <c r="C92" s="20"/>
      <c r="D92" s="20"/>
      <c r="E92" s="20"/>
      <c r="F92" s="20"/>
      <c r="G92" s="21"/>
      <c r="H92" s="19">
        <v>0.96</v>
      </c>
      <c r="I92" s="171"/>
      <c r="J92" s="171">
        <v>705</v>
      </c>
      <c r="K92" s="20"/>
      <c r="L92" s="20">
        <v>20</v>
      </c>
      <c r="M92" s="20">
        <v>135.65</v>
      </c>
      <c r="N92" s="20">
        <v>32.67</v>
      </c>
      <c r="O92" s="21">
        <v>168.32</v>
      </c>
      <c r="P92" s="19"/>
      <c r="Q92" s="20"/>
      <c r="R92" s="20"/>
      <c r="S92" s="20"/>
      <c r="T92" s="20"/>
      <c r="U92" s="21"/>
      <c r="V92" s="297"/>
      <c r="W92" s="28"/>
    </row>
    <row r="93" spans="1:23" x14ac:dyDescent="0.25">
      <c r="A93" s="18" t="s">
        <v>152</v>
      </c>
      <c r="B93" s="19"/>
      <c r="C93" s="20"/>
      <c r="D93" s="20"/>
      <c r="E93" s="20"/>
      <c r="F93" s="20"/>
      <c r="G93" s="21"/>
      <c r="H93" s="19">
        <v>1</v>
      </c>
      <c r="I93" s="171"/>
      <c r="J93" s="171">
        <v>760</v>
      </c>
      <c r="K93" s="20"/>
      <c r="L93" s="20">
        <v>20</v>
      </c>
      <c r="M93" s="20">
        <v>152</v>
      </c>
      <c r="N93" s="20">
        <v>36.619999999999997</v>
      </c>
      <c r="O93" s="21">
        <v>188.62</v>
      </c>
      <c r="P93" s="19"/>
      <c r="Q93" s="20"/>
      <c r="R93" s="20"/>
      <c r="S93" s="20"/>
      <c r="T93" s="20"/>
      <c r="U93" s="21"/>
      <c r="V93" s="297"/>
      <c r="W93" s="28"/>
    </row>
    <row r="94" spans="1:23" x14ac:dyDescent="0.25">
      <c r="A94" s="18" t="s">
        <v>153</v>
      </c>
      <c r="B94" s="19"/>
      <c r="C94" s="20"/>
      <c r="D94" s="20"/>
      <c r="E94" s="20"/>
      <c r="F94" s="20"/>
      <c r="G94" s="21"/>
      <c r="H94" s="19">
        <v>1.22</v>
      </c>
      <c r="I94" s="171"/>
      <c r="J94" s="171">
        <v>971</v>
      </c>
      <c r="K94" s="20"/>
      <c r="L94" s="20">
        <v>20</v>
      </c>
      <c r="M94" s="20">
        <v>235.99</v>
      </c>
      <c r="N94" s="20">
        <v>56.85</v>
      </c>
      <c r="O94" s="21">
        <v>292.83999999999997</v>
      </c>
      <c r="P94" s="19"/>
      <c r="Q94" s="20"/>
      <c r="R94" s="20"/>
      <c r="S94" s="20"/>
      <c r="T94" s="20"/>
      <c r="U94" s="21"/>
      <c r="V94" s="297"/>
      <c r="W94" s="28"/>
    </row>
    <row r="95" spans="1:23" x14ac:dyDescent="0.25">
      <c r="A95" s="18" t="s">
        <v>153</v>
      </c>
      <c r="B95" s="19"/>
      <c r="C95" s="20"/>
      <c r="D95" s="20"/>
      <c r="E95" s="20"/>
      <c r="F95" s="20"/>
      <c r="G95" s="21"/>
      <c r="H95" s="19">
        <v>1.27</v>
      </c>
      <c r="I95" s="171"/>
      <c r="J95" s="171">
        <v>971</v>
      </c>
      <c r="K95" s="20"/>
      <c r="L95" s="20">
        <v>20</v>
      </c>
      <c r="M95" s="20">
        <v>245.82</v>
      </c>
      <c r="N95" s="20">
        <v>59.22</v>
      </c>
      <c r="O95" s="21">
        <v>305.04000000000002</v>
      </c>
      <c r="P95" s="19"/>
      <c r="Q95" s="20"/>
      <c r="R95" s="20"/>
      <c r="S95" s="20"/>
      <c r="T95" s="20"/>
      <c r="U95" s="21"/>
      <c r="V95" s="297"/>
      <c r="W95" s="28"/>
    </row>
    <row r="96" spans="1:23" x14ac:dyDescent="0.25">
      <c r="A96" s="18" t="s">
        <v>153</v>
      </c>
      <c r="B96" s="19"/>
      <c r="C96" s="20"/>
      <c r="D96" s="20"/>
      <c r="E96" s="20"/>
      <c r="F96" s="20"/>
      <c r="G96" s="21"/>
      <c r="H96" s="19">
        <v>1.1100000000000001</v>
      </c>
      <c r="I96" s="171"/>
      <c r="J96" s="171">
        <v>971</v>
      </c>
      <c r="K96" s="20"/>
      <c r="L96" s="20">
        <v>20</v>
      </c>
      <c r="M96" s="20">
        <v>216.32</v>
      </c>
      <c r="N96" s="20">
        <v>52.11</v>
      </c>
      <c r="O96" s="21">
        <v>268.43</v>
      </c>
      <c r="P96" s="19"/>
      <c r="Q96" s="20"/>
      <c r="R96" s="20"/>
      <c r="S96" s="20"/>
      <c r="T96" s="20"/>
      <c r="U96" s="21"/>
      <c r="V96" s="297"/>
      <c r="W96" s="28"/>
    </row>
    <row r="97" spans="1:23" x14ac:dyDescent="0.25">
      <c r="A97" s="18" t="s">
        <v>153</v>
      </c>
      <c r="B97" s="19"/>
      <c r="C97" s="20"/>
      <c r="D97" s="20"/>
      <c r="E97" s="20"/>
      <c r="F97" s="20"/>
      <c r="G97" s="21"/>
      <c r="H97" s="19">
        <v>1.32</v>
      </c>
      <c r="I97" s="171"/>
      <c r="J97" s="171">
        <v>971</v>
      </c>
      <c r="K97" s="20"/>
      <c r="L97" s="20">
        <v>20</v>
      </c>
      <c r="M97" s="20">
        <v>255.66</v>
      </c>
      <c r="N97" s="20">
        <v>61.59</v>
      </c>
      <c r="O97" s="21">
        <v>317.25</v>
      </c>
      <c r="P97" s="19"/>
      <c r="Q97" s="20"/>
      <c r="R97" s="20"/>
      <c r="S97" s="20"/>
      <c r="T97" s="20"/>
      <c r="U97" s="21"/>
      <c r="V97" s="297"/>
      <c r="W97" s="28"/>
    </row>
    <row r="98" spans="1:23" x14ac:dyDescent="0.25">
      <c r="A98" s="18" t="s">
        <v>153</v>
      </c>
      <c r="B98" s="19"/>
      <c r="C98" s="20"/>
      <c r="D98" s="20"/>
      <c r="E98" s="20"/>
      <c r="F98" s="20"/>
      <c r="G98" s="21"/>
      <c r="H98" s="19">
        <v>0.96</v>
      </c>
      <c r="I98" s="171"/>
      <c r="J98" s="171">
        <v>971</v>
      </c>
      <c r="K98" s="20"/>
      <c r="L98" s="20">
        <v>20</v>
      </c>
      <c r="M98" s="20">
        <v>186.83</v>
      </c>
      <c r="N98" s="20">
        <v>45.01</v>
      </c>
      <c r="O98" s="21">
        <v>231.84</v>
      </c>
      <c r="P98" s="19"/>
      <c r="Q98" s="20"/>
      <c r="R98" s="20"/>
      <c r="S98" s="20"/>
      <c r="T98" s="20"/>
      <c r="U98" s="21"/>
      <c r="V98" s="297"/>
      <c r="W98" s="28"/>
    </row>
    <row r="99" spans="1:23" x14ac:dyDescent="0.25">
      <c r="A99" s="18" t="s">
        <v>153</v>
      </c>
      <c r="B99" s="19"/>
      <c r="C99" s="20"/>
      <c r="D99" s="20"/>
      <c r="E99" s="20"/>
      <c r="F99" s="20"/>
      <c r="G99" s="21"/>
      <c r="H99" s="19">
        <v>0.15</v>
      </c>
      <c r="I99" s="171"/>
      <c r="J99" s="171">
        <v>971</v>
      </c>
      <c r="K99" s="20"/>
      <c r="L99" s="20">
        <v>20</v>
      </c>
      <c r="M99" s="20">
        <v>29.5</v>
      </c>
      <c r="N99" s="20">
        <v>7.1</v>
      </c>
      <c r="O99" s="21">
        <v>36.6</v>
      </c>
      <c r="P99" s="19"/>
      <c r="Q99" s="20"/>
      <c r="R99" s="20"/>
      <c r="S99" s="20"/>
      <c r="T99" s="20"/>
      <c r="U99" s="21"/>
      <c r="V99" s="297"/>
      <c r="W99" s="28"/>
    </row>
    <row r="100" spans="1:23" x14ac:dyDescent="0.25">
      <c r="A100" s="18" t="s">
        <v>153</v>
      </c>
      <c r="B100" s="19"/>
      <c r="C100" s="20"/>
      <c r="D100" s="20"/>
      <c r="E100" s="20"/>
      <c r="F100" s="20"/>
      <c r="G100" s="21"/>
      <c r="H100" s="19">
        <v>0.73</v>
      </c>
      <c r="I100" s="171"/>
      <c r="J100" s="171">
        <v>971</v>
      </c>
      <c r="K100" s="20"/>
      <c r="L100" s="20">
        <v>20</v>
      </c>
      <c r="M100" s="20">
        <v>141</v>
      </c>
      <c r="N100" s="20">
        <v>33.97</v>
      </c>
      <c r="O100" s="21">
        <v>174.97</v>
      </c>
      <c r="P100" s="19"/>
      <c r="Q100" s="20"/>
      <c r="R100" s="20"/>
      <c r="S100" s="20"/>
      <c r="T100" s="20"/>
      <c r="U100" s="21"/>
      <c r="V100" s="297"/>
      <c r="W100" s="28"/>
    </row>
    <row r="101" spans="1:23" x14ac:dyDescent="0.25">
      <c r="A101" s="18" t="s">
        <v>1</v>
      </c>
      <c r="B101" s="19"/>
      <c r="C101" s="20"/>
      <c r="D101" s="20"/>
      <c r="E101" s="20"/>
      <c r="F101" s="20"/>
      <c r="G101" s="21"/>
      <c r="H101" s="19"/>
      <c r="I101" s="171"/>
      <c r="J101" s="171"/>
      <c r="K101" s="20"/>
      <c r="L101" s="20"/>
      <c r="M101" s="20"/>
      <c r="N101" s="20"/>
      <c r="O101" s="21"/>
      <c r="P101" s="19"/>
      <c r="Q101" s="20"/>
      <c r="R101" s="20"/>
      <c r="S101" s="20"/>
      <c r="T101" s="20"/>
      <c r="U101" s="21"/>
      <c r="W101" s="28"/>
    </row>
    <row r="102" spans="1:23" s="1" customFormat="1" ht="24" customHeight="1" x14ac:dyDescent="0.25">
      <c r="A102" s="14" t="s">
        <v>3</v>
      </c>
      <c r="B102" s="15"/>
      <c r="C102" s="16"/>
      <c r="D102" s="16"/>
      <c r="E102" s="16"/>
      <c r="F102" s="16"/>
      <c r="G102" s="17"/>
      <c r="H102" s="15"/>
      <c r="I102" s="167"/>
      <c r="J102" s="167"/>
      <c r="K102" s="16"/>
      <c r="L102" s="16"/>
      <c r="M102" s="16"/>
      <c r="N102" s="16"/>
      <c r="O102" s="17"/>
      <c r="P102" s="15"/>
      <c r="Q102" s="16"/>
      <c r="R102" s="16"/>
      <c r="S102" s="16"/>
      <c r="T102" s="16"/>
      <c r="U102" s="17"/>
      <c r="V102" s="2"/>
      <c r="W102" s="28"/>
    </row>
    <row r="103" spans="1:23" ht="37.5" customHeight="1" x14ac:dyDescent="0.25">
      <c r="A103" s="18" t="s">
        <v>14</v>
      </c>
      <c r="B103" s="19"/>
      <c r="C103" s="20"/>
      <c r="D103" s="20"/>
      <c r="E103" s="20"/>
      <c r="F103" s="20"/>
      <c r="G103" s="21"/>
      <c r="H103" s="19"/>
      <c r="I103" s="171"/>
      <c r="J103" s="171"/>
      <c r="K103" s="20"/>
      <c r="L103" s="20"/>
      <c r="M103" s="20"/>
      <c r="N103" s="20"/>
      <c r="O103" s="21"/>
      <c r="P103" s="19"/>
      <c r="Q103" s="20"/>
      <c r="R103" s="20"/>
      <c r="S103" s="20"/>
      <c r="T103" s="20"/>
      <c r="U103" s="21"/>
    </row>
    <row r="104" spans="1:23" ht="18.75" customHeight="1" x14ac:dyDescent="0.25">
      <c r="A104" s="18" t="s">
        <v>1</v>
      </c>
      <c r="B104" s="19"/>
      <c r="C104" s="20"/>
      <c r="D104" s="20"/>
      <c r="E104" s="20"/>
      <c r="F104" s="20"/>
      <c r="G104" s="21"/>
      <c r="H104" s="19"/>
      <c r="I104" s="171"/>
      <c r="J104" s="171"/>
      <c r="K104" s="20"/>
      <c r="L104" s="20"/>
      <c r="M104" s="20"/>
      <c r="N104" s="20"/>
      <c r="O104" s="21"/>
      <c r="P104" s="19"/>
      <c r="Q104" s="20"/>
      <c r="R104" s="20"/>
      <c r="S104" s="20"/>
      <c r="T104" s="20"/>
      <c r="U104" s="21"/>
    </row>
    <row r="105" spans="1:23" ht="19.5" customHeight="1" x14ac:dyDescent="0.25">
      <c r="A105" s="18" t="s">
        <v>1</v>
      </c>
      <c r="B105" s="19"/>
      <c r="C105" s="20"/>
      <c r="D105" s="20"/>
      <c r="E105" s="20"/>
      <c r="F105" s="20"/>
      <c r="G105" s="21"/>
      <c r="H105" s="19"/>
      <c r="I105" s="171"/>
      <c r="J105" s="171"/>
      <c r="K105" s="20"/>
      <c r="L105" s="20"/>
      <c r="M105" s="20"/>
      <c r="N105" s="20"/>
      <c r="O105" s="21"/>
      <c r="P105" s="19"/>
      <c r="Q105" s="20"/>
      <c r="R105" s="20"/>
      <c r="S105" s="20"/>
      <c r="T105" s="20"/>
      <c r="U105" s="21"/>
    </row>
    <row r="106" spans="1:23" ht="49.5" customHeight="1" x14ac:dyDescent="0.25">
      <c r="A106" s="18" t="s">
        <v>12</v>
      </c>
      <c r="B106" s="19"/>
      <c r="C106" s="20"/>
      <c r="D106" s="20"/>
      <c r="E106" s="20"/>
      <c r="F106" s="20"/>
      <c r="G106" s="21"/>
      <c r="H106" s="19"/>
      <c r="I106" s="171"/>
      <c r="J106" s="171"/>
      <c r="K106" s="20"/>
      <c r="L106" s="20"/>
      <c r="M106" s="20"/>
      <c r="N106" s="20"/>
      <c r="O106" s="21"/>
      <c r="P106" s="19"/>
      <c r="Q106" s="20"/>
      <c r="R106" s="20"/>
      <c r="S106" s="20"/>
      <c r="T106" s="20"/>
      <c r="U106" s="21"/>
    </row>
    <row r="107" spans="1:23" x14ac:dyDescent="0.25">
      <c r="A107" s="18" t="s">
        <v>1</v>
      </c>
      <c r="B107" s="19"/>
      <c r="C107" s="20"/>
      <c r="D107" s="20"/>
      <c r="E107" s="20"/>
      <c r="F107" s="20"/>
      <c r="G107" s="21"/>
      <c r="H107" s="19"/>
      <c r="I107" s="171"/>
      <c r="J107" s="171"/>
      <c r="K107" s="20"/>
      <c r="L107" s="20"/>
      <c r="M107" s="20"/>
      <c r="N107" s="20"/>
      <c r="O107" s="21"/>
      <c r="P107" s="19"/>
      <c r="Q107" s="20"/>
      <c r="R107" s="20"/>
      <c r="S107" s="20"/>
      <c r="T107" s="20"/>
      <c r="U107" s="21"/>
    </row>
    <row r="108" spans="1:23" x14ac:dyDescent="0.25">
      <c r="A108" s="18" t="s">
        <v>1</v>
      </c>
      <c r="B108" s="19"/>
      <c r="C108" s="20"/>
      <c r="D108" s="20"/>
      <c r="E108" s="20"/>
      <c r="F108" s="20"/>
      <c r="G108" s="21"/>
      <c r="H108" s="19"/>
      <c r="I108" s="171"/>
      <c r="J108" s="171"/>
      <c r="K108" s="20"/>
      <c r="L108" s="20"/>
      <c r="M108" s="20"/>
      <c r="N108" s="20"/>
      <c r="O108" s="21"/>
      <c r="P108" s="19"/>
      <c r="Q108" s="20"/>
      <c r="R108" s="20"/>
      <c r="S108" s="20"/>
      <c r="T108" s="20"/>
      <c r="U108" s="21"/>
    </row>
    <row r="109" spans="1:23" ht="64.5" customHeight="1" x14ac:dyDescent="0.25">
      <c r="A109" s="18" t="s">
        <v>13</v>
      </c>
      <c r="B109" s="19"/>
      <c r="C109" s="20"/>
      <c r="D109" s="20"/>
      <c r="E109" s="20"/>
      <c r="F109" s="20"/>
      <c r="G109" s="21"/>
      <c r="H109" s="19"/>
      <c r="I109" s="171"/>
      <c r="J109" s="171"/>
      <c r="K109" s="20"/>
      <c r="L109" s="20"/>
      <c r="M109" s="20"/>
      <c r="N109" s="20"/>
      <c r="O109" s="21"/>
      <c r="P109" s="19"/>
      <c r="Q109" s="20"/>
      <c r="R109" s="20"/>
      <c r="S109" s="20"/>
      <c r="T109" s="20"/>
      <c r="U109" s="21"/>
    </row>
    <row r="110" spans="1:23" x14ac:dyDescent="0.25">
      <c r="A110" s="18" t="s">
        <v>1</v>
      </c>
      <c r="B110" s="19"/>
      <c r="C110" s="20"/>
      <c r="D110" s="20"/>
      <c r="E110" s="20"/>
      <c r="F110" s="20"/>
      <c r="G110" s="21"/>
      <c r="H110" s="19"/>
      <c r="I110" s="171"/>
      <c r="J110" s="171"/>
      <c r="K110" s="20"/>
      <c r="L110" s="20"/>
      <c r="M110" s="20"/>
      <c r="N110" s="20"/>
      <c r="O110" s="21"/>
      <c r="P110" s="19"/>
      <c r="Q110" s="20"/>
      <c r="R110" s="20"/>
      <c r="S110" s="20"/>
      <c r="T110" s="20"/>
      <c r="U110" s="21"/>
    </row>
    <row r="111" spans="1:23" x14ac:dyDescent="0.25">
      <c r="A111" s="18" t="s">
        <v>1</v>
      </c>
      <c r="B111" s="19"/>
      <c r="C111" s="20"/>
      <c r="D111" s="20"/>
      <c r="E111" s="20"/>
      <c r="F111" s="20"/>
      <c r="G111" s="21"/>
      <c r="H111" s="19"/>
      <c r="I111" s="171"/>
      <c r="J111" s="171"/>
      <c r="K111" s="20"/>
      <c r="L111" s="20"/>
      <c r="M111" s="20"/>
      <c r="N111" s="20"/>
      <c r="O111" s="21"/>
      <c r="P111" s="19"/>
      <c r="Q111" s="20"/>
      <c r="R111" s="20"/>
      <c r="S111" s="20"/>
      <c r="T111" s="20"/>
      <c r="U111" s="21"/>
    </row>
    <row r="112" spans="1:23" ht="37.5" customHeight="1" x14ac:dyDescent="0.25">
      <c r="A112" s="18" t="s">
        <v>11</v>
      </c>
      <c r="B112" s="19"/>
      <c r="C112" s="20"/>
      <c r="D112" s="20"/>
      <c r="E112" s="20"/>
      <c r="F112" s="20"/>
      <c r="G112" s="21"/>
      <c r="H112" s="19"/>
      <c r="I112" s="171"/>
      <c r="J112" s="171"/>
      <c r="K112" s="20"/>
      <c r="L112" s="20"/>
      <c r="M112" s="20"/>
      <c r="N112" s="20"/>
      <c r="O112" s="21"/>
      <c r="P112" s="19"/>
      <c r="Q112" s="20"/>
      <c r="R112" s="20"/>
      <c r="S112" s="20"/>
      <c r="T112" s="20"/>
      <c r="U112" s="21"/>
    </row>
    <row r="113" spans="1:22" x14ac:dyDescent="0.25">
      <c r="A113" s="18" t="s">
        <v>1</v>
      </c>
      <c r="B113" s="19"/>
      <c r="C113" s="20"/>
      <c r="D113" s="20"/>
      <c r="E113" s="20"/>
      <c r="F113" s="20"/>
      <c r="G113" s="21"/>
      <c r="H113" s="19"/>
      <c r="I113" s="171"/>
      <c r="J113" s="171"/>
      <c r="K113" s="20"/>
      <c r="L113" s="20"/>
      <c r="M113" s="20"/>
      <c r="N113" s="20"/>
      <c r="O113" s="21"/>
      <c r="P113" s="19"/>
      <c r="Q113" s="20"/>
      <c r="R113" s="20"/>
      <c r="S113" s="20"/>
      <c r="T113" s="20"/>
      <c r="U113" s="21"/>
    </row>
    <row r="114" spans="1:22" ht="17.25" thickBot="1" x14ac:dyDescent="0.3">
      <c r="A114" s="18" t="s">
        <v>1</v>
      </c>
      <c r="B114" s="22"/>
      <c r="C114" s="23"/>
      <c r="D114" s="23"/>
      <c r="E114" s="23"/>
      <c r="F114" s="23"/>
      <c r="G114" s="24"/>
      <c r="H114" s="22"/>
      <c r="I114" s="184"/>
      <c r="J114" s="184"/>
      <c r="K114" s="23"/>
      <c r="L114" s="23"/>
      <c r="M114" s="23"/>
      <c r="N114" s="23"/>
      <c r="O114" s="24"/>
      <c r="P114" s="22"/>
      <c r="Q114" s="23"/>
      <c r="R114" s="23"/>
      <c r="S114" s="23"/>
      <c r="T114" s="23"/>
      <c r="U114" s="24"/>
    </row>
    <row r="116" spans="1:22" ht="21" customHeight="1" x14ac:dyDescent="0.25">
      <c r="A116" s="901" t="s">
        <v>33</v>
      </c>
      <c r="B116" s="901"/>
      <c r="C116" s="901"/>
      <c r="D116" s="901"/>
      <c r="E116" s="901"/>
      <c r="F116" s="901"/>
      <c r="G116" s="901"/>
      <c r="H116" s="901"/>
      <c r="I116" s="901"/>
      <c r="J116" s="901"/>
      <c r="K116" s="901"/>
      <c r="L116" s="901"/>
      <c r="M116" s="901"/>
      <c r="N116" s="901"/>
      <c r="O116" s="901"/>
      <c r="P116" s="901"/>
      <c r="Q116" s="901"/>
      <c r="R116" s="901"/>
      <c r="S116" s="901"/>
      <c r="T116" s="901"/>
      <c r="U116" s="25"/>
      <c r="V116" s="25"/>
    </row>
    <row r="118" spans="1:22" ht="20.25" x14ac:dyDescent="0.3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</row>
    <row r="119" spans="1:22" ht="18" customHeight="1" x14ac:dyDescent="0.25"/>
  </sheetData>
  <mergeCells count="6">
    <mergeCell ref="A116:T116"/>
    <mergeCell ref="A2:U2"/>
    <mergeCell ref="A6:A7"/>
    <mergeCell ref="B6:G6"/>
    <mergeCell ref="H6:O6"/>
    <mergeCell ref="P6:U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2:U178"/>
  <sheetViews>
    <sheetView topLeftCell="A4" zoomScale="70" zoomScaleNormal="70" zoomScaleSheetLayoutView="80" workbookViewId="0">
      <pane ySplit="7" topLeftCell="A11" activePane="bottomLeft" state="frozen"/>
      <selection activeCell="Q223" sqref="Q223"/>
      <selection pane="bottomLeft" activeCell="S22" sqref="S22"/>
    </sheetView>
  </sheetViews>
  <sheetFormatPr defaultRowHeight="16.5" x14ac:dyDescent="0.25"/>
  <cols>
    <col min="1" max="1" width="43.85546875" style="2" customWidth="1"/>
    <col min="2" max="2" width="14" style="2" customWidth="1"/>
    <col min="3" max="3" width="16" style="2" customWidth="1"/>
    <col min="4" max="12" width="14" style="2" customWidth="1"/>
    <col min="13" max="13" width="13.7109375" style="2" customWidth="1"/>
    <col min="14" max="19" width="14" style="2" customWidth="1"/>
    <col min="20" max="20" width="17.5703125" style="2" customWidth="1"/>
    <col min="21" max="22" width="15.85546875" style="2" customWidth="1"/>
    <col min="23" max="16384" width="9.140625" style="2"/>
  </cols>
  <sheetData>
    <row r="2" spans="1:21" s="1" customFormat="1" ht="48.75" customHeight="1" x14ac:dyDescent="0.25">
      <c r="A2" s="860"/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5" spans="1:21" x14ac:dyDescent="0.25">
      <c r="A5" s="860" t="s">
        <v>15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</row>
    <row r="6" spans="1:21" x14ac:dyDescent="0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21" x14ac:dyDescent="0.25">
      <c r="A7" s="2" t="s">
        <v>155</v>
      </c>
    </row>
    <row r="8" spans="1:21" ht="17.25" thickBot="1" x14ac:dyDescent="0.3"/>
    <row r="9" spans="1:21" ht="24" customHeight="1" x14ac:dyDescent="0.25">
      <c r="A9" s="906"/>
      <c r="B9" s="857" t="s">
        <v>2</v>
      </c>
      <c r="C9" s="858"/>
      <c r="D9" s="858"/>
      <c r="E9" s="858"/>
      <c r="F9" s="858"/>
      <c r="G9" s="859"/>
      <c r="H9" s="857" t="s">
        <v>4</v>
      </c>
      <c r="I9" s="858"/>
      <c r="J9" s="858"/>
      <c r="K9" s="858"/>
      <c r="L9" s="858"/>
      <c r="M9" s="859"/>
      <c r="N9" s="857" t="s">
        <v>5</v>
      </c>
      <c r="O9" s="858"/>
      <c r="P9" s="858"/>
      <c r="Q9" s="858"/>
      <c r="R9" s="858"/>
      <c r="S9" s="859"/>
    </row>
    <row r="10" spans="1:21" ht="104.25" customHeight="1" x14ac:dyDescent="0.25">
      <c r="A10" s="907"/>
      <c r="B10" s="3" t="s">
        <v>27</v>
      </c>
      <c r="C10" s="4" t="s">
        <v>10</v>
      </c>
      <c r="D10" s="4" t="s">
        <v>6</v>
      </c>
      <c r="E10" s="4" t="s">
        <v>7</v>
      </c>
      <c r="F10" s="4" t="s">
        <v>8</v>
      </c>
      <c r="G10" s="5" t="s">
        <v>9</v>
      </c>
      <c r="H10" s="3" t="s">
        <v>28</v>
      </c>
      <c r="I10" s="4" t="s">
        <v>10</v>
      </c>
      <c r="J10" s="4" t="s">
        <v>6</v>
      </c>
      <c r="K10" s="4" t="s">
        <v>7</v>
      </c>
      <c r="L10" s="4" t="s">
        <v>8</v>
      </c>
      <c r="M10" s="5" t="s">
        <v>9</v>
      </c>
      <c r="N10" s="3" t="s">
        <v>28</v>
      </c>
      <c r="O10" s="4" t="s">
        <v>10</v>
      </c>
      <c r="P10" s="4" t="s">
        <v>6</v>
      </c>
      <c r="Q10" s="4" t="s">
        <v>7</v>
      </c>
      <c r="R10" s="4" t="s">
        <v>8</v>
      </c>
      <c r="S10" s="5" t="s">
        <v>9</v>
      </c>
    </row>
    <row r="11" spans="1:21" ht="13.5" customHeight="1" x14ac:dyDescent="0.25">
      <c r="A11" s="6"/>
      <c r="B11" s="7"/>
      <c r="C11" s="8"/>
      <c r="D11" s="8"/>
      <c r="E11" s="8"/>
      <c r="F11" s="8"/>
      <c r="G11" s="9"/>
      <c r="H11" s="7"/>
      <c r="I11" s="8"/>
      <c r="J11" s="8"/>
      <c r="K11" s="8"/>
      <c r="L11" s="8"/>
      <c r="M11" s="9"/>
      <c r="N11" s="7"/>
      <c r="O11" s="8"/>
      <c r="P11" s="8"/>
      <c r="Q11" s="8"/>
      <c r="R11" s="8"/>
      <c r="S11" s="9"/>
    </row>
    <row r="12" spans="1:21" s="1" customFormat="1" ht="26.25" customHeight="1" x14ac:dyDescent="0.25">
      <c r="A12" s="534" t="s">
        <v>0</v>
      </c>
      <c r="B12" s="524">
        <f>B13+B39</f>
        <v>14.55</v>
      </c>
      <c r="C12" s="12"/>
      <c r="D12" s="12"/>
      <c r="E12" s="12">
        <f t="shared" ref="E12:G12" si="0">E13+E39</f>
        <v>3713.25</v>
      </c>
      <c r="F12" s="12">
        <f t="shared" si="0"/>
        <v>894.53</v>
      </c>
      <c r="G12" s="13">
        <f t="shared" si="0"/>
        <v>4607.7800000000007</v>
      </c>
      <c r="H12" s="12">
        <f t="shared" ref="H12:J12" si="1">H13+H39++H80+H123+H152+H164</f>
        <v>68.642531645569605</v>
      </c>
      <c r="I12" s="12">
        <f t="shared" si="1"/>
        <v>2571.0000000000005</v>
      </c>
      <c r="J12" s="12">
        <f t="shared" si="1"/>
        <v>1.4</v>
      </c>
      <c r="K12" s="12">
        <f>K13+K39++K80+K123+K152+K164</f>
        <v>16714.190000000002</v>
      </c>
      <c r="L12" s="12">
        <f t="shared" ref="L12:M12" si="2">L13+L39++L80+L123+L152+L164</f>
        <v>4026.46</v>
      </c>
      <c r="M12" s="12">
        <f t="shared" si="2"/>
        <v>20740.649999999998</v>
      </c>
      <c r="N12" s="11"/>
      <c r="O12" s="12"/>
      <c r="P12" s="12"/>
      <c r="Q12" s="12"/>
      <c r="R12" s="12"/>
      <c r="S12" s="13"/>
    </row>
    <row r="13" spans="1:21" ht="21.75" customHeight="1" x14ac:dyDescent="0.25">
      <c r="A13" s="535" t="s">
        <v>132</v>
      </c>
      <c r="B13" s="530">
        <f>B14+B22+B30</f>
        <v>6.23</v>
      </c>
      <c r="C13" s="125"/>
      <c r="D13" s="125"/>
      <c r="E13" s="125">
        <f t="shared" ref="E13:J13" si="3">E14+E22+E30</f>
        <v>1859.5</v>
      </c>
      <c r="F13" s="125">
        <f t="shared" si="3"/>
        <v>447.95</v>
      </c>
      <c r="G13" s="200">
        <f t="shared" si="3"/>
        <v>2307.4500000000003</v>
      </c>
      <c r="H13" s="16">
        <f t="shared" si="3"/>
        <v>1.57</v>
      </c>
      <c r="I13" s="16">
        <f t="shared" si="3"/>
        <v>2571.0000000000005</v>
      </c>
      <c r="J13" s="16">
        <f t="shared" si="3"/>
        <v>1.4</v>
      </c>
      <c r="K13" s="16">
        <f>K14+K22+K30</f>
        <v>2239</v>
      </c>
      <c r="L13" s="16">
        <f t="shared" ref="L13:M13" si="4">L14+L22+L30</f>
        <v>539.37</v>
      </c>
      <c r="M13" s="16">
        <f t="shared" si="4"/>
        <v>2778.37</v>
      </c>
      <c r="N13" s="196"/>
      <c r="O13" s="125"/>
      <c r="P13" s="125"/>
      <c r="Q13" s="125"/>
      <c r="R13" s="125"/>
      <c r="S13" s="200"/>
    </row>
    <row r="14" spans="1:21" ht="33" x14ac:dyDescent="0.25">
      <c r="A14" s="536" t="s">
        <v>14</v>
      </c>
      <c r="B14" s="529">
        <f>SUM(B15:B16)</f>
        <v>1.05</v>
      </c>
      <c r="C14" s="20"/>
      <c r="D14" s="20"/>
      <c r="E14" s="20">
        <f t="shared" ref="E14:G14" si="5">SUM(E15:E16)</f>
        <v>633</v>
      </c>
      <c r="F14" s="20">
        <f t="shared" si="5"/>
        <v>152.49</v>
      </c>
      <c r="G14" s="21">
        <f t="shared" si="5"/>
        <v>785.49</v>
      </c>
      <c r="H14" s="30">
        <f t="shared" ref="H14:J14" si="6">SUM(H15:H21)</f>
        <v>1.57</v>
      </c>
      <c r="I14" s="30">
        <f t="shared" si="6"/>
        <v>2571.0000000000005</v>
      </c>
      <c r="J14" s="30">
        <f t="shared" si="6"/>
        <v>1.4</v>
      </c>
      <c r="K14" s="30">
        <f>SUM(K15:K21)</f>
        <v>514.20000000000005</v>
      </c>
      <c r="L14" s="30">
        <f t="shared" ref="L14:M14" si="7">SUM(L15:L21)</f>
        <v>123.88</v>
      </c>
      <c r="M14" s="30">
        <f t="shared" si="7"/>
        <v>638.08000000000004</v>
      </c>
      <c r="N14" s="19"/>
      <c r="O14" s="20"/>
      <c r="P14" s="20"/>
      <c r="Q14" s="20"/>
      <c r="R14" s="20"/>
      <c r="S14" s="21"/>
    </row>
    <row r="15" spans="1:21" x14ac:dyDescent="0.25">
      <c r="A15" s="536" t="s">
        <v>80</v>
      </c>
      <c r="B15" s="529">
        <v>0.91</v>
      </c>
      <c r="C15" s="20">
        <v>2364</v>
      </c>
      <c r="D15" s="20">
        <v>0.25</v>
      </c>
      <c r="E15" s="838">
        <f>ROUND(C15*D15,2)</f>
        <v>591</v>
      </c>
      <c r="F15" s="838">
        <f>ROUND(E15*0.2409,2)</f>
        <v>142.37</v>
      </c>
      <c r="G15" s="837">
        <f>E15+F15</f>
        <v>733.37</v>
      </c>
      <c r="H15" s="529">
        <v>0.61</v>
      </c>
      <c r="I15" s="20">
        <v>1056</v>
      </c>
      <c r="J15" s="20">
        <v>0.2</v>
      </c>
      <c r="K15" s="20">
        <f>ROUND(I15*J15,2)</f>
        <v>211.2</v>
      </c>
      <c r="L15" s="20">
        <f>ROUND(K15*0.2409,2)</f>
        <v>50.88</v>
      </c>
      <c r="M15" s="21">
        <f>K15+L15</f>
        <v>262.08</v>
      </c>
      <c r="N15" s="19"/>
      <c r="O15" s="20"/>
      <c r="P15" s="20"/>
      <c r="Q15" s="20"/>
      <c r="R15" s="20"/>
      <c r="S15" s="21"/>
      <c r="U15" s="28"/>
    </row>
    <row r="16" spans="1:21" x14ac:dyDescent="0.25">
      <c r="A16" s="536" t="s">
        <v>80</v>
      </c>
      <c r="B16" s="529">
        <v>0.14000000000000001</v>
      </c>
      <c r="C16" s="20">
        <v>168</v>
      </c>
      <c r="D16" s="20">
        <v>0.25</v>
      </c>
      <c r="E16" s="838">
        <f>ROUND(C16*D16,2)</f>
        <v>42</v>
      </c>
      <c r="F16" s="838">
        <f>ROUND(E16*0.2409,2)</f>
        <v>10.119999999999999</v>
      </c>
      <c r="G16" s="837">
        <f>E16+F16</f>
        <v>52.12</v>
      </c>
      <c r="H16" s="529">
        <v>0.2</v>
      </c>
      <c r="I16" s="20">
        <v>352</v>
      </c>
      <c r="J16" s="20">
        <v>0.2</v>
      </c>
      <c r="K16" s="20">
        <f t="shared" ref="K16:K21" si="8">ROUND(I16*J16,2)</f>
        <v>70.400000000000006</v>
      </c>
      <c r="L16" s="20">
        <f t="shared" ref="L16:L21" si="9">ROUND(K16*0.2409,2)</f>
        <v>16.96</v>
      </c>
      <c r="M16" s="21">
        <f t="shared" ref="M16:M21" si="10">K16+L16</f>
        <v>87.360000000000014</v>
      </c>
      <c r="N16" s="19"/>
      <c r="O16" s="20"/>
      <c r="P16" s="20"/>
      <c r="Q16" s="20"/>
      <c r="R16" s="20"/>
      <c r="S16" s="21"/>
      <c r="U16" s="28"/>
    </row>
    <row r="17" spans="1:21" x14ac:dyDescent="0.25">
      <c r="A17" s="536" t="s">
        <v>80</v>
      </c>
      <c r="B17" s="529"/>
      <c r="C17" s="20"/>
      <c r="D17" s="20"/>
      <c r="E17" s="20"/>
      <c r="F17" s="20"/>
      <c r="G17" s="21"/>
      <c r="H17" s="529">
        <v>0.05</v>
      </c>
      <c r="I17" s="20">
        <v>79.2</v>
      </c>
      <c r="J17" s="20">
        <v>0.2</v>
      </c>
      <c r="K17" s="20">
        <f t="shared" si="8"/>
        <v>15.84</v>
      </c>
      <c r="L17" s="20">
        <f t="shared" si="9"/>
        <v>3.82</v>
      </c>
      <c r="M17" s="21">
        <f t="shared" si="10"/>
        <v>19.66</v>
      </c>
      <c r="N17" s="19"/>
      <c r="O17" s="20"/>
      <c r="P17" s="20"/>
      <c r="Q17" s="20"/>
      <c r="R17" s="20"/>
      <c r="S17" s="21"/>
      <c r="U17" s="28"/>
    </row>
    <row r="18" spans="1:21" x14ac:dyDescent="0.25">
      <c r="A18" s="536" t="s">
        <v>80</v>
      </c>
      <c r="B18" s="529"/>
      <c r="C18" s="20"/>
      <c r="D18" s="20"/>
      <c r="E18" s="20"/>
      <c r="F18" s="20"/>
      <c r="G18" s="21"/>
      <c r="H18" s="529">
        <v>0.15</v>
      </c>
      <c r="I18" s="20">
        <v>237.60000000000002</v>
      </c>
      <c r="J18" s="20">
        <v>0.2</v>
      </c>
      <c r="K18" s="20">
        <f t="shared" si="8"/>
        <v>47.52</v>
      </c>
      <c r="L18" s="20">
        <f t="shared" si="9"/>
        <v>11.45</v>
      </c>
      <c r="M18" s="21">
        <f t="shared" si="10"/>
        <v>58.97</v>
      </c>
      <c r="N18" s="19"/>
      <c r="O18" s="20"/>
      <c r="P18" s="20"/>
      <c r="Q18" s="20"/>
      <c r="R18" s="20"/>
      <c r="S18" s="21"/>
      <c r="U18" s="28"/>
    </row>
    <row r="19" spans="1:21" x14ac:dyDescent="0.25">
      <c r="A19" s="536" t="s">
        <v>80</v>
      </c>
      <c r="B19" s="529"/>
      <c r="C19" s="20"/>
      <c r="D19" s="20"/>
      <c r="E19" s="20"/>
      <c r="F19" s="20"/>
      <c r="G19" s="21"/>
      <c r="H19" s="529">
        <v>0.23</v>
      </c>
      <c r="I19" s="20">
        <v>356.40000000000003</v>
      </c>
      <c r="J19" s="20">
        <v>0.2</v>
      </c>
      <c r="K19" s="20">
        <f t="shared" si="8"/>
        <v>71.28</v>
      </c>
      <c r="L19" s="20">
        <f t="shared" si="9"/>
        <v>17.170000000000002</v>
      </c>
      <c r="M19" s="21">
        <f t="shared" si="10"/>
        <v>88.45</v>
      </c>
      <c r="N19" s="19"/>
      <c r="O19" s="20"/>
      <c r="P19" s="20"/>
      <c r="Q19" s="20"/>
      <c r="R19" s="20"/>
      <c r="S19" s="21"/>
      <c r="U19" s="28"/>
    </row>
    <row r="20" spans="1:21" x14ac:dyDescent="0.25">
      <c r="A20" s="536" t="s">
        <v>80</v>
      </c>
      <c r="B20" s="529"/>
      <c r="C20" s="20"/>
      <c r="D20" s="20"/>
      <c r="E20" s="20"/>
      <c r="F20" s="20"/>
      <c r="G20" s="21"/>
      <c r="H20" s="529">
        <v>0.08</v>
      </c>
      <c r="I20" s="20">
        <v>93.8</v>
      </c>
      <c r="J20" s="20">
        <v>0.2</v>
      </c>
      <c r="K20" s="20">
        <f t="shared" si="8"/>
        <v>18.760000000000002</v>
      </c>
      <c r="L20" s="20">
        <f t="shared" si="9"/>
        <v>4.5199999999999996</v>
      </c>
      <c r="M20" s="21">
        <f t="shared" si="10"/>
        <v>23.28</v>
      </c>
      <c r="N20" s="19"/>
      <c r="O20" s="20"/>
      <c r="P20" s="20"/>
      <c r="Q20" s="20"/>
      <c r="R20" s="20"/>
      <c r="S20" s="21"/>
      <c r="U20" s="28"/>
    </row>
    <row r="21" spans="1:21" x14ac:dyDescent="0.25">
      <c r="A21" s="536" t="s">
        <v>80</v>
      </c>
      <c r="B21" s="529"/>
      <c r="C21" s="20"/>
      <c r="D21" s="20"/>
      <c r="E21" s="20"/>
      <c r="F21" s="20"/>
      <c r="G21" s="21"/>
      <c r="H21" s="529">
        <v>0.25</v>
      </c>
      <c r="I21" s="20">
        <v>396</v>
      </c>
      <c r="J21" s="20">
        <v>0.2</v>
      </c>
      <c r="K21" s="20">
        <f t="shared" si="8"/>
        <v>79.2</v>
      </c>
      <c r="L21" s="20">
        <f t="shared" si="9"/>
        <v>19.079999999999998</v>
      </c>
      <c r="M21" s="21">
        <f t="shared" si="10"/>
        <v>98.28</v>
      </c>
      <c r="N21" s="19"/>
      <c r="O21" s="20"/>
      <c r="P21" s="20"/>
      <c r="Q21" s="20"/>
      <c r="R21" s="20"/>
      <c r="S21" s="21"/>
      <c r="U21" s="28"/>
    </row>
    <row r="22" spans="1:21" ht="49.5" customHeight="1" x14ac:dyDescent="0.25">
      <c r="A22" s="536" t="s">
        <v>12</v>
      </c>
      <c r="B22" s="529">
        <f>SUM(B23:B26)</f>
        <v>2.95</v>
      </c>
      <c r="C22" s="20"/>
      <c r="D22" s="20"/>
      <c r="E22" s="20">
        <f>SUM(E23:E26)</f>
        <v>795.25</v>
      </c>
      <c r="F22" s="20">
        <f t="shared" ref="F22:G22" si="11">SUM(F23:F26)</f>
        <v>191.57999999999998</v>
      </c>
      <c r="G22" s="21">
        <f t="shared" si="11"/>
        <v>986.83</v>
      </c>
      <c r="H22" s="529"/>
      <c r="I22" s="20"/>
      <c r="J22" s="20"/>
      <c r="K22" s="20">
        <f>SUM(K23:K29)</f>
        <v>1091.1999999999998</v>
      </c>
      <c r="L22" s="20">
        <f t="shared" ref="L22:M22" si="12">SUM(L23:L29)</f>
        <v>262.87</v>
      </c>
      <c r="M22" s="20">
        <f t="shared" si="12"/>
        <v>1354.07</v>
      </c>
      <c r="N22" s="19"/>
      <c r="O22" s="20"/>
      <c r="P22" s="20"/>
      <c r="Q22" s="20"/>
      <c r="R22" s="20"/>
      <c r="S22" s="21"/>
      <c r="U22" s="28"/>
    </row>
    <row r="23" spans="1:21" x14ac:dyDescent="0.25">
      <c r="A23" s="536" t="s">
        <v>16</v>
      </c>
      <c r="B23" s="529"/>
      <c r="C23" s="20"/>
      <c r="D23" s="20"/>
      <c r="E23" s="20"/>
      <c r="F23" s="20"/>
      <c r="G23" s="21"/>
      <c r="H23" s="529">
        <v>1</v>
      </c>
      <c r="I23" s="20">
        <v>1100</v>
      </c>
      <c r="J23" s="20">
        <v>0.2</v>
      </c>
      <c r="K23" s="20">
        <f t="shared" ref="K23:K29" si="13">ROUND(I23*J23,2)</f>
        <v>220</v>
      </c>
      <c r="L23" s="20">
        <f t="shared" ref="L23:L29" si="14">ROUND(K23*0.2409,2)</f>
        <v>53</v>
      </c>
      <c r="M23" s="21">
        <f t="shared" ref="M23:M29" si="15">K23+L23</f>
        <v>273</v>
      </c>
      <c r="N23" s="19"/>
      <c r="O23" s="20"/>
      <c r="P23" s="20"/>
      <c r="Q23" s="20"/>
      <c r="R23" s="20"/>
      <c r="S23" s="21"/>
      <c r="U23" s="28"/>
    </row>
    <row r="24" spans="1:21" x14ac:dyDescent="0.25">
      <c r="A24" s="536" t="s">
        <v>17</v>
      </c>
      <c r="B24" s="529">
        <v>1</v>
      </c>
      <c r="C24" s="20">
        <v>1100</v>
      </c>
      <c r="D24" s="20">
        <v>0.25</v>
      </c>
      <c r="E24" s="838">
        <f>ROUND(C24*D24,2)</f>
        <v>275</v>
      </c>
      <c r="F24" s="838">
        <f>ROUND(E24*0.2409,2)</f>
        <v>66.25</v>
      </c>
      <c r="G24" s="837">
        <f>E24+F24</f>
        <v>341.25</v>
      </c>
      <c r="H24" s="529">
        <v>0.71</v>
      </c>
      <c r="I24" s="20">
        <v>677.6</v>
      </c>
      <c r="J24" s="20">
        <v>0.2</v>
      </c>
      <c r="K24" s="20">
        <f t="shared" si="13"/>
        <v>135.52000000000001</v>
      </c>
      <c r="L24" s="20">
        <f t="shared" si="14"/>
        <v>32.65</v>
      </c>
      <c r="M24" s="21">
        <f t="shared" si="15"/>
        <v>168.17000000000002</v>
      </c>
      <c r="N24" s="19"/>
      <c r="O24" s="20"/>
      <c r="P24" s="20"/>
      <c r="Q24" s="20"/>
      <c r="R24" s="20"/>
      <c r="S24" s="21"/>
      <c r="U24" s="28"/>
    </row>
    <row r="25" spans="1:21" x14ac:dyDescent="0.25">
      <c r="A25" s="536" t="s">
        <v>17</v>
      </c>
      <c r="B25" s="529">
        <v>0.95</v>
      </c>
      <c r="C25" s="20">
        <v>1016</v>
      </c>
      <c r="D25" s="20">
        <v>0.25</v>
      </c>
      <c r="E25" s="838">
        <f>ROUND(C25*D25,2)</f>
        <v>254</v>
      </c>
      <c r="F25" s="838">
        <f>ROUND(E25*0.2409,2)</f>
        <v>61.19</v>
      </c>
      <c r="G25" s="837">
        <f>E25+F25</f>
        <v>315.19</v>
      </c>
      <c r="H25" s="529">
        <v>1.06</v>
      </c>
      <c r="I25" s="20">
        <v>1016.4</v>
      </c>
      <c r="J25" s="20">
        <v>0.2</v>
      </c>
      <c r="K25" s="20">
        <f t="shared" si="13"/>
        <v>203.28</v>
      </c>
      <c r="L25" s="20">
        <f t="shared" si="14"/>
        <v>48.97</v>
      </c>
      <c r="M25" s="21">
        <f t="shared" si="15"/>
        <v>252.25</v>
      </c>
      <c r="N25" s="19"/>
      <c r="O25" s="20"/>
      <c r="P25" s="20"/>
      <c r="Q25" s="20"/>
      <c r="R25" s="20"/>
      <c r="S25" s="21"/>
      <c r="U25" s="28"/>
    </row>
    <row r="26" spans="1:21" x14ac:dyDescent="0.25">
      <c r="A26" s="536" t="s">
        <v>17</v>
      </c>
      <c r="B26" s="529">
        <v>1</v>
      </c>
      <c r="C26" s="20">
        <v>1065</v>
      </c>
      <c r="D26" s="20">
        <v>0.25</v>
      </c>
      <c r="E26" s="838">
        <f>ROUND(C26*D26,2)</f>
        <v>266.25</v>
      </c>
      <c r="F26" s="838">
        <f>ROUND(E26*0.2409,2)</f>
        <v>64.14</v>
      </c>
      <c r="G26" s="837">
        <f>E26+F26</f>
        <v>330.39</v>
      </c>
      <c r="H26" s="529">
        <v>0.61</v>
      </c>
      <c r="I26" s="20">
        <v>580.79999999999995</v>
      </c>
      <c r="J26" s="20">
        <v>0.2</v>
      </c>
      <c r="K26" s="20">
        <f t="shared" si="13"/>
        <v>116.16</v>
      </c>
      <c r="L26" s="20">
        <f t="shared" si="14"/>
        <v>27.98</v>
      </c>
      <c r="M26" s="21">
        <f t="shared" si="15"/>
        <v>144.13999999999999</v>
      </c>
      <c r="N26" s="19"/>
      <c r="O26" s="20"/>
      <c r="P26" s="20"/>
      <c r="Q26" s="20"/>
      <c r="R26" s="20"/>
      <c r="S26" s="21"/>
      <c r="U26" s="28"/>
    </row>
    <row r="27" spans="1:21" x14ac:dyDescent="0.25">
      <c r="A27" s="536" t="s">
        <v>21</v>
      </c>
      <c r="B27" s="529"/>
      <c r="C27" s="20"/>
      <c r="D27" s="20"/>
      <c r="E27" s="20"/>
      <c r="F27" s="20"/>
      <c r="G27" s="21"/>
      <c r="H27" s="529">
        <v>0.61</v>
      </c>
      <c r="I27" s="20">
        <v>580.79999999999995</v>
      </c>
      <c r="J27" s="20">
        <v>0.2</v>
      </c>
      <c r="K27" s="20">
        <f t="shared" si="13"/>
        <v>116.16</v>
      </c>
      <c r="L27" s="20">
        <f t="shared" si="14"/>
        <v>27.98</v>
      </c>
      <c r="M27" s="21">
        <f t="shared" si="15"/>
        <v>144.13999999999999</v>
      </c>
      <c r="N27" s="19"/>
      <c r="O27" s="20"/>
      <c r="P27" s="20"/>
      <c r="Q27" s="20"/>
      <c r="R27" s="20"/>
      <c r="S27" s="21"/>
      <c r="U27" s="28"/>
    </row>
    <row r="28" spans="1:21" x14ac:dyDescent="0.25">
      <c r="A28" s="536" t="s">
        <v>21</v>
      </c>
      <c r="B28" s="529"/>
      <c r="C28" s="20"/>
      <c r="D28" s="20"/>
      <c r="E28" s="20"/>
      <c r="F28" s="20"/>
      <c r="G28" s="21"/>
      <c r="H28" s="529">
        <v>1.1100000000000001</v>
      </c>
      <c r="I28" s="20">
        <v>1064.8</v>
      </c>
      <c r="J28" s="20">
        <v>0.2</v>
      </c>
      <c r="K28" s="20">
        <f t="shared" si="13"/>
        <v>212.96</v>
      </c>
      <c r="L28" s="20">
        <f t="shared" si="14"/>
        <v>51.3</v>
      </c>
      <c r="M28" s="21">
        <f t="shared" si="15"/>
        <v>264.26</v>
      </c>
      <c r="N28" s="19"/>
      <c r="O28" s="20"/>
      <c r="P28" s="20"/>
      <c r="Q28" s="20"/>
      <c r="R28" s="20"/>
      <c r="S28" s="21"/>
      <c r="U28" s="28"/>
    </row>
    <row r="29" spans="1:21" x14ac:dyDescent="0.25">
      <c r="A29" s="536" t="s">
        <v>21</v>
      </c>
      <c r="B29" s="529"/>
      <c r="C29" s="20"/>
      <c r="D29" s="20"/>
      <c r="E29" s="20"/>
      <c r="F29" s="20"/>
      <c r="G29" s="21"/>
      <c r="H29" s="529">
        <v>0.46</v>
      </c>
      <c r="I29" s="20">
        <v>435.59999999999997</v>
      </c>
      <c r="J29" s="20">
        <v>0.2</v>
      </c>
      <c r="K29" s="20">
        <f t="shared" si="13"/>
        <v>87.12</v>
      </c>
      <c r="L29" s="20">
        <f t="shared" si="14"/>
        <v>20.99</v>
      </c>
      <c r="M29" s="21">
        <f t="shared" si="15"/>
        <v>108.11</v>
      </c>
      <c r="N29" s="19"/>
      <c r="O29" s="20"/>
      <c r="P29" s="20"/>
      <c r="Q29" s="20"/>
      <c r="R29" s="20"/>
      <c r="S29" s="21"/>
      <c r="U29" s="28"/>
    </row>
    <row r="30" spans="1:21" ht="57" customHeight="1" x14ac:dyDescent="0.25">
      <c r="A30" s="536" t="s">
        <v>13</v>
      </c>
      <c r="B30" s="529">
        <f>SUM(B31:B36)</f>
        <v>2.23</v>
      </c>
      <c r="C30" s="20"/>
      <c r="D30" s="20"/>
      <c r="E30" s="20">
        <f>SUM(E31:E36)</f>
        <v>431.25</v>
      </c>
      <c r="F30" s="20">
        <f t="shared" ref="F30:G30" si="16">SUM(F31:F36)</f>
        <v>103.88</v>
      </c>
      <c r="G30" s="21">
        <f t="shared" si="16"/>
        <v>535.13</v>
      </c>
      <c r="H30" s="529"/>
      <c r="I30" s="20"/>
      <c r="J30" s="20"/>
      <c r="K30" s="20">
        <f>SUM(K31:K36)</f>
        <v>633.6</v>
      </c>
      <c r="L30" s="20">
        <f t="shared" ref="L30:M30" si="17">SUM(L31:L36)</f>
        <v>152.62</v>
      </c>
      <c r="M30" s="20">
        <f t="shared" si="17"/>
        <v>786.22</v>
      </c>
      <c r="N30" s="19"/>
      <c r="O30" s="20"/>
      <c r="P30" s="20"/>
      <c r="Q30" s="20"/>
      <c r="R30" s="20"/>
      <c r="S30" s="21"/>
      <c r="U30" s="28"/>
    </row>
    <row r="31" spans="1:21" x14ac:dyDescent="0.25">
      <c r="A31" s="536" t="s">
        <v>156</v>
      </c>
      <c r="B31" s="529">
        <v>0.86</v>
      </c>
      <c r="C31" s="20">
        <v>669</v>
      </c>
      <c r="D31" s="20">
        <v>0.25</v>
      </c>
      <c r="E31" s="838">
        <f>ROUND(C31*D31,2)</f>
        <v>167.25</v>
      </c>
      <c r="F31" s="838">
        <f>ROUND(E31*0.2409,2)</f>
        <v>40.29</v>
      </c>
      <c r="G31" s="837">
        <f>E31+F31</f>
        <v>207.54</v>
      </c>
      <c r="H31" s="529">
        <v>1.1100000000000001</v>
      </c>
      <c r="I31" s="20">
        <v>774.40000000000009</v>
      </c>
      <c r="J31" s="20">
        <v>0.2</v>
      </c>
      <c r="K31" s="20">
        <f t="shared" ref="K31:K36" si="18">ROUND(I31*J31,2)</f>
        <v>154.88</v>
      </c>
      <c r="L31" s="20">
        <f t="shared" ref="L31:L36" si="19">ROUND(K31*0.2409,2)</f>
        <v>37.31</v>
      </c>
      <c r="M31" s="21">
        <f t="shared" ref="M31:M36" si="20">K31+L31</f>
        <v>192.19</v>
      </c>
      <c r="N31" s="19"/>
      <c r="O31" s="20"/>
      <c r="P31" s="20"/>
      <c r="Q31" s="20"/>
      <c r="R31" s="20"/>
      <c r="S31" s="21"/>
      <c r="U31" s="28"/>
    </row>
    <row r="32" spans="1:21" x14ac:dyDescent="0.25">
      <c r="A32" s="536" t="s">
        <v>156</v>
      </c>
      <c r="B32" s="529">
        <v>0.82</v>
      </c>
      <c r="C32" s="20">
        <v>634</v>
      </c>
      <c r="D32" s="20">
        <v>0.25</v>
      </c>
      <c r="E32" s="838">
        <f>ROUND(C32*D32,2)</f>
        <v>158.5</v>
      </c>
      <c r="F32" s="838">
        <f>ROUND(E32*0.2409,2)</f>
        <v>38.18</v>
      </c>
      <c r="G32" s="837">
        <f>E32+F32</f>
        <v>196.68</v>
      </c>
      <c r="H32" s="529">
        <v>0.61</v>
      </c>
      <c r="I32" s="20">
        <v>422.40000000000003</v>
      </c>
      <c r="J32" s="20">
        <v>0.2</v>
      </c>
      <c r="K32" s="20">
        <f t="shared" si="18"/>
        <v>84.48</v>
      </c>
      <c r="L32" s="20">
        <f t="shared" si="19"/>
        <v>20.350000000000001</v>
      </c>
      <c r="M32" s="21">
        <f t="shared" si="20"/>
        <v>104.83000000000001</v>
      </c>
      <c r="N32" s="19"/>
      <c r="O32" s="20"/>
      <c r="P32" s="20"/>
      <c r="Q32" s="20"/>
      <c r="R32" s="20"/>
      <c r="S32" s="21"/>
      <c r="U32" s="28"/>
    </row>
    <row r="33" spans="1:21" x14ac:dyDescent="0.25">
      <c r="A33" s="536" t="s">
        <v>156</v>
      </c>
      <c r="B33" s="529">
        <v>0.55000000000000004</v>
      </c>
      <c r="C33" s="20">
        <v>422</v>
      </c>
      <c r="D33" s="20">
        <v>0.25</v>
      </c>
      <c r="E33" s="838">
        <f>ROUND(C33*D33,2)</f>
        <v>105.5</v>
      </c>
      <c r="F33" s="838">
        <f>ROUND(E33*0.2409,2)</f>
        <v>25.41</v>
      </c>
      <c r="G33" s="837">
        <f>E33+F33</f>
        <v>130.91</v>
      </c>
      <c r="H33" s="529">
        <v>1.06</v>
      </c>
      <c r="I33" s="20">
        <v>739.2</v>
      </c>
      <c r="J33" s="20">
        <v>0.2</v>
      </c>
      <c r="K33" s="20">
        <f t="shared" si="18"/>
        <v>147.84</v>
      </c>
      <c r="L33" s="20">
        <f t="shared" si="19"/>
        <v>35.61</v>
      </c>
      <c r="M33" s="21">
        <f t="shared" si="20"/>
        <v>183.45</v>
      </c>
      <c r="N33" s="19"/>
      <c r="O33" s="20"/>
      <c r="P33" s="20"/>
      <c r="Q33" s="20"/>
      <c r="R33" s="20"/>
      <c r="S33" s="21"/>
      <c r="U33" s="28"/>
    </row>
    <row r="34" spans="1:21" x14ac:dyDescent="0.25">
      <c r="A34" s="536" t="s">
        <v>156</v>
      </c>
      <c r="B34" s="529"/>
      <c r="C34" s="20"/>
      <c r="D34" s="20"/>
      <c r="E34" s="20"/>
      <c r="F34" s="20"/>
      <c r="G34" s="21"/>
      <c r="H34" s="529">
        <v>0.71</v>
      </c>
      <c r="I34" s="20">
        <v>492.80000000000007</v>
      </c>
      <c r="J34" s="20">
        <v>0.2</v>
      </c>
      <c r="K34" s="20">
        <f t="shared" si="18"/>
        <v>98.56</v>
      </c>
      <c r="L34" s="20">
        <f t="shared" si="19"/>
        <v>23.74</v>
      </c>
      <c r="M34" s="21">
        <f t="shared" si="20"/>
        <v>122.3</v>
      </c>
      <c r="N34" s="19"/>
      <c r="O34" s="20"/>
      <c r="P34" s="20"/>
      <c r="Q34" s="20"/>
      <c r="R34" s="20"/>
      <c r="S34" s="21"/>
      <c r="U34" s="28"/>
    </row>
    <row r="35" spans="1:21" x14ac:dyDescent="0.25">
      <c r="A35" s="536" t="s">
        <v>156</v>
      </c>
      <c r="B35" s="529"/>
      <c r="C35" s="20"/>
      <c r="D35" s="20"/>
      <c r="E35" s="20"/>
      <c r="F35" s="20"/>
      <c r="G35" s="21"/>
      <c r="H35" s="529">
        <v>0.61</v>
      </c>
      <c r="I35" s="20">
        <v>422.40000000000003</v>
      </c>
      <c r="J35" s="20">
        <v>0.2</v>
      </c>
      <c r="K35" s="20">
        <f t="shared" si="18"/>
        <v>84.48</v>
      </c>
      <c r="L35" s="20">
        <f t="shared" si="19"/>
        <v>20.350000000000001</v>
      </c>
      <c r="M35" s="21">
        <f t="shared" si="20"/>
        <v>104.83000000000001</v>
      </c>
      <c r="N35" s="19"/>
      <c r="O35" s="20"/>
      <c r="P35" s="20"/>
      <c r="Q35" s="20"/>
      <c r="R35" s="20"/>
      <c r="S35" s="21"/>
      <c r="U35" s="28"/>
    </row>
    <row r="36" spans="1:21" x14ac:dyDescent="0.25">
      <c r="A36" s="536" t="s">
        <v>156</v>
      </c>
      <c r="B36" s="529"/>
      <c r="C36" s="20"/>
      <c r="D36" s="20"/>
      <c r="E36" s="20"/>
      <c r="F36" s="20"/>
      <c r="G36" s="21"/>
      <c r="H36" s="529">
        <v>0.46</v>
      </c>
      <c r="I36" s="20">
        <v>316.8</v>
      </c>
      <c r="J36" s="20">
        <v>0.2</v>
      </c>
      <c r="K36" s="20">
        <f t="shared" si="18"/>
        <v>63.36</v>
      </c>
      <c r="L36" s="20">
        <f t="shared" si="19"/>
        <v>15.26</v>
      </c>
      <c r="M36" s="21">
        <f t="shared" si="20"/>
        <v>78.62</v>
      </c>
      <c r="N36" s="19"/>
      <c r="O36" s="20"/>
      <c r="P36" s="20"/>
      <c r="Q36" s="20"/>
      <c r="R36" s="20"/>
      <c r="S36" s="21"/>
      <c r="U36" s="28"/>
    </row>
    <row r="37" spans="1:21" ht="36" customHeight="1" x14ac:dyDescent="0.25">
      <c r="A37" s="536" t="s">
        <v>11</v>
      </c>
      <c r="B37" s="529"/>
      <c r="C37" s="20"/>
      <c r="D37" s="20"/>
      <c r="E37" s="20"/>
      <c r="F37" s="20"/>
      <c r="G37" s="21"/>
      <c r="H37" s="529"/>
      <c r="I37" s="20"/>
      <c r="J37" s="20"/>
      <c r="K37" s="20"/>
      <c r="L37" s="20"/>
      <c r="M37" s="21"/>
      <c r="N37" s="19"/>
      <c r="O37" s="20"/>
      <c r="P37" s="20"/>
      <c r="Q37" s="20"/>
      <c r="R37" s="20"/>
      <c r="S37" s="21"/>
      <c r="U37" s="28"/>
    </row>
    <row r="38" spans="1:21" x14ac:dyDescent="0.25">
      <c r="A38" s="536" t="s">
        <v>1</v>
      </c>
      <c r="B38" s="529"/>
      <c r="C38" s="20"/>
      <c r="D38" s="20"/>
      <c r="E38" s="20"/>
      <c r="F38" s="20"/>
      <c r="G38" s="21"/>
      <c r="H38" s="529"/>
      <c r="I38" s="20"/>
      <c r="J38" s="20"/>
      <c r="K38" s="20"/>
      <c r="L38" s="20"/>
      <c r="M38" s="21"/>
      <c r="N38" s="19"/>
      <c r="O38" s="20"/>
      <c r="P38" s="20"/>
      <c r="Q38" s="20"/>
      <c r="R38" s="20"/>
      <c r="S38" s="21"/>
      <c r="U38" s="28"/>
    </row>
    <row r="39" spans="1:21" ht="24" customHeight="1" x14ac:dyDescent="0.25">
      <c r="A39" s="535" t="s">
        <v>157</v>
      </c>
      <c r="B39" s="530">
        <f>B40+B54+B70</f>
        <v>8.32</v>
      </c>
      <c r="C39" s="125"/>
      <c r="D39" s="125"/>
      <c r="E39" s="125">
        <f t="shared" ref="E39:G39" si="21">E40+E54+E70</f>
        <v>1853.75</v>
      </c>
      <c r="F39" s="125">
        <f t="shared" si="21"/>
        <v>446.58000000000004</v>
      </c>
      <c r="G39" s="200">
        <f t="shared" si="21"/>
        <v>2300.33</v>
      </c>
      <c r="H39" s="16">
        <f t="shared" ref="H39" si="22">H40+H54+H70+H73</f>
        <v>17.22</v>
      </c>
      <c r="I39" s="16"/>
      <c r="J39" s="16"/>
      <c r="K39" s="16">
        <f>K40+K54+K70+K73</f>
        <v>3737.3700000000003</v>
      </c>
      <c r="L39" s="16">
        <f t="shared" ref="L39:M39" si="23">L40+L54+L70+L73</f>
        <v>900.34</v>
      </c>
      <c r="M39" s="16">
        <f t="shared" si="23"/>
        <v>4637.71</v>
      </c>
      <c r="N39" s="196"/>
      <c r="O39" s="125"/>
      <c r="P39" s="125"/>
      <c r="Q39" s="125"/>
      <c r="R39" s="125"/>
      <c r="S39" s="200"/>
      <c r="U39" s="28"/>
    </row>
    <row r="40" spans="1:21" ht="33" x14ac:dyDescent="0.25">
      <c r="A40" s="536" t="s">
        <v>14</v>
      </c>
      <c r="B40" s="529">
        <f>SUM(B41:B53)</f>
        <v>0.27</v>
      </c>
      <c r="C40" s="20"/>
      <c r="D40" s="20"/>
      <c r="E40" s="20">
        <f t="shared" ref="E40:H40" si="24">SUM(E41:E53)</f>
        <v>120</v>
      </c>
      <c r="F40" s="20">
        <f t="shared" si="24"/>
        <v>28.91</v>
      </c>
      <c r="G40" s="21">
        <f t="shared" si="24"/>
        <v>148.91</v>
      </c>
      <c r="H40" s="30">
        <f t="shared" si="24"/>
        <v>5.9699999999999989</v>
      </c>
      <c r="I40" s="30"/>
      <c r="J40" s="30"/>
      <c r="K40" s="30">
        <f>SUM(K41:K53)</f>
        <v>1959.2700000000004</v>
      </c>
      <c r="L40" s="30">
        <f t="shared" ref="L40:M40" si="25">SUM(L41:L53)</f>
        <v>471.99</v>
      </c>
      <c r="M40" s="30">
        <f t="shared" si="25"/>
        <v>2431.2600000000002</v>
      </c>
      <c r="N40" s="19"/>
      <c r="O40" s="20"/>
      <c r="P40" s="20"/>
      <c r="Q40" s="20"/>
      <c r="R40" s="20"/>
      <c r="S40" s="21"/>
      <c r="U40" s="28"/>
    </row>
    <row r="41" spans="1:21" x14ac:dyDescent="0.25">
      <c r="A41" s="536" t="s">
        <v>80</v>
      </c>
      <c r="B41" s="529">
        <v>0.27</v>
      </c>
      <c r="C41" s="20">
        <v>480</v>
      </c>
      <c r="D41" s="20">
        <v>0.25</v>
      </c>
      <c r="E41" s="838">
        <v>120</v>
      </c>
      <c r="F41" s="838">
        <v>28.91</v>
      </c>
      <c r="G41" s="837">
        <v>148.91</v>
      </c>
      <c r="H41" s="529">
        <v>0.6</v>
      </c>
      <c r="I41" s="20">
        <v>1254</v>
      </c>
      <c r="J41" s="20">
        <v>0.2</v>
      </c>
      <c r="K41" s="20">
        <f t="shared" ref="K41:K53" si="26">ROUND(I41*J41,2)</f>
        <v>250.8</v>
      </c>
      <c r="L41" s="20">
        <f t="shared" ref="L41:L53" si="27">ROUND(K41*0.2409,2)</f>
        <v>60.42</v>
      </c>
      <c r="M41" s="21">
        <f>K41+L41</f>
        <v>311.22000000000003</v>
      </c>
      <c r="N41" s="19"/>
      <c r="O41" s="20"/>
      <c r="P41" s="20"/>
      <c r="Q41" s="20"/>
      <c r="R41" s="20"/>
      <c r="S41" s="21"/>
      <c r="U41" s="28"/>
    </row>
    <row r="42" spans="1:21" x14ac:dyDescent="0.25">
      <c r="A42" s="536" t="s">
        <v>80</v>
      </c>
      <c r="B42" s="529"/>
      <c r="C42" s="20"/>
      <c r="D42" s="20"/>
      <c r="E42" s="20"/>
      <c r="F42" s="20"/>
      <c r="G42" s="21"/>
      <c r="H42" s="529">
        <v>0.6</v>
      </c>
      <c r="I42" s="20">
        <v>1120</v>
      </c>
      <c r="J42" s="20">
        <v>0.2</v>
      </c>
      <c r="K42" s="20">
        <f t="shared" si="26"/>
        <v>224</v>
      </c>
      <c r="L42" s="20">
        <f t="shared" si="27"/>
        <v>53.96</v>
      </c>
      <c r="M42" s="21">
        <f t="shared" ref="M42:M53" si="28">K42+L42</f>
        <v>277.95999999999998</v>
      </c>
      <c r="N42" s="19"/>
      <c r="O42" s="20"/>
      <c r="P42" s="20"/>
      <c r="Q42" s="20"/>
      <c r="R42" s="20"/>
      <c r="S42" s="21"/>
      <c r="U42" s="28"/>
    </row>
    <row r="43" spans="1:21" x14ac:dyDescent="0.25">
      <c r="A43" s="536" t="s">
        <v>80</v>
      </c>
      <c r="B43" s="529"/>
      <c r="C43" s="20"/>
      <c r="D43" s="20"/>
      <c r="E43" s="20"/>
      <c r="F43" s="20"/>
      <c r="G43" s="21"/>
      <c r="H43" s="529">
        <v>0.27</v>
      </c>
      <c r="I43" s="20">
        <v>574.34</v>
      </c>
      <c r="J43" s="20">
        <v>0.2</v>
      </c>
      <c r="K43" s="20">
        <f t="shared" si="26"/>
        <v>114.87</v>
      </c>
      <c r="L43" s="20">
        <f t="shared" si="27"/>
        <v>27.67</v>
      </c>
      <c r="M43" s="21">
        <f t="shared" si="28"/>
        <v>142.54000000000002</v>
      </c>
      <c r="N43" s="19"/>
      <c r="O43" s="20"/>
      <c r="P43" s="20"/>
      <c r="Q43" s="20"/>
      <c r="R43" s="20"/>
      <c r="S43" s="21"/>
      <c r="U43" s="28"/>
    </row>
    <row r="44" spans="1:21" x14ac:dyDescent="0.25">
      <c r="A44" s="536" t="s">
        <v>80</v>
      </c>
      <c r="B44" s="529"/>
      <c r="C44" s="20"/>
      <c r="D44" s="20"/>
      <c r="E44" s="20"/>
      <c r="F44" s="20"/>
      <c r="G44" s="21"/>
      <c r="H44" s="529">
        <v>0.1</v>
      </c>
      <c r="I44" s="20">
        <v>160</v>
      </c>
      <c r="J44" s="20">
        <v>0.2</v>
      </c>
      <c r="K44" s="20">
        <f t="shared" si="26"/>
        <v>32</v>
      </c>
      <c r="L44" s="20">
        <f t="shared" si="27"/>
        <v>7.71</v>
      </c>
      <c r="M44" s="21">
        <f t="shared" si="28"/>
        <v>39.71</v>
      </c>
      <c r="N44" s="19"/>
      <c r="O44" s="20"/>
      <c r="P44" s="20"/>
      <c r="Q44" s="20"/>
      <c r="R44" s="20"/>
      <c r="S44" s="21"/>
      <c r="U44" s="28"/>
    </row>
    <row r="45" spans="1:21" x14ac:dyDescent="0.25">
      <c r="A45" s="536" t="s">
        <v>80</v>
      </c>
      <c r="B45" s="529"/>
      <c r="C45" s="20"/>
      <c r="D45" s="20"/>
      <c r="E45" s="20"/>
      <c r="F45" s="20"/>
      <c r="G45" s="21"/>
      <c r="H45" s="529">
        <v>0.2</v>
      </c>
      <c r="I45" s="20">
        <v>352</v>
      </c>
      <c r="J45" s="20">
        <v>0.2</v>
      </c>
      <c r="K45" s="20">
        <f t="shared" si="26"/>
        <v>70.400000000000006</v>
      </c>
      <c r="L45" s="20">
        <f t="shared" si="27"/>
        <v>16.96</v>
      </c>
      <c r="M45" s="21">
        <f t="shared" si="28"/>
        <v>87.360000000000014</v>
      </c>
      <c r="N45" s="19"/>
      <c r="O45" s="20"/>
      <c r="P45" s="20"/>
      <c r="Q45" s="20"/>
      <c r="R45" s="20"/>
      <c r="S45" s="21"/>
      <c r="U45" s="28"/>
    </row>
    <row r="46" spans="1:21" x14ac:dyDescent="0.25">
      <c r="A46" s="536" t="s">
        <v>80</v>
      </c>
      <c r="B46" s="529"/>
      <c r="C46" s="20"/>
      <c r="D46" s="20"/>
      <c r="E46" s="20"/>
      <c r="F46" s="20"/>
      <c r="G46" s="21"/>
      <c r="H46" s="529">
        <v>0.76</v>
      </c>
      <c r="I46" s="20">
        <v>1200</v>
      </c>
      <c r="J46" s="20">
        <v>0.2</v>
      </c>
      <c r="K46" s="20">
        <f t="shared" si="26"/>
        <v>240</v>
      </c>
      <c r="L46" s="20">
        <f t="shared" si="27"/>
        <v>57.82</v>
      </c>
      <c r="M46" s="21">
        <f t="shared" si="28"/>
        <v>297.82</v>
      </c>
      <c r="N46" s="19"/>
      <c r="O46" s="20"/>
      <c r="P46" s="20"/>
      <c r="Q46" s="20"/>
      <c r="R46" s="20"/>
      <c r="S46" s="21"/>
      <c r="U46" s="28"/>
    </row>
    <row r="47" spans="1:21" x14ac:dyDescent="0.25">
      <c r="A47" s="536" t="s">
        <v>80</v>
      </c>
      <c r="B47" s="529"/>
      <c r="C47" s="20"/>
      <c r="D47" s="20"/>
      <c r="E47" s="20"/>
      <c r="F47" s="20"/>
      <c r="G47" s="21"/>
      <c r="H47" s="529">
        <v>0.71</v>
      </c>
      <c r="I47" s="20">
        <v>1120</v>
      </c>
      <c r="J47" s="20">
        <v>0.2</v>
      </c>
      <c r="K47" s="20">
        <f t="shared" si="26"/>
        <v>224</v>
      </c>
      <c r="L47" s="20">
        <f t="shared" si="27"/>
        <v>53.96</v>
      </c>
      <c r="M47" s="21">
        <f t="shared" si="28"/>
        <v>277.95999999999998</v>
      </c>
      <c r="N47" s="19"/>
      <c r="O47" s="20"/>
      <c r="P47" s="20"/>
      <c r="Q47" s="20"/>
      <c r="R47" s="20"/>
      <c r="S47" s="21"/>
      <c r="U47" s="28"/>
    </row>
    <row r="48" spans="1:21" x14ac:dyDescent="0.25">
      <c r="A48" s="536" t="s">
        <v>80</v>
      </c>
      <c r="B48" s="529"/>
      <c r="C48" s="20"/>
      <c r="D48" s="20"/>
      <c r="E48" s="20"/>
      <c r="F48" s="20"/>
      <c r="G48" s="21"/>
      <c r="H48" s="529">
        <v>0.61</v>
      </c>
      <c r="I48" s="20">
        <v>960</v>
      </c>
      <c r="J48" s="20">
        <v>0.2</v>
      </c>
      <c r="K48" s="20">
        <f t="shared" si="26"/>
        <v>192</v>
      </c>
      <c r="L48" s="20">
        <f t="shared" si="27"/>
        <v>46.25</v>
      </c>
      <c r="M48" s="21">
        <f t="shared" si="28"/>
        <v>238.25</v>
      </c>
      <c r="N48" s="19"/>
      <c r="O48" s="20"/>
      <c r="P48" s="20"/>
      <c r="Q48" s="20"/>
      <c r="R48" s="20"/>
      <c r="S48" s="21"/>
      <c r="U48" s="28"/>
    </row>
    <row r="49" spans="1:21" x14ac:dyDescent="0.25">
      <c r="A49" s="536" t="s">
        <v>80</v>
      </c>
      <c r="B49" s="529"/>
      <c r="C49" s="20"/>
      <c r="D49" s="20"/>
      <c r="E49" s="20"/>
      <c r="F49" s="20"/>
      <c r="G49" s="21"/>
      <c r="H49" s="529">
        <v>0.2</v>
      </c>
      <c r="I49" s="20">
        <v>320</v>
      </c>
      <c r="J49" s="20">
        <v>0.2</v>
      </c>
      <c r="K49" s="20">
        <f t="shared" si="26"/>
        <v>64</v>
      </c>
      <c r="L49" s="20">
        <f t="shared" si="27"/>
        <v>15.42</v>
      </c>
      <c r="M49" s="21">
        <f t="shared" si="28"/>
        <v>79.42</v>
      </c>
      <c r="N49" s="19"/>
      <c r="O49" s="20"/>
      <c r="P49" s="20"/>
      <c r="Q49" s="20"/>
      <c r="R49" s="20"/>
      <c r="S49" s="21"/>
      <c r="U49" s="28"/>
    </row>
    <row r="50" spans="1:21" x14ac:dyDescent="0.25">
      <c r="A50" s="536" t="s">
        <v>80</v>
      </c>
      <c r="B50" s="529"/>
      <c r="C50" s="20"/>
      <c r="D50" s="20"/>
      <c r="E50" s="20"/>
      <c r="F50" s="20"/>
      <c r="G50" s="21"/>
      <c r="H50" s="529">
        <v>0.1</v>
      </c>
      <c r="I50" s="20">
        <v>144</v>
      </c>
      <c r="J50" s="20">
        <v>0.2</v>
      </c>
      <c r="K50" s="20">
        <f t="shared" si="26"/>
        <v>28.8</v>
      </c>
      <c r="L50" s="20">
        <f t="shared" si="27"/>
        <v>6.94</v>
      </c>
      <c r="M50" s="21">
        <f t="shared" si="28"/>
        <v>35.74</v>
      </c>
      <c r="N50" s="19"/>
      <c r="O50" s="20"/>
      <c r="P50" s="20"/>
      <c r="Q50" s="20"/>
      <c r="R50" s="20"/>
      <c r="S50" s="21"/>
      <c r="U50" s="28"/>
    </row>
    <row r="51" spans="1:21" x14ac:dyDescent="0.25">
      <c r="A51" s="536" t="s">
        <v>80</v>
      </c>
      <c r="B51" s="529"/>
      <c r="C51" s="20"/>
      <c r="D51" s="20"/>
      <c r="E51" s="20"/>
      <c r="F51" s="20"/>
      <c r="G51" s="21"/>
      <c r="H51" s="529">
        <v>1.22</v>
      </c>
      <c r="I51" s="20">
        <v>1728</v>
      </c>
      <c r="J51" s="20">
        <v>0.2</v>
      </c>
      <c r="K51" s="20">
        <f t="shared" si="26"/>
        <v>345.6</v>
      </c>
      <c r="L51" s="20">
        <f t="shared" si="27"/>
        <v>83.26</v>
      </c>
      <c r="M51" s="21">
        <f t="shared" si="28"/>
        <v>428.86</v>
      </c>
      <c r="N51" s="19"/>
      <c r="O51" s="20"/>
      <c r="P51" s="20"/>
      <c r="Q51" s="20"/>
      <c r="R51" s="20"/>
      <c r="S51" s="21"/>
      <c r="U51" s="28"/>
    </row>
    <row r="52" spans="1:21" x14ac:dyDescent="0.25">
      <c r="A52" s="536" t="s">
        <v>80</v>
      </c>
      <c r="B52" s="529"/>
      <c r="C52" s="20"/>
      <c r="D52" s="20"/>
      <c r="E52" s="20"/>
      <c r="F52" s="20"/>
      <c r="G52" s="21"/>
      <c r="H52" s="529">
        <v>0.3</v>
      </c>
      <c r="I52" s="20">
        <v>432</v>
      </c>
      <c r="J52" s="20">
        <v>0.2</v>
      </c>
      <c r="K52" s="20">
        <f t="shared" si="26"/>
        <v>86.4</v>
      </c>
      <c r="L52" s="20">
        <f t="shared" si="27"/>
        <v>20.81</v>
      </c>
      <c r="M52" s="21">
        <f t="shared" si="28"/>
        <v>107.21000000000001</v>
      </c>
      <c r="N52" s="19"/>
      <c r="O52" s="20"/>
      <c r="P52" s="20"/>
      <c r="Q52" s="20"/>
      <c r="R52" s="20"/>
      <c r="S52" s="21"/>
      <c r="U52" s="28"/>
    </row>
    <row r="53" spans="1:21" x14ac:dyDescent="0.25">
      <c r="A53" s="536" t="s">
        <v>80</v>
      </c>
      <c r="B53" s="529"/>
      <c r="C53" s="20"/>
      <c r="D53" s="20"/>
      <c r="E53" s="20"/>
      <c r="F53" s="20"/>
      <c r="G53" s="21"/>
      <c r="H53" s="529">
        <v>0.3</v>
      </c>
      <c r="I53" s="20">
        <v>432</v>
      </c>
      <c r="J53" s="20">
        <v>0.2</v>
      </c>
      <c r="K53" s="20">
        <f t="shared" si="26"/>
        <v>86.4</v>
      </c>
      <c r="L53" s="20">
        <f t="shared" si="27"/>
        <v>20.81</v>
      </c>
      <c r="M53" s="21">
        <f t="shared" si="28"/>
        <v>107.21000000000001</v>
      </c>
      <c r="N53" s="19"/>
      <c r="O53" s="20"/>
      <c r="P53" s="20"/>
      <c r="Q53" s="20"/>
      <c r="R53" s="20"/>
      <c r="S53" s="21"/>
      <c r="U53" s="28"/>
    </row>
    <row r="54" spans="1:21" ht="49.5" customHeight="1" x14ac:dyDescent="0.25">
      <c r="A54" s="536" t="s">
        <v>12</v>
      </c>
      <c r="B54" s="529">
        <f>SUM(B55:B69)</f>
        <v>5.55</v>
      </c>
      <c r="C54" s="20"/>
      <c r="D54" s="20"/>
      <c r="E54" s="20">
        <f t="shared" ref="E54:G54" si="29">SUM(E55:E69)</f>
        <v>1310</v>
      </c>
      <c r="F54" s="20">
        <f t="shared" si="29"/>
        <v>315.59000000000003</v>
      </c>
      <c r="G54" s="21">
        <f t="shared" si="29"/>
        <v>1625.59</v>
      </c>
      <c r="H54" s="30">
        <f t="shared" ref="H54" si="30">SUM(H55:H67)</f>
        <v>6.0600000000000005</v>
      </c>
      <c r="I54" s="30"/>
      <c r="J54" s="30"/>
      <c r="K54" s="30">
        <f>SUM(K55:K67)</f>
        <v>1130.3599999999999</v>
      </c>
      <c r="L54" s="30">
        <f t="shared" ref="L54:M54" si="31">SUM(L55:L67)</f>
        <v>272.3</v>
      </c>
      <c r="M54" s="30">
        <f t="shared" si="31"/>
        <v>1402.6599999999999</v>
      </c>
      <c r="N54" s="19"/>
      <c r="O54" s="20"/>
      <c r="P54" s="20"/>
      <c r="Q54" s="20"/>
      <c r="R54" s="20"/>
      <c r="S54" s="21"/>
      <c r="U54" s="28"/>
    </row>
    <row r="55" spans="1:21" x14ac:dyDescent="0.25">
      <c r="A55" s="536" t="s">
        <v>16</v>
      </c>
      <c r="B55" s="529"/>
      <c r="C55" s="20"/>
      <c r="D55" s="20"/>
      <c r="E55" s="20"/>
      <c r="F55" s="20"/>
      <c r="G55" s="21"/>
      <c r="H55" s="529">
        <v>0.45</v>
      </c>
      <c r="I55" s="20">
        <v>495</v>
      </c>
      <c r="J55" s="20">
        <v>0.2</v>
      </c>
      <c r="K55" s="20">
        <f t="shared" ref="K55:K67" si="32">ROUND(I55*J55,2)</f>
        <v>99</v>
      </c>
      <c r="L55" s="20">
        <f t="shared" ref="L55:L67" si="33">ROUND(K55*0.2409,2)</f>
        <v>23.85</v>
      </c>
      <c r="M55" s="21">
        <f>K55+L55</f>
        <v>122.85</v>
      </c>
      <c r="N55" s="19"/>
      <c r="O55" s="20"/>
      <c r="P55" s="20"/>
      <c r="Q55" s="20"/>
      <c r="R55" s="20"/>
      <c r="S55" s="21"/>
      <c r="U55" s="28"/>
    </row>
    <row r="56" spans="1:21" x14ac:dyDescent="0.25">
      <c r="A56" s="536" t="s">
        <v>17</v>
      </c>
      <c r="B56" s="529">
        <v>1.1399999999999999</v>
      </c>
      <c r="C56" s="20">
        <v>1100</v>
      </c>
      <c r="D56" s="20">
        <v>0.25</v>
      </c>
      <c r="E56" s="838">
        <f t="shared" ref="E56:E59" si="34">ROUND(C56*D56,2)</f>
        <v>275</v>
      </c>
      <c r="F56" s="838">
        <f t="shared" ref="F56:F59" si="35">ROUND(E56*0.2409,2)</f>
        <v>66.25</v>
      </c>
      <c r="G56" s="837">
        <f t="shared" ref="G56:G59" si="36">E56+F56</f>
        <v>341.25</v>
      </c>
      <c r="H56" s="529">
        <v>0.86</v>
      </c>
      <c r="I56" s="20">
        <v>822.8</v>
      </c>
      <c r="J56" s="20">
        <v>0.2</v>
      </c>
      <c r="K56" s="20">
        <f t="shared" si="32"/>
        <v>164.56</v>
      </c>
      <c r="L56" s="20">
        <f t="shared" si="33"/>
        <v>39.64</v>
      </c>
      <c r="M56" s="21">
        <f t="shared" ref="M56:M67" si="37">K56+L56</f>
        <v>204.2</v>
      </c>
      <c r="N56" s="19"/>
      <c r="O56" s="20"/>
      <c r="P56" s="20"/>
      <c r="Q56" s="20"/>
      <c r="R56" s="20"/>
      <c r="S56" s="21"/>
      <c r="U56" s="28"/>
    </row>
    <row r="57" spans="1:21" x14ac:dyDescent="0.25">
      <c r="A57" s="536" t="s">
        <v>17</v>
      </c>
      <c r="B57" s="529">
        <v>1</v>
      </c>
      <c r="C57" s="20">
        <v>968</v>
      </c>
      <c r="D57" s="20">
        <v>0.25</v>
      </c>
      <c r="E57" s="838">
        <f t="shared" si="34"/>
        <v>242</v>
      </c>
      <c r="F57" s="838">
        <f t="shared" si="35"/>
        <v>58.3</v>
      </c>
      <c r="G57" s="837">
        <f t="shared" si="36"/>
        <v>300.3</v>
      </c>
      <c r="H57" s="529">
        <v>0.3</v>
      </c>
      <c r="I57" s="20">
        <v>264</v>
      </c>
      <c r="J57" s="20">
        <v>0.2</v>
      </c>
      <c r="K57" s="20">
        <f t="shared" si="32"/>
        <v>52.8</v>
      </c>
      <c r="L57" s="20">
        <f t="shared" si="33"/>
        <v>12.72</v>
      </c>
      <c r="M57" s="21">
        <f t="shared" si="37"/>
        <v>65.52</v>
      </c>
      <c r="N57" s="19"/>
      <c r="O57" s="20"/>
      <c r="P57" s="20"/>
      <c r="Q57" s="20"/>
      <c r="R57" s="20"/>
      <c r="S57" s="21"/>
      <c r="U57" s="28"/>
    </row>
    <row r="58" spans="1:21" x14ac:dyDescent="0.25">
      <c r="A58" s="536" t="s">
        <v>17</v>
      </c>
      <c r="B58" s="529">
        <v>0.64</v>
      </c>
      <c r="C58" s="20">
        <v>616</v>
      </c>
      <c r="D58" s="20">
        <v>0.25</v>
      </c>
      <c r="E58" s="838">
        <f t="shared" si="34"/>
        <v>154</v>
      </c>
      <c r="F58" s="838">
        <f t="shared" si="35"/>
        <v>37.1</v>
      </c>
      <c r="G58" s="837">
        <f t="shared" si="36"/>
        <v>191.1</v>
      </c>
      <c r="H58" s="529">
        <v>0.46</v>
      </c>
      <c r="I58" s="20">
        <v>396</v>
      </c>
      <c r="J58" s="20">
        <v>0.2</v>
      </c>
      <c r="K58" s="20">
        <f t="shared" si="32"/>
        <v>79.2</v>
      </c>
      <c r="L58" s="20">
        <f t="shared" si="33"/>
        <v>19.079999999999998</v>
      </c>
      <c r="M58" s="21">
        <f t="shared" si="37"/>
        <v>98.28</v>
      </c>
      <c r="N58" s="19"/>
      <c r="O58" s="20"/>
      <c r="P58" s="20"/>
      <c r="Q58" s="20"/>
      <c r="R58" s="20"/>
      <c r="S58" s="21"/>
      <c r="U58" s="28"/>
    </row>
    <row r="59" spans="1:21" x14ac:dyDescent="0.25">
      <c r="A59" s="536" t="s">
        <v>17</v>
      </c>
      <c r="B59" s="529">
        <v>0.95</v>
      </c>
      <c r="C59" s="20">
        <v>1016</v>
      </c>
      <c r="D59" s="20">
        <v>0.25</v>
      </c>
      <c r="E59" s="838">
        <f t="shared" si="34"/>
        <v>254</v>
      </c>
      <c r="F59" s="838">
        <f t="shared" si="35"/>
        <v>61.19</v>
      </c>
      <c r="G59" s="837">
        <f t="shared" si="36"/>
        <v>315.19</v>
      </c>
      <c r="H59" s="529">
        <v>0.91</v>
      </c>
      <c r="I59" s="20">
        <v>871.19999999999993</v>
      </c>
      <c r="J59" s="20">
        <v>0.2</v>
      </c>
      <c r="K59" s="20">
        <f t="shared" si="32"/>
        <v>174.24</v>
      </c>
      <c r="L59" s="20">
        <f t="shared" si="33"/>
        <v>41.97</v>
      </c>
      <c r="M59" s="21">
        <f t="shared" si="37"/>
        <v>216.21</v>
      </c>
      <c r="N59" s="19"/>
      <c r="O59" s="20"/>
      <c r="P59" s="20"/>
      <c r="Q59" s="20"/>
      <c r="R59" s="20"/>
      <c r="S59" s="21"/>
      <c r="U59" s="28"/>
    </row>
    <row r="60" spans="1:21" x14ac:dyDescent="0.25">
      <c r="A60" s="536" t="s">
        <v>17</v>
      </c>
      <c r="B60" s="529"/>
      <c r="C60" s="20"/>
      <c r="D60" s="20"/>
      <c r="E60" s="20"/>
      <c r="F60" s="20"/>
      <c r="G60" s="21"/>
      <c r="H60" s="529">
        <v>0.76</v>
      </c>
      <c r="I60" s="20">
        <v>660</v>
      </c>
      <c r="J60" s="20">
        <v>0.2</v>
      </c>
      <c r="K60" s="20">
        <f t="shared" si="32"/>
        <v>132</v>
      </c>
      <c r="L60" s="20">
        <f t="shared" si="33"/>
        <v>31.8</v>
      </c>
      <c r="M60" s="21">
        <f t="shared" si="37"/>
        <v>163.80000000000001</v>
      </c>
      <c r="N60" s="19"/>
      <c r="O60" s="20"/>
      <c r="P60" s="20"/>
      <c r="Q60" s="20"/>
      <c r="R60" s="20"/>
      <c r="S60" s="21"/>
      <c r="U60" s="28"/>
    </row>
    <row r="61" spans="1:21" x14ac:dyDescent="0.25">
      <c r="A61" s="536" t="s">
        <v>17</v>
      </c>
      <c r="B61" s="529"/>
      <c r="C61" s="20"/>
      <c r="D61" s="20"/>
      <c r="E61" s="20"/>
      <c r="F61" s="20"/>
      <c r="G61" s="21"/>
      <c r="H61" s="529">
        <v>0.3</v>
      </c>
      <c r="I61" s="20">
        <v>264</v>
      </c>
      <c r="J61" s="20">
        <v>0.2</v>
      </c>
      <c r="K61" s="20">
        <f t="shared" si="32"/>
        <v>52.8</v>
      </c>
      <c r="L61" s="20">
        <f t="shared" si="33"/>
        <v>12.72</v>
      </c>
      <c r="M61" s="21">
        <f t="shared" si="37"/>
        <v>65.52</v>
      </c>
      <c r="N61" s="19"/>
      <c r="O61" s="20"/>
      <c r="P61" s="20"/>
      <c r="Q61" s="20"/>
      <c r="R61" s="20"/>
      <c r="S61" s="21"/>
      <c r="U61" s="28"/>
    </row>
    <row r="62" spans="1:21" x14ac:dyDescent="0.25">
      <c r="A62" s="536" t="s">
        <v>17</v>
      </c>
      <c r="B62" s="529"/>
      <c r="C62" s="20"/>
      <c r="D62" s="20"/>
      <c r="E62" s="20"/>
      <c r="F62" s="20"/>
      <c r="G62" s="21"/>
      <c r="H62" s="529">
        <v>0.66</v>
      </c>
      <c r="I62" s="20">
        <v>629.19999999999993</v>
      </c>
      <c r="J62" s="20">
        <v>0.2</v>
      </c>
      <c r="K62" s="20">
        <f t="shared" si="32"/>
        <v>125.84</v>
      </c>
      <c r="L62" s="20">
        <f t="shared" si="33"/>
        <v>30.31</v>
      </c>
      <c r="M62" s="21">
        <f t="shared" si="37"/>
        <v>156.15</v>
      </c>
      <c r="N62" s="19"/>
      <c r="O62" s="20"/>
      <c r="P62" s="20"/>
      <c r="Q62" s="20"/>
      <c r="R62" s="20"/>
      <c r="S62" s="21"/>
      <c r="U62" s="28"/>
    </row>
    <row r="63" spans="1:21" x14ac:dyDescent="0.25">
      <c r="A63" s="536" t="s">
        <v>17</v>
      </c>
      <c r="B63" s="529"/>
      <c r="C63" s="20"/>
      <c r="D63" s="20"/>
      <c r="E63" s="20"/>
      <c r="F63" s="20"/>
      <c r="G63" s="21"/>
      <c r="H63" s="529">
        <v>0.3</v>
      </c>
      <c r="I63" s="20">
        <v>264</v>
      </c>
      <c r="J63" s="20">
        <v>0.2</v>
      </c>
      <c r="K63" s="20">
        <f t="shared" si="32"/>
        <v>52.8</v>
      </c>
      <c r="L63" s="20">
        <f t="shared" si="33"/>
        <v>12.72</v>
      </c>
      <c r="M63" s="21">
        <f t="shared" si="37"/>
        <v>65.52</v>
      </c>
      <c r="N63" s="19"/>
      <c r="O63" s="20"/>
      <c r="P63" s="20"/>
      <c r="Q63" s="20"/>
      <c r="R63" s="20"/>
      <c r="S63" s="21"/>
      <c r="U63" s="28"/>
    </row>
    <row r="64" spans="1:21" x14ac:dyDescent="0.25">
      <c r="A64" s="536" t="s">
        <v>17</v>
      </c>
      <c r="B64" s="529"/>
      <c r="C64" s="20"/>
      <c r="D64" s="20"/>
      <c r="E64" s="20"/>
      <c r="F64" s="20"/>
      <c r="G64" s="21"/>
      <c r="H64" s="529">
        <v>0.41</v>
      </c>
      <c r="I64" s="20">
        <v>387.2</v>
      </c>
      <c r="J64" s="20">
        <v>0.2</v>
      </c>
      <c r="K64" s="20">
        <f t="shared" si="32"/>
        <v>77.44</v>
      </c>
      <c r="L64" s="20">
        <f t="shared" si="33"/>
        <v>18.66</v>
      </c>
      <c r="M64" s="21">
        <f t="shared" si="37"/>
        <v>96.1</v>
      </c>
      <c r="N64" s="19"/>
      <c r="O64" s="20"/>
      <c r="P64" s="20"/>
      <c r="Q64" s="20"/>
      <c r="R64" s="20"/>
      <c r="S64" s="21"/>
      <c r="U64" s="28"/>
    </row>
    <row r="65" spans="1:21" x14ac:dyDescent="0.25">
      <c r="A65" s="536" t="s">
        <v>17</v>
      </c>
      <c r="B65" s="529"/>
      <c r="C65" s="20"/>
      <c r="D65" s="20"/>
      <c r="E65" s="20"/>
      <c r="F65" s="20"/>
      <c r="G65" s="21"/>
      <c r="H65" s="529">
        <v>0.2</v>
      </c>
      <c r="I65" s="20">
        <v>176</v>
      </c>
      <c r="J65" s="20">
        <v>0.2</v>
      </c>
      <c r="K65" s="20">
        <f t="shared" si="32"/>
        <v>35.200000000000003</v>
      </c>
      <c r="L65" s="20">
        <f t="shared" si="33"/>
        <v>8.48</v>
      </c>
      <c r="M65" s="21">
        <f t="shared" si="37"/>
        <v>43.680000000000007</v>
      </c>
      <c r="N65" s="19"/>
      <c r="O65" s="20"/>
      <c r="P65" s="20"/>
      <c r="Q65" s="20"/>
      <c r="R65" s="20"/>
      <c r="S65" s="21"/>
      <c r="U65" s="28"/>
    </row>
    <row r="66" spans="1:21" x14ac:dyDescent="0.25">
      <c r="A66" s="536" t="s">
        <v>17</v>
      </c>
      <c r="B66" s="529"/>
      <c r="C66" s="20"/>
      <c r="D66" s="20"/>
      <c r="E66" s="20"/>
      <c r="F66" s="20"/>
      <c r="G66" s="21"/>
      <c r="H66" s="529">
        <v>0.3</v>
      </c>
      <c r="I66" s="20">
        <v>290.39999999999998</v>
      </c>
      <c r="J66" s="20">
        <v>0.2</v>
      </c>
      <c r="K66" s="20">
        <f t="shared" si="32"/>
        <v>58.08</v>
      </c>
      <c r="L66" s="20">
        <f t="shared" si="33"/>
        <v>13.99</v>
      </c>
      <c r="M66" s="21">
        <f t="shared" si="37"/>
        <v>72.069999999999993</v>
      </c>
      <c r="N66" s="19"/>
      <c r="O66" s="20"/>
      <c r="P66" s="20"/>
      <c r="Q66" s="20"/>
      <c r="R66" s="20"/>
      <c r="S66" s="21"/>
      <c r="U66" s="28"/>
    </row>
    <row r="67" spans="1:21" x14ac:dyDescent="0.25">
      <c r="A67" s="536" t="s">
        <v>17</v>
      </c>
      <c r="B67" s="529"/>
      <c r="C67" s="20"/>
      <c r="D67" s="20"/>
      <c r="E67" s="20"/>
      <c r="F67" s="20"/>
      <c r="G67" s="21"/>
      <c r="H67" s="529">
        <v>0.15</v>
      </c>
      <c r="I67" s="20">
        <v>132</v>
      </c>
      <c r="J67" s="20">
        <v>0.2</v>
      </c>
      <c r="K67" s="20">
        <f t="shared" si="32"/>
        <v>26.4</v>
      </c>
      <c r="L67" s="20">
        <f t="shared" si="33"/>
        <v>6.36</v>
      </c>
      <c r="M67" s="21">
        <f t="shared" si="37"/>
        <v>32.76</v>
      </c>
      <c r="N67" s="19"/>
      <c r="O67" s="20"/>
      <c r="P67" s="20"/>
      <c r="Q67" s="20"/>
      <c r="R67" s="20"/>
      <c r="S67" s="21"/>
      <c r="U67" s="28"/>
    </row>
    <row r="68" spans="1:21" x14ac:dyDescent="0.25">
      <c r="A68" s="536" t="s">
        <v>231</v>
      </c>
      <c r="B68" s="529">
        <v>0.94</v>
      </c>
      <c r="C68" s="20">
        <v>792</v>
      </c>
      <c r="D68" s="20">
        <v>0.25</v>
      </c>
      <c r="E68" s="838">
        <f t="shared" ref="E68:E69" si="38">ROUND(C68*D68,2)</f>
        <v>198</v>
      </c>
      <c r="F68" s="838">
        <f t="shared" ref="F68:F69" si="39">ROUND(E68*0.2409,2)</f>
        <v>47.7</v>
      </c>
      <c r="G68" s="837">
        <f t="shared" ref="G68:G69" si="40">E68+F68</f>
        <v>245.7</v>
      </c>
      <c r="H68" s="529"/>
      <c r="I68" s="20"/>
      <c r="J68" s="20"/>
      <c r="K68" s="20"/>
      <c r="L68" s="20"/>
      <c r="M68" s="168"/>
      <c r="N68" s="19"/>
      <c r="O68" s="20"/>
      <c r="P68" s="20"/>
      <c r="Q68" s="20"/>
      <c r="R68" s="20"/>
      <c r="S68" s="21"/>
      <c r="U68" s="28"/>
    </row>
    <row r="69" spans="1:21" x14ac:dyDescent="0.25">
      <c r="A69" s="536" t="s">
        <v>231</v>
      </c>
      <c r="B69" s="529">
        <v>0.88</v>
      </c>
      <c r="C69" s="20">
        <v>748</v>
      </c>
      <c r="D69" s="20">
        <v>0.25</v>
      </c>
      <c r="E69" s="838">
        <f t="shared" si="38"/>
        <v>187</v>
      </c>
      <c r="F69" s="838">
        <f t="shared" si="39"/>
        <v>45.05</v>
      </c>
      <c r="G69" s="837">
        <f t="shared" si="40"/>
        <v>232.05</v>
      </c>
      <c r="H69" s="529"/>
      <c r="I69" s="20"/>
      <c r="J69" s="20"/>
      <c r="K69" s="20"/>
      <c r="L69" s="20"/>
      <c r="M69" s="168"/>
      <c r="N69" s="19"/>
      <c r="O69" s="20"/>
      <c r="P69" s="20"/>
      <c r="Q69" s="20"/>
      <c r="R69" s="20"/>
      <c r="S69" s="21"/>
      <c r="U69" s="28"/>
    </row>
    <row r="70" spans="1:21" ht="64.5" customHeight="1" x14ac:dyDescent="0.25">
      <c r="A70" s="536" t="s">
        <v>13</v>
      </c>
      <c r="B70" s="529">
        <f>SUM(B71:B79)</f>
        <v>2.5</v>
      </c>
      <c r="C70" s="20"/>
      <c r="D70" s="20"/>
      <c r="E70" s="20">
        <f t="shared" ref="E70:G70" si="41">SUM(E71:E79)</f>
        <v>423.75</v>
      </c>
      <c r="F70" s="20">
        <f t="shared" si="41"/>
        <v>102.08</v>
      </c>
      <c r="G70" s="21">
        <f t="shared" si="41"/>
        <v>525.82999999999993</v>
      </c>
      <c r="H70" s="30">
        <f t="shared" ref="H70" si="42">SUM(H71:H72)</f>
        <v>1.1600000000000001</v>
      </c>
      <c r="I70" s="30"/>
      <c r="J70" s="30"/>
      <c r="K70" s="30">
        <f>SUM(K71:K72)</f>
        <v>164.39999999999998</v>
      </c>
      <c r="L70" s="30">
        <f t="shared" ref="L70:M70" si="43">SUM(L71:L72)</f>
        <v>39.6</v>
      </c>
      <c r="M70" s="30">
        <f t="shared" si="43"/>
        <v>204</v>
      </c>
      <c r="N70" s="19"/>
      <c r="O70" s="20"/>
      <c r="P70" s="20"/>
      <c r="Q70" s="20"/>
      <c r="R70" s="20"/>
      <c r="S70" s="21"/>
      <c r="U70" s="28"/>
    </row>
    <row r="71" spans="1:21" x14ac:dyDescent="0.25">
      <c r="A71" s="536" t="s">
        <v>156</v>
      </c>
      <c r="B71" s="529"/>
      <c r="C71" s="20"/>
      <c r="D71" s="20"/>
      <c r="E71" s="20"/>
      <c r="F71" s="20"/>
      <c r="G71" s="21"/>
      <c r="H71" s="529">
        <v>0.4</v>
      </c>
      <c r="I71" s="20">
        <v>294</v>
      </c>
      <c r="J71" s="20">
        <v>0.2</v>
      </c>
      <c r="K71" s="20">
        <f t="shared" ref="K71:K72" si="44">ROUND(I71*J71,2)</f>
        <v>58.8</v>
      </c>
      <c r="L71" s="20">
        <f t="shared" ref="L71:L72" si="45">ROUND(K71*0.2409,2)</f>
        <v>14.16</v>
      </c>
      <c r="M71" s="21">
        <f t="shared" ref="M71:M72" si="46">K71+L71</f>
        <v>72.959999999999994</v>
      </c>
      <c r="N71" s="19"/>
      <c r="O71" s="20"/>
      <c r="P71" s="20"/>
      <c r="Q71" s="20"/>
      <c r="R71" s="20"/>
      <c r="S71" s="21"/>
      <c r="U71" s="28"/>
    </row>
    <row r="72" spans="1:21" x14ac:dyDescent="0.25">
      <c r="A72" s="536" t="s">
        <v>156</v>
      </c>
      <c r="B72" s="529"/>
      <c r="C72" s="20"/>
      <c r="D72" s="20"/>
      <c r="E72" s="20"/>
      <c r="F72" s="20"/>
      <c r="G72" s="21"/>
      <c r="H72" s="529">
        <v>0.76</v>
      </c>
      <c r="I72" s="20">
        <v>528</v>
      </c>
      <c r="J72" s="20">
        <v>0.2</v>
      </c>
      <c r="K72" s="20">
        <f t="shared" si="44"/>
        <v>105.6</v>
      </c>
      <c r="L72" s="20">
        <f t="shared" si="45"/>
        <v>25.44</v>
      </c>
      <c r="M72" s="21">
        <f t="shared" si="46"/>
        <v>131.04</v>
      </c>
      <c r="N72" s="19"/>
      <c r="O72" s="20"/>
      <c r="P72" s="20"/>
      <c r="Q72" s="20"/>
      <c r="R72" s="20"/>
      <c r="S72" s="21"/>
      <c r="U72" s="28"/>
    </row>
    <row r="73" spans="1:21" ht="37.5" customHeight="1" x14ac:dyDescent="0.25">
      <c r="A73" s="536" t="s">
        <v>11</v>
      </c>
      <c r="B73" s="529"/>
      <c r="C73" s="20"/>
      <c r="D73" s="20"/>
      <c r="E73" s="20"/>
      <c r="F73" s="20"/>
      <c r="G73" s="21"/>
      <c r="H73" s="30">
        <f t="shared" ref="H73" si="47">SUM(H74:H79)</f>
        <v>4.03</v>
      </c>
      <c r="I73" s="30"/>
      <c r="J73" s="30"/>
      <c r="K73" s="30">
        <f>SUM(K74:K79)</f>
        <v>483.34</v>
      </c>
      <c r="L73" s="30">
        <f t="shared" ref="L73:M73" si="48">SUM(L74:L79)</f>
        <v>116.45000000000002</v>
      </c>
      <c r="M73" s="30">
        <f t="shared" si="48"/>
        <v>599.79</v>
      </c>
      <c r="N73" s="19"/>
      <c r="O73" s="20"/>
      <c r="P73" s="20"/>
      <c r="Q73" s="20"/>
      <c r="R73" s="20"/>
      <c r="S73" s="21"/>
      <c r="U73" s="28"/>
    </row>
    <row r="74" spans="1:21" x14ac:dyDescent="0.25">
      <c r="A74" s="536" t="s">
        <v>19</v>
      </c>
      <c r="B74" s="529">
        <v>1</v>
      </c>
      <c r="C74" s="20">
        <v>678</v>
      </c>
      <c r="D74" s="20">
        <v>0.25</v>
      </c>
      <c r="E74" s="838">
        <f>ROUND(C74*D74,2)</f>
        <v>169.5</v>
      </c>
      <c r="F74" s="838">
        <f>ROUND(E74*0.2409,2)</f>
        <v>40.83</v>
      </c>
      <c r="G74" s="837">
        <f>E74+F74</f>
        <v>210.32999999999998</v>
      </c>
      <c r="H74" s="529">
        <v>0.61</v>
      </c>
      <c r="I74" s="20">
        <v>369.6</v>
      </c>
      <c r="J74" s="20">
        <v>0.2</v>
      </c>
      <c r="K74" s="20">
        <f t="shared" ref="K74:K79" si="49">ROUND(I74*J74,2)</f>
        <v>73.92</v>
      </c>
      <c r="L74" s="20">
        <f t="shared" ref="L74:L79" si="50">ROUND(K74*0.2409,2)</f>
        <v>17.809999999999999</v>
      </c>
      <c r="M74" s="21">
        <f t="shared" ref="M74:M79" si="51">K74+L74</f>
        <v>91.73</v>
      </c>
      <c r="N74" s="19"/>
      <c r="O74" s="20"/>
      <c r="P74" s="20"/>
      <c r="Q74" s="20"/>
      <c r="R74" s="20"/>
      <c r="S74" s="21"/>
      <c r="U74" s="28"/>
    </row>
    <row r="75" spans="1:21" x14ac:dyDescent="0.25">
      <c r="A75" s="536" t="s">
        <v>19</v>
      </c>
      <c r="B75" s="533">
        <v>1</v>
      </c>
      <c r="C75" s="20">
        <v>678</v>
      </c>
      <c r="D75" s="20">
        <v>0.25</v>
      </c>
      <c r="E75" s="838">
        <f>ROUND(C75*D75,2)</f>
        <v>169.5</v>
      </c>
      <c r="F75" s="838">
        <f>ROUND(E75*0.2409,2)</f>
        <v>40.83</v>
      </c>
      <c r="G75" s="837">
        <f>E75+F75</f>
        <v>210.32999999999998</v>
      </c>
      <c r="H75" s="533">
        <v>0.46</v>
      </c>
      <c r="I75" s="180">
        <v>277.2</v>
      </c>
      <c r="J75" s="20">
        <v>0.2</v>
      </c>
      <c r="K75" s="20">
        <f t="shared" si="49"/>
        <v>55.44</v>
      </c>
      <c r="L75" s="20">
        <f t="shared" si="50"/>
        <v>13.36</v>
      </c>
      <c r="M75" s="21">
        <f t="shared" si="51"/>
        <v>68.8</v>
      </c>
      <c r="N75" s="179"/>
      <c r="O75" s="20"/>
      <c r="P75" s="20"/>
      <c r="Q75" s="180"/>
      <c r="R75" s="180"/>
      <c r="S75" s="182"/>
      <c r="U75" s="28"/>
    </row>
    <row r="76" spans="1:21" x14ac:dyDescent="0.25">
      <c r="A76" s="536" t="s">
        <v>19</v>
      </c>
      <c r="B76" s="533">
        <v>0.5</v>
      </c>
      <c r="C76" s="20">
        <v>339</v>
      </c>
      <c r="D76" s="20">
        <v>0.25</v>
      </c>
      <c r="E76" s="838">
        <f>ROUND(C76*D76,2)</f>
        <v>84.75</v>
      </c>
      <c r="F76" s="838">
        <f>ROUND(E76*0.2409,2)</f>
        <v>20.420000000000002</v>
      </c>
      <c r="G76" s="837">
        <f>E76+F76</f>
        <v>105.17</v>
      </c>
      <c r="H76" s="533">
        <v>1</v>
      </c>
      <c r="I76" s="180">
        <v>608.30000000000007</v>
      </c>
      <c r="J76" s="20">
        <v>0.2</v>
      </c>
      <c r="K76" s="20">
        <f t="shared" si="49"/>
        <v>121.66</v>
      </c>
      <c r="L76" s="20">
        <f t="shared" si="50"/>
        <v>29.31</v>
      </c>
      <c r="M76" s="21">
        <f t="shared" si="51"/>
        <v>150.97</v>
      </c>
      <c r="N76" s="179"/>
      <c r="O76" s="20"/>
      <c r="P76" s="20"/>
      <c r="Q76" s="180"/>
      <c r="R76" s="180"/>
      <c r="S76" s="182"/>
      <c r="U76" s="28"/>
    </row>
    <row r="77" spans="1:21" x14ac:dyDescent="0.25">
      <c r="A77" s="536" t="s">
        <v>19</v>
      </c>
      <c r="B77" s="533"/>
      <c r="C77" s="148"/>
      <c r="D77" s="148"/>
      <c r="E77" s="180"/>
      <c r="F77" s="180"/>
      <c r="G77" s="182"/>
      <c r="H77" s="533">
        <v>0.35</v>
      </c>
      <c r="I77" s="180">
        <v>215.6</v>
      </c>
      <c r="J77" s="20">
        <v>0.2</v>
      </c>
      <c r="K77" s="20">
        <f t="shared" si="49"/>
        <v>43.12</v>
      </c>
      <c r="L77" s="20">
        <f t="shared" si="50"/>
        <v>10.39</v>
      </c>
      <c r="M77" s="21">
        <f t="shared" si="51"/>
        <v>53.51</v>
      </c>
      <c r="N77" s="179"/>
      <c r="O77" s="20"/>
      <c r="P77" s="20"/>
      <c r="Q77" s="180"/>
      <c r="R77" s="180"/>
      <c r="S77" s="182"/>
      <c r="U77" s="28"/>
    </row>
    <row r="78" spans="1:21" x14ac:dyDescent="0.25">
      <c r="A78" s="536" t="s">
        <v>19</v>
      </c>
      <c r="B78" s="533"/>
      <c r="C78" s="180"/>
      <c r="D78" s="180"/>
      <c r="E78" s="180"/>
      <c r="F78" s="180"/>
      <c r="G78" s="182"/>
      <c r="H78" s="533">
        <v>1.01</v>
      </c>
      <c r="I78" s="180">
        <v>616</v>
      </c>
      <c r="J78" s="20">
        <v>0.2</v>
      </c>
      <c r="K78" s="20">
        <f t="shared" si="49"/>
        <v>123.2</v>
      </c>
      <c r="L78" s="20">
        <f t="shared" si="50"/>
        <v>29.68</v>
      </c>
      <c r="M78" s="21">
        <f t="shared" si="51"/>
        <v>152.88</v>
      </c>
      <c r="N78" s="179"/>
      <c r="O78" s="20"/>
      <c r="P78" s="20"/>
      <c r="Q78" s="180"/>
      <c r="R78" s="180"/>
      <c r="S78" s="182"/>
      <c r="U78" s="28"/>
    </row>
    <row r="79" spans="1:21" x14ac:dyDescent="0.25">
      <c r="A79" s="536" t="s">
        <v>158</v>
      </c>
      <c r="B79" s="529"/>
      <c r="C79" s="20"/>
      <c r="D79" s="20"/>
      <c r="E79" s="20"/>
      <c r="F79" s="20"/>
      <c r="G79" s="21"/>
      <c r="H79" s="529">
        <v>0.6</v>
      </c>
      <c r="I79" s="20">
        <v>330</v>
      </c>
      <c r="J79" s="20">
        <v>0.2</v>
      </c>
      <c r="K79" s="20">
        <f t="shared" si="49"/>
        <v>66</v>
      </c>
      <c r="L79" s="20">
        <f t="shared" si="50"/>
        <v>15.9</v>
      </c>
      <c r="M79" s="21">
        <f t="shared" si="51"/>
        <v>81.900000000000006</v>
      </c>
      <c r="N79" s="19"/>
      <c r="O79" s="20"/>
      <c r="P79" s="20"/>
      <c r="Q79" s="20"/>
      <c r="R79" s="20"/>
      <c r="S79" s="21"/>
      <c r="U79" s="28"/>
    </row>
    <row r="80" spans="1:21" ht="24" customHeight="1" x14ac:dyDescent="0.25">
      <c r="A80" s="537" t="s">
        <v>159</v>
      </c>
      <c r="B80" s="532"/>
      <c r="C80" s="203"/>
      <c r="D80" s="203"/>
      <c r="E80" s="203"/>
      <c r="F80" s="203"/>
      <c r="G80" s="204"/>
      <c r="H80" s="205">
        <f t="shared" ref="H80" si="52">H81+H93+H110+H115</f>
        <v>23.240000000000002</v>
      </c>
      <c r="I80" s="205"/>
      <c r="J80" s="205"/>
      <c r="K80" s="205">
        <f>K81+K93+K110+K115</f>
        <v>4637.05</v>
      </c>
      <c r="L80" s="205">
        <f t="shared" ref="L80:M80" si="53">L81+L93+L110+L115</f>
        <v>1117.07</v>
      </c>
      <c r="M80" s="205">
        <f t="shared" si="53"/>
        <v>5754.12</v>
      </c>
      <c r="N80" s="202"/>
      <c r="O80" s="203"/>
      <c r="P80" s="125"/>
      <c r="Q80" s="203"/>
      <c r="R80" s="203"/>
      <c r="S80" s="204"/>
      <c r="U80" s="28"/>
    </row>
    <row r="81" spans="1:21" ht="33" x14ac:dyDescent="0.25">
      <c r="A81" s="536" t="s">
        <v>14</v>
      </c>
      <c r="B81" s="529"/>
      <c r="C81" s="20"/>
      <c r="D81" s="20"/>
      <c r="E81" s="20"/>
      <c r="F81" s="20"/>
      <c r="G81" s="21"/>
      <c r="H81" s="30">
        <f t="shared" ref="H81" si="54">SUM(H82:H92)</f>
        <v>5.81</v>
      </c>
      <c r="I81" s="30"/>
      <c r="J81" s="30"/>
      <c r="K81" s="30">
        <f>SUM(K82:K92)</f>
        <v>1804.32</v>
      </c>
      <c r="L81" s="30">
        <f t="shared" ref="L81:M81" si="55">SUM(L82:L92)</f>
        <v>434.67</v>
      </c>
      <c r="M81" s="30">
        <f t="shared" si="55"/>
        <v>2238.9899999999998</v>
      </c>
      <c r="N81" s="19"/>
      <c r="O81" s="20"/>
      <c r="P81" s="20"/>
      <c r="Q81" s="20"/>
      <c r="R81" s="20"/>
      <c r="S81" s="21"/>
      <c r="U81" s="28"/>
    </row>
    <row r="82" spans="1:21" x14ac:dyDescent="0.25">
      <c r="A82" s="536" t="s">
        <v>80</v>
      </c>
      <c r="B82" s="529"/>
      <c r="C82" s="20"/>
      <c r="D82" s="20"/>
      <c r="E82" s="20"/>
      <c r="F82" s="20"/>
      <c r="G82" s="21"/>
      <c r="H82" s="529">
        <v>0.75</v>
      </c>
      <c r="I82" s="20">
        <v>1500</v>
      </c>
      <c r="J82" s="20">
        <v>0.2</v>
      </c>
      <c r="K82" s="20">
        <f t="shared" ref="K82:K92" si="56">ROUND(I82*J82,2)</f>
        <v>300</v>
      </c>
      <c r="L82" s="20">
        <f t="shared" ref="L82:L92" si="57">ROUND(K82*0.2409,2)</f>
        <v>72.27</v>
      </c>
      <c r="M82" s="21">
        <f>K82+L82</f>
        <v>372.27</v>
      </c>
      <c r="N82" s="19"/>
      <c r="O82" s="20"/>
      <c r="P82" s="20"/>
      <c r="Q82" s="20"/>
      <c r="R82" s="20"/>
      <c r="S82" s="21"/>
      <c r="U82" s="28"/>
    </row>
    <row r="83" spans="1:21" x14ac:dyDescent="0.25">
      <c r="A83" s="536" t="s">
        <v>80</v>
      </c>
      <c r="B83" s="529"/>
      <c r="C83" s="20"/>
      <c r="D83" s="20"/>
      <c r="E83" s="20"/>
      <c r="F83" s="20"/>
      <c r="G83" s="21"/>
      <c r="H83" s="529">
        <v>1</v>
      </c>
      <c r="I83" s="20">
        <v>1650</v>
      </c>
      <c r="J83" s="20">
        <v>0.2</v>
      </c>
      <c r="K83" s="20">
        <f t="shared" si="56"/>
        <v>330</v>
      </c>
      <c r="L83" s="20">
        <f t="shared" si="57"/>
        <v>79.5</v>
      </c>
      <c r="M83" s="21">
        <f t="shared" ref="M83:M92" si="58">K83+L83</f>
        <v>409.5</v>
      </c>
      <c r="N83" s="19"/>
      <c r="O83" s="20"/>
      <c r="P83" s="20"/>
      <c r="Q83" s="20"/>
      <c r="R83" s="20"/>
      <c r="S83" s="21"/>
      <c r="U83" s="28"/>
    </row>
    <row r="84" spans="1:21" x14ac:dyDescent="0.25">
      <c r="A84" s="536" t="s">
        <v>80</v>
      </c>
      <c r="B84" s="529"/>
      <c r="C84" s="20"/>
      <c r="D84" s="20"/>
      <c r="E84" s="20"/>
      <c r="F84" s="20"/>
      <c r="G84" s="21"/>
      <c r="H84" s="529">
        <v>0.15</v>
      </c>
      <c r="I84" s="20">
        <v>187.59</v>
      </c>
      <c r="J84" s="20">
        <v>0.2</v>
      </c>
      <c r="K84" s="20">
        <f t="shared" si="56"/>
        <v>37.520000000000003</v>
      </c>
      <c r="L84" s="20">
        <f t="shared" si="57"/>
        <v>9.0399999999999991</v>
      </c>
      <c r="M84" s="21">
        <f t="shared" si="58"/>
        <v>46.56</v>
      </c>
      <c r="N84" s="19"/>
      <c r="O84" s="20"/>
      <c r="P84" s="20"/>
      <c r="Q84" s="20"/>
      <c r="R84" s="20"/>
      <c r="S84" s="21"/>
      <c r="U84" s="28"/>
    </row>
    <row r="85" spans="1:21" x14ac:dyDescent="0.25">
      <c r="A85" s="536" t="s">
        <v>80</v>
      </c>
      <c r="B85" s="529"/>
      <c r="C85" s="20"/>
      <c r="D85" s="20"/>
      <c r="E85" s="20"/>
      <c r="F85" s="20"/>
      <c r="G85" s="21"/>
      <c r="H85" s="529">
        <v>0.35</v>
      </c>
      <c r="I85" s="20">
        <v>560</v>
      </c>
      <c r="J85" s="20">
        <v>0.2</v>
      </c>
      <c r="K85" s="20">
        <f t="shared" si="56"/>
        <v>112</v>
      </c>
      <c r="L85" s="20">
        <f t="shared" si="57"/>
        <v>26.98</v>
      </c>
      <c r="M85" s="21">
        <f t="shared" si="58"/>
        <v>138.97999999999999</v>
      </c>
      <c r="N85" s="19"/>
      <c r="O85" s="20"/>
      <c r="P85" s="20"/>
      <c r="Q85" s="20"/>
      <c r="R85" s="20"/>
      <c r="S85" s="21"/>
      <c r="U85" s="28"/>
    </row>
    <row r="86" spans="1:21" x14ac:dyDescent="0.25">
      <c r="A86" s="536" t="s">
        <v>80</v>
      </c>
      <c r="B86" s="529"/>
      <c r="C86" s="20"/>
      <c r="D86" s="20"/>
      <c r="E86" s="20"/>
      <c r="F86" s="20"/>
      <c r="G86" s="21"/>
      <c r="H86" s="529">
        <v>0.42</v>
      </c>
      <c r="I86" s="20">
        <v>660</v>
      </c>
      <c r="J86" s="20">
        <v>0.2</v>
      </c>
      <c r="K86" s="20">
        <f t="shared" si="56"/>
        <v>132</v>
      </c>
      <c r="L86" s="20">
        <f t="shared" si="57"/>
        <v>31.8</v>
      </c>
      <c r="M86" s="21">
        <f t="shared" si="58"/>
        <v>163.80000000000001</v>
      </c>
      <c r="N86" s="19"/>
      <c r="O86" s="20"/>
      <c r="P86" s="20"/>
      <c r="Q86" s="20"/>
      <c r="R86" s="20"/>
      <c r="S86" s="21"/>
      <c r="U86" s="28"/>
    </row>
    <row r="87" spans="1:21" x14ac:dyDescent="0.25">
      <c r="A87" s="536" t="s">
        <v>80</v>
      </c>
      <c r="B87" s="529"/>
      <c r="C87" s="20"/>
      <c r="D87" s="20"/>
      <c r="E87" s="20"/>
      <c r="F87" s="20"/>
      <c r="G87" s="21"/>
      <c r="H87" s="529">
        <v>0.76</v>
      </c>
      <c r="I87" s="20">
        <v>1080</v>
      </c>
      <c r="J87" s="20">
        <v>0.2</v>
      </c>
      <c r="K87" s="20">
        <f t="shared" si="56"/>
        <v>216</v>
      </c>
      <c r="L87" s="20">
        <f t="shared" si="57"/>
        <v>52.03</v>
      </c>
      <c r="M87" s="21">
        <f t="shared" si="58"/>
        <v>268.02999999999997</v>
      </c>
      <c r="N87" s="19"/>
      <c r="O87" s="20"/>
      <c r="P87" s="20"/>
      <c r="Q87" s="20"/>
      <c r="R87" s="20"/>
      <c r="S87" s="21"/>
      <c r="U87" s="28"/>
    </row>
    <row r="88" spans="1:21" x14ac:dyDescent="0.25">
      <c r="A88" s="536" t="s">
        <v>80</v>
      </c>
      <c r="B88" s="529"/>
      <c r="C88" s="20"/>
      <c r="D88" s="20"/>
      <c r="E88" s="20"/>
      <c r="F88" s="20"/>
      <c r="G88" s="21"/>
      <c r="H88" s="529">
        <v>0.71</v>
      </c>
      <c r="I88" s="20">
        <v>1008</v>
      </c>
      <c r="J88" s="20">
        <v>0.2</v>
      </c>
      <c r="K88" s="20">
        <f t="shared" si="56"/>
        <v>201.6</v>
      </c>
      <c r="L88" s="20">
        <f t="shared" si="57"/>
        <v>48.57</v>
      </c>
      <c r="M88" s="21">
        <f t="shared" si="58"/>
        <v>250.17</v>
      </c>
      <c r="N88" s="19"/>
      <c r="O88" s="20"/>
      <c r="P88" s="20"/>
      <c r="Q88" s="20"/>
      <c r="R88" s="20"/>
      <c r="S88" s="21"/>
      <c r="U88" s="28"/>
    </row>
    <row r="89" spans="1:21" x14ac:dyDescent="0.25">
      <c r="A89" s="536" t="s">
        <v>80</v>
      </c>
      <c r="B89" s="529"/>
      <c r="C89" s="20"/>
      <c r="D89" s="20"/>
      <c r="E89" s="20"/>
      <c r="F89" s="20"/>
      <c r="G89" s="21"/>
      <c r="H89" s="529">
        <v>0.66</v>
      </c>
      <c r="I89" s="20">
        <v>936</v>
      </c>
      <c r="J89" s="20">
        <v>0.2</v>
      </c>
      <c r="K89" s="20">
        <f t="shared" si="56"/>
        <v>187.2</v>
      </c>
      <c r="L89" s="20">
        <f t="shared" si="57"/>
        <v>45.1</v>
      </c>
      <c r="M89" s="21">
        <f t="shared" si="58"/>
        <v>232.29999999999998</v>
      </c>
      <c r="N89" s="19"/>
      <c r="O89" s="20"/>
      <c r="P89" s="20"/>
      <c r="Q89" s="20"/>
      <c r="R89" s="20"/>
      <c r="S89" s="21"/>
      <c r="U89" s="28"/>
    </row>
    <row r="90" spans="1:21" x14ac:dyDescent="0.25">
      <c r="A90" s="536" t="s">
        <v>80</v>
      </c>
      <c r="B90" s="529"/>
      <c r="C90" s="20"/>
      <c r="D90" s="20"/>
      <c r="E90" s="20"/>
      <c r="F90" s="20"/>
      <c r="G90" s="21"/>
      <c r="H90" s="529">
        <v>0.61</v>
      </c>
      <c r="I90" s="20">
        <v>864</v>
      </c>
      <c r="J90" s="20">
        <v>0.2</v>
      </c>
      <c r="K90" s="20">
        <f t="shared" si="56"/>
        <v>172.8</v>
      </c>
      <c r="L90" s="20">
        <f t="shared" si="57"/>
        <v>41.63</v>
      </c>
      <c r="M90" s="21">
        <f t="shared" si="58"/>
        <v>214.43</v>
      </c>
      <c r="N90" s="19"/>
      <c r="O90" s="20"/>
      <c r="P90" s="20"/>
      <c r="Q90" s="20"/>
      <c r="R90" s="20"/>
      <c r="S90" s="21"/>
      <c r="U90" s="28"/>
    </row>
    <row r="91" spans="1:21" x14ac:dyDescent="0.25">
      <c r="A91" s="536" t="s">
        <v>80</v>
      </c>
      <c r="B91" s="529"/>
      <c r="C91" s="20"/>
      <c r="D91" s="20"/>
      <c r="E91" s="20"/>
      <c r="F91" s="20"/>
      <c r="G91" s="21"/>
      <c r="H91" s="529">
        <v>0.1</v>
      </c>
      <c r="I91" s="20">
        <v>144</v>
      </c>
      <c r="J91" s="20">
        <v>0.2</v>
      </c>
      <c r="K91" s="20">
        <f t="shared" si="56"/>
        <v>28.8</v>
      </c>
      <c r="L91" s="20">
        <f t="shared" si="57"/>
        <v>6.94</v>
      </c>
      <c r="M91" s="21">
        <f t="shared" si="58"/>
        <v>35.74</v>
      </c>
      <c r="N91" s="19"/>
      <c r="O91" s="20"/>
      <c r="P91" s="20"/>
      <c r="Q91" s="20"/>
      <c r="R91" s="20"/>
      <c r="S91" s="21"/>
      <c r="U91" s="28"/>
    </row>
    <row r="92" spans="1:21" x14ac:dyDescent="0.25">
      <c r="A92" s="536" t="s">
        <v>80</v>
      </c>
      <c r="B92" s="529"/>
      <c r="C92" s="20"/>
      <c r="D92" s="20"/>
      <c r="E92" s="20"/>
      <c r="F92" s="20"/>
      <c r="G92" s="21"/>
      <c r="H92" s="529">
        <v>0.3</v>
      </c>
      <c r="I92" s="20">
        <v>432</v>
      </c>
      <c r="J92" s="20">
        <v>0.2</v>
      </c>
      <c r="K92" s="20">
        <f t="shared" si="56"/>
        <v>86.4</v>
      </c>
      <c r="L92" s="20">
        <f t="shared" si="57"/>
        <v>20.81</v>
      </c>
      <c r="M92" s="21">
        <f t="shared" si="58"/>
        <v>107.21000000000001</v>
      </c>
      <c r="N92" s="19"/>
      <c r="O92" s="20"/>
      <c r="P92" s="20"/>
      <c r="Q92" s="20"/>
      <c r="R92" s="20"/>
      <c r="S92" s="21"/>
      <c r="U92" s="28"/>
    </row>
    <row r="93" spans="1:21" ht="49.5" customHeight="1" x14ac:dyDescent="0.25">
      <c r="A93" s="536" t="s">
        <v>12</v>
      </c>
      <c r="B93" s="529"/>
      <c r="C93" s="20"/>
      <c r="D93" s="20"/>
      <c r="E93" s="20"/>
      <c r="F93" s="20"/>
      <c r="G93" s="21"/>
      <c r="H93" s="30">
        <f t="shared" ref="H93" si="59">SUM(H94:H109)</f>
        <v>10.250000000000002</v>
      </c>
      <c r="I93" s="30"/>
      <c r="J93" s="30"/>
      <c r="K93" s="30">
        <f>SUM(K94:K109)</f>
        <v>1914.0000000000002</v>
      </c>
      <c r="L93" s="30">
        <f t="shared" ref="L93:M93" si="60">SUM(L94:L109)</f>
        <v>461.09000000000003</v>
      </c>
      <c r="M93" s="30">
        <f t="shared" si="60"/>
        <v>2375.09</v>
      </c>
      <c r="N93" s="19"/>
      <c r="O93" s="20"/>
      <c r="P93" s="20"/>
      <c r="Q93" s="20"/>
      <c r="R93" s="20"/>
      <c r="S93" s="21"/>
      <c r="U93" s="28"/>
    </row>
    <row r="94" spans="1:21" x14ac:dyDescent="0.25">
      <c r="A94" s="536" t="s">
        <v>16</v>
      </c>
      <c r="B94" s="529"/>
      <c r="C94" s="20"/>
      <c r="D94" s="20"/>
      <c r="E94" s="20"/>
      <c r="F94" s="20"/>
      <c r="G94" s="21"/>
      <c r="H94" s="529">
        <v>1</v>
      </c>
      <c r="I94" s="20">
        <v>1100</v>
      </c>
      <c r="J94" s="20">
        <v>0.2</v>
      </c>
      <c r="K94" s="20">
        <f t="shared" ref="K94:K109" si="61">ROUND(I94*J94,2)</f>
        <v>220</v>
      </c>
      <c r="L94" s="20">
        <f t="shared" ref="L94:L109" si="62">ROUND(K94*0.2409,2)</f>
        <v>53</v>
      </c>
      <c r="M94" s="21">
        <f>K94+L94</f>
        <v>273</v>
      </c>
      <c r="N94" s="19"/>
      <c r="O94" s="20"/>
      <c r="P94" s="20"/>
      <c r="Q94" s="20"/>
      <c r="R94" s="20"/>
      <c r="S94" s="21"/>
      <c r="U94" s="28"/>
    </row>
    <row r="95" spans="1:21" x14ac:dyDescent="0.25">
      <c r="A95" s="536" t="s">
        <v>17</v>
      </c>
      <c r="B95" s="529"/>
      <c r="C95" s="20"/>
      <c r="D95" s="20"/>
      <c r="E95" s="20"/>
      <c r="F95" s="20"/>
      <c r="G95" s="21"/>
      <c r="H95" s="529">
        <v>0.46</v>
      </c>
      <c r="I95" s="20">
        <v>435.59999999999997</v>
      </c>
      <c r="J95" s="20">
        <v>0.2</v>
      </c>
      <c r="K95" s="20">
        <f t="shared" si="61"/>
        <v>87.12</v>
      </c>
      <c r="L95" s="20">
        <f t="shared" si="62"/>
        <v>20.99</v>
      </c>
      <c r="M95" s="21">
        <f t="shared" ref="M95:M107" si="63">K95+L95</f>
        <v>108.11</v>
      </c>
      <c r="N95" s="19"/>
      <c r="O95" s="20"/>
      <c r="P95" s="20"/>
      <c r="Q95" s="20"/>
      <c r="R95" s="20"/>
      <c r="S95" s="21"/>
      <c r="U95" s="28"/>
    </row>
    <row r="96" spans="1:21" x14ac:dyDescent="0.25">
      <c r="A96" s="536" t="s">
        <v>17</v>
      </c>
      <c r="B96" s="529"/>
      <c r="C96" s="20"/>
      <c r="D96" s="20"/>
      <c r="E96" s="20"/>
      <c r="F96" s="20"/>
      <c r="G96" s="21"/>
      <c r="H96" s="529">
        <v>0.41</v>
      </c>
      <c r="I96" s="20">
        <v>352</v>
      </c>
      <c r="J96" s="20">
        <v>0.2</v>
      </c>
      <c r="K96" s="20">
        <f t="shared" si="61"/>
        <v>70.400000000000006</v>
      </c>
      <c r="L96" s="20">
        <f t="shared" si="62"/>
        <v>16.96</v>
      </c>
      <c r="M96" s="21">
        <f t="shared" si="63"/>
        <v>87.360000000000014</v>
      </c>
      <c r="N96" s="19"/>
      <c r="O96" s="20"/>
      <c r="P96" s="20"/>
      <c r="Q96" s="20"/>
      <c r="R96" s="20"/>
      <c r="S96" s="21"/>
      <c r="U96" s="28"/>
    </row>
    <row r="97" spans="1:21" x14ac:dyDescent="0.25">
      <c r="A97" s="536" t="s">
        <v>17</v>
      </c>
      <c r="B97" s="529"/>
      <c r="C97" s="20"/>
      <c r="D97" s="20"/>
      <c r="E97" s="20"/>
      <c r="F97" s="20"/>
      <c r="G97" s="21"/>
      <c r="H97" s="529">
        <v>0.76</v>
      </c>
      <c r="I97" s="20">
        <v>660</v>
      </c>
      <c r="J97" s="20">
        <v>0.2</v>
      </c>
      <c r="K97" s="20">
        <f t="shared" si="61"/>
        <v>132</v>
      </c>
      <c r="L97" s="20">
        <f t="shared" si="62"/>
        <v>31.8</v>
      </c>
      <c r="M97" s="21">
        <f t="shared" si="63"/>
        <v>163.80000000000001</v>
      </c>
      <c r="N97" s="19"/>
      <c r="O97" s="20"/>
      <c r="P97" s="20"/>
      <c r="Q97" s="20"/>
      <c r="R97" s="20"/>
      <c r="S97" s="21"/>
      <c r="U97" s="28"/>
    </row>
    <row r="98" spans="1:21" x14ac:dyDescent="0.25">
      <c r="A98" s="536" t="s">
        <v>17</v>
      </c>
      <c r="B98" s="529"/>
      <c r="C98" s="20"/>
      <c r="D98" s="20"/>
      <c r="E98" s="20"/>
      <c r="F98" s="20"/>
      <c r="G98" s="21"/>
      <c r="H98" s="529">
        <v>0.61</v>
      </c>
      <c r="I98" s="20">
        <v>580.79999999999995</v>
      </c>
      <c r="J98" s="20">
        <v>0.2</v>
      </c>
      <c r="K98" s="20">
        <f t="shared" si="61"/>
        <v>116.16</v>
      </c>
      <c r="L98" s="20">
        <f t="shared" si="62"/>
        <v>27.98</v>
      </c>
      <c r="M98" s="21">
        <f t="shared" si="63"/>
        <v>144.13999999999999</v>
      </c>
      <c r="N98" s="19"/>
      <c r="O98" s="20"/>
      <c r="P98" s="20"/>
      <c r="Q98" s="20"/>
      <c r="R98" s="20"/>
      <c r="S98" s="21"/>
      <c r="U98" s="28"/>
    </row>
    <row r="99" spans="1:21" x14ac:dyDescent="0.25">
      <c r="A99" s="536" t="s">
        <v>17</v>
      </c>
      <c r="B99" s="529"/>
      <c r="C99" s="20"/>
      <c r="D99" s="20"/>
      <c r="E99" s="20"/>
      <c r="F99" s="20"/>
      <c r="G99" s="21"/>
      <c r="H99" s="529">
        <v>0.46</v>
      </c>
      <c r="I99" s="20">
        <v>396</v>
      </c>
      <c r="J99" s="20">
        <v>0.2</v>
      </c>
      <c r="K99" s="20">
        <f t="shared" si="61"/>
        <v>79.2</v>
      </c>
      <c r="L99" s="20">
        <f t="shared" si="62"/>
        <v>19.079999999999998</v>
      </c>
      <c r="M99" s="21">
        <f t="shared" si="63"/>
        <v>98.28</v>
      </c>
      <c r="N99" s="19"/>
      <c r="O99" s="20"/>
      <c r="P99" s="20"/>
      <c r="Q99" s="20"/>
      <c r="R99" s="20"/>
      <c r="S99" s="21"/>
      <c r="U99" s="28"/>
    </row>
    <row r="100" spans="1:21" x14ac:dyDescent="0.25">
      <c r="A100" s="536" t="s">
        <v>17</v>
      </c>
      <c r="B100" s="529"/>
      <c r="C100" s="20"/>
      <c r="D100" s="20"/>
      <c r="E100" s="20"/>
      <c r="F100" s="20"/>
      <c r="G100" s="21"/>
      <c r="H100" s="529">
        <v>0.41</v>
      </c>
      <c r="I100" s="20">
        <v>352</v>
      </c>
      <c r="J100" s="20">
        <v>0.2</v>
      </c>
      <c r="K100" s="20">
        <f t="shared" si="61"/>
        <v>70.400000000000006</v>
      </c>
      <c r="L100" s="20">
        <f t="shared" si="62"/>
        <v>16.96</v>
      </c>
      <c r="M100" s="21">
        <f t="shared" si="63"/>
        <v>87.360000000000014</v>
      </c>
      <c r="N100" s="19"/>
      <c r="O100" s="20"/>
      <c r="P100" s="20"/>
      <c r="Q100" s="20"/>
      <c r="R100" s="20"/>
      <c r="S100" s="21"/>
      <c r="U100" s="28"/>
    </row>
    <row r="101" spans="1:21" x14ac:dyDescent="0.25">
      <c r="A101" s="536" t="s">
        <v>17</v>
      </c>
      <c r="B101" s="529"/>
      <c r="C101" s="20"/>
      <c r="D101" s="20"/>
      <c r="E101" s="20"/>
      <c r="F101" s="20"/>
      <c r="G101" s="21"/>
      <c r="H101" s="529">
        <v>1.22</v>
      </c>
      <c r="I101" s="20">
        <v>1056</v>
      </c>
      <c r="J101" s="20">
        <v>0.2</v>
      </c>
      <c r="K101" s="20">
        <f t="shared" si="61"/>
        <v>211.2</v>
      </c>
      <c r="L101" s="20">
        <f t="shared" si="62"/>
        <v>50.88</v>
      </c>
      <c r="M101" s="21">
        <f t="shared" si="63"/>
        <v>262.08</v>
      </c>
      <c r="N101" s="19"/>
      <c r="O101" s="20"/>
      <c r="P101" s="20"/>
      <c r="Q101" s="20"/>
      <c r="R101" s="20"/>
      <c r="S101" s="21"/>
      <c r="U101" s="28"/>
    </row>
    <row r="102" spans="1:21" x14ac:dyDescent="0.25">
      <c r="A102" s="536" t="s">
        <v>17</v>
      </c>
      <c r="B102" s="529"/>
      <c r="C102" s="20"/>
      <c r="D102" s="20"/>
      <c r="E102" s="20"/>
      <c r="F102" s="20"/>
      <c r="G102" s="21"/>
      <c r="H102" s="529">
        <v>0.91</v>
      </c>
      <c r="I102" s="20">
        <v>871.19999999999993</v>
      </c>
      <c r="J102" s="20">
        <v>0.2</v>
      </c>
      <c r="K102" s="20">
        <f t="shared" si="61"/>
        <v>174.24</v>
      </c>
      <c r="L102" s="20">
        <f t="shared" si="62"/>
        <v>41.97</v>
      </c>
      <c r="M102" s="21">
        <f t="shared" si="63"/>
        <v>216.21</v>
      </c>
      <c r="N102" s="19"/>
      <c r="O102" s="20"/>
      <c r="P102" s="20"/>
      <c r="Q102" s="20"/>
      <c r="R102" s="20"/>
      <c r="S102" s="21"/>
      <c r="U102" s="28"/>
    </row>
    <row r="103" spans="1:21" x14ac:dyDescent="0.25">
      <c r="A103" s="536" t="s">
        <v>17</v>
      </c>
      <c r="B103" s="529"/>
      <c r="C103" s="20"/>
      <c r="D103" s="20"/>
      <c r="E103" s="20"/>
      <c r="F103" s="20"/>
      <c r="G103" s="21"/>
      <c r="H103" s="529">
        <v>0.61</v>
      </c>
      <c r="I103" s="20">
        <v>580.79999999999995</v>
      </c>
      <c r="J103" s="20">
        <v>0.2</v>
      </c>
      <c r="K103" s="20">
        <f t="shared" si="61"/>
        <v>116.16</v>
      </c>
      <c r="L103" s="20">
        <f t="shared" si="62"/>
        <v>27.98</v>
      </c>
      <c r="M103" s="21">
        <f t="shared" si="63"/>
        <v>144.13999999999999</v>
      </c>
      <c r="N103" s="19"/>
      <c r="O103" s="20"/>
      <c r="P103" s="20"/>
      <c r="Q103" s="20"/>
      <c r="R103" s="20"/>
      <c r="S103" s="21"/>
      <c r="U103" s="28"/>
    </row>
    <row r="104" spans="1:21" x14ac:dyDescent="0.25">
      <c r="A104" s="536" t="s">
        <v>17</v>
      </c>
      <c r="B104" s="529"/>
      <c r="C104" s="20"/>
      <c r="D104" s="20"/>
      <c r="E104" s="20"/>
      <c r="F104" s="20"/>
      <c r="G104" s="21"/>
      <c r="H104" s="529">
        <v>0.66</v>
      </c>
      <c r="I104" s="20">
        <v>629.19999999999993</v>
      </c>
      <c r="J104" s="20">
        <v>0.2</v>
      </c>
      <c r="K104" s="20">
        <f t="shared" si="61"/>
        <v>125.84</v>
      </c>
      <c r="L104" s="20">
        <f t="shared" si="62"/>
        <v>30.31</v>
      </c>
      <c r="M104" s="21">
        <f t="shared" si="63"/>
        <v>156.15</v>
      </c>
      <c r="N104" s="19"/>
      <c r="O104" s="20"/>
      <c r="P104" s="20"/>
      <c r="Q104" s="20"/>
      <c r="R104" s="20"/>
      <c r="S104" s="21"/>
      <c r="U104" s="28"/>
    </row>
    <row r="105" spans="1:21" x14ac:dyDescent="0.25">
      <c r="A105" s="536" t="s">
        <v>17</v>
      </c>
      <c r="B105" s="529"/>
      <c r="C105" s="20"/>
      <c r="D105" s="20"/>
      <c r="E105" s="20"/>
      <c r="F105" s="20"/>
      <c r="G105" s="21"/>
      <c r="H105" s="529">
        <v>0.66</v>
      </c>
      <c r="I105" s="20">
        <v>572</v>
      </c>
      <c r="J105" s="20">
        <v>0.2</v>
      </c>
      <c r="K105" s="20">
        <f t="shared" si="61"/>
        <v>114.4</v>
      </c>
      <c r="L105" s="20">
        <f t="shared" si="62"/>
        <v>27.56</v>
      </c>
      <c r="M105" s="21">
        <f t="shared" si="63"/>
        <v>141.96</v>
      </c>
      <c r="N105" s="19"/>
      <c r="O105" s="20"/>
      <c r="P105" s="20"/>
      <c r="Q105" s="20"/>
      <c r="R105" s="20"/>
      <c r="S105" s="21"/>
      <c r="U105" s="28"/>
    </row>
    <row r="106" spans="1:21" x14ac:dyDescent="0.25">
      <c r="A106" s="536" t="s">
        <v>17</v>
      </c>
      <c r="B106" s="529"/>
      <c r="C106" s="20"/>
      <c r="D106" s="20"/>
      <c r="E106" s="20"/>
      <c r="F106" s="20"/>
      <c r="G106" s="21"/>
      <c r="H106" s="529">
        <v>0.15</v>
      </c>
      <c r="I106" s="20">
        <v>145.19999999999999</v>
      </c>
      <c r="J106" s="20">
        <v>0.2</v>
      </c>
      <c r="K106" s="20">
        <f t="shared" si="61"/>
        <v>29.04</v>
      </c>
      <c r="L106" s="20">
        <f t="shared" si="62"/>
        <v>7</v>
      </c>
      <c r="M106" s="21">
        <f t="shared" si="63"/>
        <v>36.04</v>
      </c>
      <c r="N106" s="19"/>
      <c r="O106" s="20"/>
      <c r="P106" s="20"/>
      <c r="Q106" s="20"/>
      <c r="R106" s="20"/>
      <c r="S106" s="21"/>
      <c r="U106" s="28"/>
    </row>
    <row r="107" spans="1:21" x14ac:dyDescent="0.25">
      <c r="A107" s="536" t="s">
        <v>17</v>
      </c>
      <c r="B107" s="529"/>
      <c r="C107" s="20"/>
      <c r="D107" s="20"/>
      <c r="E107" s="20"/>
      <c r="F107" s="20"/>
      <c r="G107" s="21"/>
      <c r="H107" s="529">
        <v>0.41</v>
      </c>
      <c r="I107" s="20">
        <v>387.2</v>
      </c>
      <c r="J107" s="20">
        <v>0.2</v>
      </c>
      <c r="K107" s="20">
        <f t="shared" si="61"/>
        <v>77.44</v>
      </c>
      <c r="L107" s="20">
        <f t="shared" si="62"/>
        <v>18.66</v>
      </c>
      <c r="M107" s="21">
        <f t="shared" si="63"/>
        <v>96.1</v>
      </c>
      <c r="N107" s="19"/>
      <c r="O107" s="20"/>
      <c r="P107" s="20"/>
      <c r="Q107" s="20"/>
      <c r="R107" s="20"/>
      <c r="S107" s="21"/>
      <c r="U107" s="28"/>
    </row>
    <row r="108" spans="1:21" x14ac:dyDescent="0.25">
      <c r="A108" s="536" t="s">
        <v>21</v>
      </c>
      <c r="B108" s="529"/>
      <c r="C108" s="20"/>
      <c r="D108" s="20"/>
      <c r="E108" s="20"/>
      <c r="F108" s="20"/>
      <c r="G108" s="21"/>
      <c r="H108" s="529">
        <v>0.46</v>
      </c>
      <c r="I108" s="20">
        <v>435.59999999999997</v>
      </c>
      <c r="J108" s="20">
        <v>0.2</v>
      </c>
      <c r="K108" s="20">
        <f t="shared" si="61"/>
        <v>87.12</v>
      </c>
      <c r="L108" s="20">
        <f t="shared" si="62"/>
        <v>20.99</v>
      </c>
      <c r="M108" s="21">
        <f>K108+L108</f>
        <v>108.11</v>
      </c>
      <c r="N108" s="19"/>
      <c r="O108" s="20"/>
      <c r="P108" s="20"/>
      <c r="Q108" s="20"/>
      <c r="R108" s="20"/>
      <c r="S108" s="21"/>
      <c r="U108" s="28"/>
    </row>
    <row r="109" spans="1:21" x14ac:dyDescent="0.25">
      <c r="A109" s="536" t="s">
        <v>21</v>
      </c>
      <c r="B109" s="529"/>
      <c r="C109" s="20"/>
      <c r="D109" s="20"/>
      <c r="E109" s="20"/>
      <c r="F109" s="20"/>
      <c r="G109" s="21"/>
      <c r="H109" s="529">
        <v>1.06</v>
      </c>
      <c r="I109" s="20">
        <v>1016.4</v>
      </c>
      <c r="J109" s="20">
        <v>0.2</v>
      </c>
      <c r="K109" s="20">
        <f t="shared" si="61"/>
        <v>203.28</v>
      </c>
      <c r="L109" s="20">
        <f t="shared" si="62"/>
        <v>48.97</v>
      </c>
      <c r="M109" s="21">
        <f>K109+L109</f>
        <v>252.25</v>
      </c>
      <c r="N109" s="19"/>
      <c r="O109" s="20"/>
      <c r="P109" s="20"/>
      <c r="Q109" s="20"/>
      <c r="R109" s="20"/>
      <c r="S109" s="21"/>
      <c r="U109" s="28"/>
    </row>
    <row r="110" spans="1:21" ht="64.5" customHeight="1" x14ac:dyDescent="0.25">
      <c r="A110" s="536" t="s">
        <v>13</v>
      </c>
      <c r="B110" s="529"/>
      <c r="C110" s="20"/>
      <c r="D110" s="20"/>
      <c r="E110" s="20"/>
      <c r="F110" s="20"/>
      <c r="G110" s="21"/>
      <c r="H110" s="30">
        <f t="shared" ref="H110" si="64">SUM(H111:H114)</f>
        <v>2.89</v>
      </c>
      <c r="I110" s="30"/>
      <c r="J110" s="30"/>
      <c r="K110" s="30">
        <f>SUM(K111:K114)</f>
        <v>402.16</v>
      </c>
      <c r="L110" s="30">
        <f t="shared" ref="L110:M110" si="65">SUM(L111:L114)</f>
        <v>96.87</v>
      </c>
      <c r="M110" s="30">
        <f t="shared" si="65"/>
        <v>499.03000000000003</v>
      </c>
      <c r="N110" s="19"/>
      <c r="O110" s="20"/>
      <c r="P110" s="20"/>
      <c r="Q110" s="20"/>
      <c r="R110" s="20"/>
      <c r="S110" s="21"/>
      <c r="U110" s="28"/>
    </row>
    <row r="111" spans="1:21" x14ac:dyDescent="0.25">
      <c r="A111" s="536" t="s">
        <v>156</v>
      </c>
      <c r="B111" s="529"/>
      <c r="C111" s="20"/>
      <c r="D111" s="20"/>
      <c r="E111" s="20"/>
      <c r="F111" s="20"/>
      <c r="G111" s="21"/>
      <c r="H111" s="529">
        <v>1.37</v>
      </c>
      <c r="I111" s="20">
        <v>954.80000000000007</v>
      </c>
      <c r="J111" s="20">
        <v>0.2</v>
      </c>
      <c r="K111" s="20">
        <f t="shared" ref="K111:K114" si="66">ROUND(I111*J111,2)</f>
        <v>190.96</v>
      </c>
      <c r="L111" s="20">
        <f t="shared" ref="L111:L114" si="67">ROUND(K111*0.2409,2)</f>
        <v>46</v>
      </c>
      <c r="M111" s="21">
        <f t="shared" ref="M111:M114" si="68">K111+L111</f>
        <v>236.96</v>
      </c>
      <c r="N111" s="19"/>
      <c r="O111" s="20"/>
      <c r="P111" s="20"/>
      <c r="Q111" s="20"/>
      <c r="R111" s="20"/>
      <c r="S111" s="21"/>
      <c r="U111" s="28"/>
    </row>
    <row r="112" spans="1:21" x14ac:dyDescent="0.25">
      <c r="A112" s="536" t="s">
        <v>156</v>
      </c>
      <c r="B112" s="529"/>
      <c r="C112" s="20"/>
      <c r="D112" s="20"/>
      <c r="E112" s="20"/>
      <c r="F112" s="20"/>
      <c r="G112" s="21"/>
      <c r="H112" s="529">
        <v>0.35</v>
      </c>
      <c r="I112" s="20">
        <v>246.40000000000003</v>
      </c>
      <c r="J112" s="20">
        <v>0.2</v>
      </c>
      <c r="K112" s="20">
        <f t="shared" si="66"/>
        <v>49.28</v>
      </c>
      <c r="L112" s="20">
        <f t="shared" si="67"/>
        <v>11.87</v>
      </c>
      <c r="M112" s="21">
        <f t="shared" si="68"/>
        <v>61.15</v>
      </c>
      <c r="N112" s="19"/>
      <c r="O112" s="20"/>
      <c r="P112" s="20"/>
      <c r="Q112" s="20"/>
      <c r="R112" s="20"/>
      <c r="S112" s="21"/>
      <c r="U112" s="28"/>
    </row>
    <row r="113" spans="1:21" x14ac:dyDescent="0.25">
      <c r="A113" s="536" t="s">
        <v>156</v>
      </c>
      <c r="B113" s="529"/>
      <c r="C113" s="20"/>
      <c r="D113" s="20"/>
      <c r="E113" s="20"/>
      <c r="F113" s="20"/>
      <c r="G113" s="21"/>
      <c r="H113" s="529">
        <v>0.71</v>
      </c>
      <c r="I113" s="20">
        <v>492.80000000000007</v>
      </c>
      <c r="J113" s="20">
        <v>0.2</v>
      </c>
      <c r="K113" s="20">
        <f t="shared" si="66"/>
        <v>98.56</v>
      </c>
      <c r="L113" s="20">
        <f t="shared" si="67"/>
        <v>23.74</v>
      </c>
      <c r="M113" s="21">
        <f t="shared" si="68"/>
        <v>122.3</v>
      </c>
      <c r="N113" s="19"/>
      <c r="O113" s="20"/>
      <c r="P113" s="20"/>
      <c r="Q113" s="20"/>
      <c r="R113" s="20"/>
      <c r="S113" s="21"/>
      <c r="U113" s="28"/>
    </row>
    <row r="114" spans="1:21" x14ac:dyDescent="0.25">
      <c r="A114" s="536" t="s">
        <v>156</v>
      </c>
      <c r="B114" s="529"/>
      <c r="C114" s="20"/>
      <c r="D114" s="20"/>
      <c r="E114" s="20"/>
      <c r="F114" s="20"/>
      <c r="G114" s="21"/>
      <c r="H114" s="529">
        <v>0.46</v>
      </c>
      <c r="I114" s="20">
        <v>316.8</v>
      </c>
      <c r="J114" s="20">
        <v>0.2</v>
      </c>
      <c r="K114" s="20">
        <f t="shared" si="66"/>
        <v>63.36</v>
      </c>
      <c r="L114" s="20">
        <f t="shared" si="67"/>
        <v>15.26</v>
      </c>
      <c r="M114" s="21">
        <f t="shared" si="68"/>
        <v>78.62</v>
      </c>
      <c r="N114" s="19"/>
      <c r="O114" s="20"/>
      <c r="P114" s="20"/>
      <c r="Q114" s="20"/>
      <c r="R114" s="20"/>
      <c r="S114" s="21"/>
      <c r="U114" s="28"/>
    </row>
    <row r="115" spans="1:21" ht="37.5" customHeight="1" x14ac:dyDescent="0.25">
      <c r="A115" s="536" t="s">
        <v>11</v>
      </c>
      <c r="B115" s="529"/>
      <c r="C115" s="20"/>
      <c r="D115" s="20"/>
      <c r="E115" s="20"/>
      <c r="F115" s="20"/>
      <c r="G115" s="21"/>
      <c r="H115" s="30">
        <f t="shared" ref="H115" si="69">SUM(H116:H122)</f>
        <v>4.29</v>
      </c>
      <c r="I115" s="30"/>
      <c r="J115" s="30"/>
      <c r="K115" s="30">
        <f>SUM(K116:K122)</f>
        <v>516.57000000000005</v>
      </c>
      <c r="L115" s="30">
        <f t="shared" ref="L115:M115" si="70">SUM(L116:L122)</f>
        <v>124.44000000000001</v>
      </c>
      <c r="M115" s="30">
        <f t="shared" si="70"/>
        <v>641.01</v>
      </c>
      <c r="N115" s="19"/>
      <c r="O115" s="20"/>
      <c r="P115" s="20"/>
      <c r="Q115" s="20"/>
      <c r="R115" s="20"/>
      <c r="S115" s="21"/>
      <c r="U115" s="28"/>
    </row>
    <row r="116" spans="1:21" x14ac:dyDescent="0.25">
      <c r="A116" s="536" t="s">
        <v>19</v>
      </c>
      <c r="B116" s="529"/>
      <c r="C116" s="20"/>
      <c r="D116" s="20"/>
      <c r="E116" s="20"/>
      <c r="F116" s="20"/>
      <c r="G116" s="21"/>
      <c r="H116" s="529">
        <v>1</v>
      </c>
      <c r="I116" s="20">
        <v>643</v>
      </c>
      <c r="J116" s="20">
        <v>0.2</v>
      </c>
      <c r="K116" s="20">
        <f t="shared" ref="K116:K122" si="71">ROUND(I116*J116,2)</f>
        <v>128.6</v>
      </c>
      <c r="L116" s="20">
        <f t="shared" ref="L116:L122" si="72">ROUND(K116*0.2409,2)</f>
        <v>30.98</v>
      </c>
      <c r="M116" s="21">
        <f t="shared" ref="M116:M122" si="73">K116+L116</f>
        <v>159.57999999999998</v>
      </c>
      <c r="N116" s="19"/>
      <c r="O116" s="20"/>
      <c r="P116" s="20"/>
      <c r="Q116" s="20"/>
      <c r="R116" s="20"/>
      <c r="S116" s="21"/>
      <c r="U116" s="28"/>
    </row>
    <row r="117" spans="1:21" x14ac:dyDescent="0.25">
      <c r="A117" s="536" t="s">
        <v>19</v>
      </c>
      <c r="B117" s="533"/>
      <c r="C117" s="180"/>
      <c r="D117" s="180"/>
      <c r="E117" s="180"/>
      <c r="F117" s="180"/>
      <c r="G117" s="182"/>
      <c r="H117" s="533">
        <v>1.06</v>
      </c>
      <c r="I117" s="180">
        <v>646.80000000000007</v>
      </c>
      <c r="J117" s="20">
        <v>0.2</v>
      </c>
      <c r="K117" s="20">
        <f t="shared" si="71"/>
        <v>129.36000000000001</v>
      </c>
      <c r="L117" s="20">
        <f t="shared" si="72"/>
        <v>31.16</v>
      </c>
      <c r="M117" s="21">
        <f t="shared" si="73"/>
        <v>160.52000000000001</v>
      </c>
      <c r="N117" s="179"/>
      <c r="O117" s="20"/>
      <c r="P117" s="20"/>
      <c r="Q117" s="180"/>
      <c r="R117" s="180"/>
      <c r="S117" s="182"/>
      <c r="U117" s="28"/>
    </row>
    <row r="118" spans="1:21" x14ac:dyDescent="0.25">
      <c r="A118" s="536" t="s">
        <v>19</v>
      </c>
      <c r="B118" s="533"/>
      <c r="C118" s="180"/>
      <c r="D118" s="180"/>
      <c r="E118" s="180"/>
      <c r="F118" s="180"/>
      <c r="G118" s="182"/>
      <c r="H118" s="533">
        <v>0.41</v>
      </c>
      <c r="I118" s="180">
        <v>246.4</v>
      </c>
      <c r="J118" s="20">
        <v>0.2</v>
      </c>
      <c r="K118" s="20">
        <f t="shared" si="71"/>
        <v>49.28</v>
      </c>
      <c r="L118" s="20">
        <f t="shared" si="72"/>
        <v>11.87</v>
      </c>
      <c r="M118" s="21">
        <f t="shared" si="73"/>
        <v>61.15</v>
      </c>
      <c r="N118" s="179"/>
      <c r="O118" s="20"/>
      <c r="P118" s="20"/>
      <c r="Q118" s="180"/>
      <c r="R118" s="180"/>
      <c r="S118" s="182"/>
      <c r="U118" s="28"/>
    </row>
    <row r="119" spans="1:21" x14ac:dyDescent="0.25">
      <c r="A119" s="536" t="s">
        <v>19</v>
      </c>
      <c r="B119" s="533"/>
      <c r="C119" s="180"/>
      <c r="D119" s="180"/>
      <c r="E119" s="180"/>
      <c r="F119" s="180"/>
      <c r="G119" s="182"/>
      <c r="H119" s="533">
        <v>0.61</v>
      </c>
      <c r="I119" s="180">
        <v>369.6</v>
      </c>
      <c r="J119" s="20">
        <v>0.2</v>
      </c>
      <c r="K119" s="20">
        <f t="shared" si="71"/>
        <v>73.92</v>
      </c>
      <c r="L119" s="20">
        <f t="shared" si="72"/>
        <v>17.809999999999999</v>
      </c>
      <c r="M119" s="21">
        <f t="shared" si="73"/>
        <v>91.73</v>
      </c>
      <c r="N119" s="179"/>
      <c r="O119" s="20"/>
      <c r="P119" s="20"/>
      <c r="Q119" s="180"/>
      <c r="R119" s="180"/>
      <c r="S119" s="182"/>
      <c r="U119" s="28"/>
    </row>
    <row r="120" spans="1:21" x14ac:dyDescent="0.25">
      <c r="A120" s="536" t="s">
        <v>19</v>
      </c>
      <c r="B120" s="533"/>
      <c r="C120" s="180"/>
      <c r="D120" s="180"/>
      <c r="E120" s="180"/>
      <c r="F120" s="180"/>
      <c r="G120" s="182"/>
      <c r="H120" s="533">
        <v>0.15</v>
      </c>
      <c r="I120" s="180">
        <v>92.4</v>
      </c>
      <c r="J120" s="20">
        <v>0.2</v>
      </c>
      <c r="K120" s="20">
        <f t="shared" si="71"/>
        <v>18.48</v>
      </c>
      <c r="L120" s="20">
        <f t="shared" si="72"/>
        <v>4.45</v>
      </c>
      <c r="M120" s="21">
        <f t="shared" si="73"/>
        <v>22.93</v>
      </c>
      <c r="N120" s="179"/>
      <c r="O120" s="20"/>
      <c r="P120" s="20"/>
      <c r="Q120" s="180"/>
      <c r="R120" s="180"/>
      <c r="S120" s="182"/>
      <c r="U120" s="28"/>
    </row>
    <row r="121" spans="1:21" x14ac:dyDescent="0.25">
      <c r="A121" s="536" t="s">
        <v>19</v>
      </c>
      <c r="B121" s="533"/>
      <c r="C121" s="180"/>
      <c r="D121" s="180"/>
      <c r="E121" s="180"/>
      <c r="F121" s="180"/>
      <c r="G121" s="182"/>
      <c r="H121" s="533">
        <v>0.06</v>
      </c>
      <c r="I121" s="180">
        <v>34.65</v>
      </c>
      <c r="J121" s="20">
        <v>0.2</v>
      </c>
      <c r="K121" s="20">
        <f t="shared" si="71"/>
        <v>6.93</v>
      </c>
      <c r="L121" s="20">
        <f t="shared" si="72"/>
        <v>1.67</v>
      </c>
      <c r="M121" s="21">
        <f t="shared" si="73"/>
        <v>8.6</v>
      </c>
      <c r="N121" s="179"/>
      <c r="O121" s="20"/>
      <c r="P121" s="20"/>
      <c r="Q121" s="180"/>
      <c r="R121" s="180"/>
      <c r="S121" s="182"/>
      <c r="U121" s="28"/>
    </row>
    <row r="122" spans="1:21" ht="17.25" thickBot="1" x14ac:dyDescent="0.3">
      <c r="A122" s="536" t="s">
        <v>158</v>
      </c>
      <c r="B122" s="538"/>
      <c r="C122" s="23"/>
      <c r="D122" s="23"/>
      <c r="E122" s="23"/>
      <c r="F122" s="23"/>
      <c r="G122" s="24"/>
      <c r="H122" s="529">
        <v>1</v>
      </c>
      <c r="I122" s="20">
        <v>550</v>
      </c>
      <c r="J122" s="20">
        <v>0.2</v>
      </c>
      <c r="K122" s="20">
        <f t="shared" si="71"/>
        <v>110</v>
      </c>
      <c r="L122" s="20">
        <f t="shared" si="72"/>
        <v>26.5</v>
      </c>
      <c r="M122" s="21">
        <f t="shared" si="73"/>
        <v>136.5</v>
      </c>
      <c r="N122" s="19"/>
      <c r="O122" s="20"/>
      <c r="P122" s="20"/>
      <c r="Q122" s="20"/>
      <c r="R122" s="20"/>
      <c r="S122" s="21"/>
      <c r="U122" s="28"/>
    </row>
    <row r="123" spans="1:21" ht="24" customHeight="1" x14ac:dyDescent="0.25">
      <c r="A123" s="535" t="s">
        <v>160</v>
      </c>
      <c r="B123" s="530"/>
      <c r="C123" s="125"/>
      <c r="D123" s="125"/>
      <c r="E123" s="125"/>
      <c r="F123" s="125"/>
      <c r="G123" s="200"/>
      <c r="H123" s="205">
        <f t="shared" ref="H123" si="74">H124+H133+H145+H150</f>
        <v>15.91</v>
      </c>
      <c r="I123" s="205"/>
      <c r="J123" s="205"/>
      <c r="K123" s="205">
        <f>K124+K133+K145+K150</f>
        <v>3330.86</v>
      </c>
      <c r="L123" s="205">
        <f t="shared" ref="L123:M123" si="75">L124+L133+L145+L150</f>
        <v>802.42</v>
      </c>
      <c r="M123" s="205">
        <f t="shared" si="75"/>
        <v>4133.28</v>
      </c>
      <c r="N123" s="202"/>
      <c r="O123" s="203"/>
      <c r="P123" s="125"/>
      <c r="Q123" s="203"/>
      <c r="R123" s="203"/>
      <c r="S123" s="204"/>
      <c r="U123" s="28"/>
    </row>
    <row r="124" spans="1:21" ht="33" x14ac:dyDescent="0.25">
      <c r="A124" s="536" t="s">
        <v>14</v>
      </c>
      <c r="B124" s="529"/>
      <c r="C124" s="20"/>
      <c r="D124" s="20"/>
      <c r="E124" s="20"/>
      <c r="F124" s="20"/>
      <c r="G124" s="21"/>
      <c r="H124" s="30">
        <f t="shared" ref="H124" si="76">SUM(H125:H132)</f>
        <v>4.55</v>
      </c>
      <c r="I124" s="30"/>
      <c r="J124" s="30"/>
      <c r="K124" s="30">
        <f>SUM(K125:K132)</f>
        <v>1427.2</v>
      </c>
      <c r="L124" s="30">
        <f>SUM(L125:L132)</f>
        <v>343.81999999999994</v>
      </c>
      <c r="M124" s="30">
        <f>SUM(M125:M132)</f>
        <v>1771.0200000000002</v>
      </c>
      <c r="N124" s="19"/>
      <c r="O124" s="20"/>
      <c r="P124" s="20"/>
      <c r="Q124" s="20"/>
      <c r="R124" s="20"/>
      <c r="S124" s="21"/>
      <c r="U124" s="28"/>
    </row>
    <row r="125" spans="1:21" x14ac:dyDescent="0.25">
      <c r="A125" s="536" t="s">
        <v>80</v>
      </c>
      <c r="B125" s="529"/>
      <c r="C125" s="20"/>
      <c r="D125" s="20"/>
      <c r="E125" s="20"/>
      <c r="F125" s="20"/>
      <c r="G125" s="21"/>
      <c r="H125" s="529">
        <v>1.37</v>
      </c>
      <c r="I125" s="20">
        <v>2170</v>
      </c>
      <c r="J125" s="20">
        <v>0.2</v>
      </c>
      <c r="K125" s="20">
        <f t="shared" ref="K125:K132" si="77">ROUND(I125*J125,2)</f>
        <v>434</v>
      </c>
      <c r="L125" s="20">
        <f t="shared" ref="L125:L132" si="78">ROUND(K125*0.2409,2)</f>
        <v>104.55</v>
      </c>
      <c r="M125" s="21">
        <f>K125+L125</f>
        <v>538.54999999999995</v>
      </c>
      <c r="N125" s="19"/>
      <c r="O125" s="20"/>
      <c r="P125" s="20"/>
      <c r="Q125" s="20"/>
      <c r="R125" s="20"/>
      <c r="S125" s="21"/>
      <c r="U125" s="28"/>
    </row>
    <row r="126" spans="1:21" x14ac:dyDescent="0.25">
      <c r="A126" s="536" t="s">
        <v>80</v>
      </c>
      <c r="B126" s="529"/>
      <c r="C126" s="20"/>
      <c r="D126" s="20"/>
      <c r="E126" s="20"/>
      <c r="F126" s="20"/>
      <c r="G126" s="21"/>
      <c r="H126" s="529">
        <v>1.37</v>
      </c>
      <c r="I126" s="20">
        <v>2160</v>
      </c>
      <c r="J126" s="20">
        <v>0.2</v>
      </c>
      <c r="K126" s="20">
        <f t="shared" si="77"/>
        <v>432</v>
      </c>
      <c r="L126" s="20">
        <f t="shared" si="78"/>
        <v>104.07</v>
      </c>
      <c r="M126" s="21">
        <f t="shared" ref="M126:M132" si="79">K126+L126</f>
        <v>536.06999999999994</v>
      </c>
      <c r="N126" s="19"/>
      <c r="O126" s="20"/>
      <c r="P126" s="20"/>
      <c r="Q126" s="20"/>
      <c r="R126" s="20"/>
      <c r="S126" s="21"/>
      <c r="U126" s="28"/>
    </row>
    <row r="127" spans="1:21" x14ac:dyDescent="0.25">
      <c r="A127" s="536" t="s">
        <v>80</v>
      </c>
      <c r="B127" s="529"/>
      <c r="C127" s="20"/>
      <c r="D127" s="20"/>
      <c r="E127" s="20"/>
      <c r="F127" s="20"/>
      <c r="G127" s="21"/>
      <c r="H127" s="529">
        <v>0.2</v>
      </c>
      <c r="I127" s="20">
        <v>320</v>
      </c>
      <c r="J127" s="20">
        <v>0.2</v>
      </c>
      <c r="K127" s="20">
        <f t="shared" si="77"/>
        <v>64</v>
      </c>
      <c r="L127" s="20">
        <f t="shared" si="78"/>
        <v>15.42</v>
      </c>
      <c r="M127" s="21">
        <f t="shared" si="79"/>
        <v>79.42</v>
      </c>
      <c r="N127" s="19"/>
      <c r="O127" s="20"/>
      <c r="P127" s="20"/>
      <c r="Q127" s="20"/>
      <c r="R127" s="20"/>
      <c r="S127" s="21"/>
      <c r="U127" s="28"/>
    </row>
    <row r="128" spans="1:21" x14ac:dyDescent="0.25">
      <c r="A128" s="536" t="s">
        <v>80</v>
      </c>
      <c r="B128" s="529"/>
      <c r="C128" s="20"/>
      <c r="D128" s="20"/>
      <c r="E128" s="20"/>
      <c r="F128" s="20"/>
      <c r="G128" s="21"/>
      <c r="H128" s="529">
        <v>0.3</v>
      </c>
      <c r="I128" s="20">
        <v>480</v>
      </c>
      <c r="J128" s="20">
        <v>0.2</v>
      </c>
      <c r="K128" s="20">
        <f t="shared" si="77"/>
        <v>96</v>
      </c>
      <c r="L128" s="20">
        <f t="shared" si="78"/>
        <v>23.13</v>
      </c>
      <c r="M128" s="21">
        <f t="shared" si="79"/>
        <v>119.13</v>
      </c>
      <c r="N128" s="19"/>
      <c r="O128" s="20"/>
      <c r="P128" s="20"/>
      <c r="Q128" s="20"/>
      <c r="R128" s="20"/>
      <c r="S128" s="21"/>
      <c r="U128" s="28"/>
    </row>
    <row r="129" spans="1:21" x14ac:dyDescent="0.25">
      <c r="A129" s="536" t="s">
        <v>80</v>
      </c>
      <c r="B129" s="529"/>
      <c r="C129" s="20"/>
      <c r="D129" s="20"/>
      <c r="E129" s="20"/>
      <c r="F129" s="20"/>
      <c r="G129" s="21"/>
      <c r="H129" s="529">
        <v>0.15</v>
      </c>
      <c r="I129" s="20">
        <v>240</v>
      </c>
      <c r="J129" s="20">
        <v>0.2</v>
      </c>
      <c r="K129" s="20">
        <f t="shared" si="77"/>
        <v>48</v>
      </c>
      <c r="L129" s="20">
        <f t="shared" si="78"/>
        <v>11.56</v>
      </c>
      <c r="M129" s="21">
        <f t="shared" si="79"/>
        <v>59.56</v>
      </c>
      <c r="N129" s="19"/>
      <c r="O129" s="20"/>
      <c r="P129" s="20"/>
      <c r="Q129" s="20"/>
      <c r="R129" s="20"/>
      <c r="S129" s="21"/>
      <c r="U129" s="28"/>
    </row>
    <row r="130" spans="1:21" x14ac:dyDescent="0.25">
      <c r="A130" s="536" t="s">
        <v>80</v>
      </c>
      <c r="B130" s="529"/>
      <c r="C130" s="20"/>
      <c r="D130" s="20"/>
      <c r="E130" s="20"/>
      <c r="F130" s="20"/>
      <c r="G130" s="21"/>
      <c r="H130" s="529">
        <v>0.3</v>
      </c>
      <c r="I130" s="20">
        <v>480</v>
      </c>
      <c r="J130" s="20">
        <v>0.2</v>
      </c>
      <c r="K130" s="20">
        <f t="shared" si="77"/>
        <v>96</v>
      </c>
      <c r="L130" s="20">
        <f t="shared" si="78"/>
        <v>23.13</v>
      </c>
      <c r="M130" s="21">
        <f t="shared" si="79"/>
        <v>119.13</v>
      </c>
      <c r="N130" s="19"/>
      <c r="O130" s="20"/>
      <c r="P130" s="20"/>
      <c r="Q130" s="20"/>
      <c r="R130" s="20"/>
      <c r="S130" s="21"/>
      <c r="U130" s="28"/>
    </row>
    <row r="131" spans="1:21" x14ac:dyDescent="0.25">
      <c r="A131" s="536" t="s">
        <v>80</v>
      </c>
      <c r="B131" s="529"/>
      <c r="C131" s="20"/>
      <c r="D131" s="20"/>
      <c r="E131" s="20"/>
      <c r="F131" s="20"/>
      <c r="G131" s="21"/>
      <c r="H131" s="529">
        <v>0.45</v>
      </c>
      <c r="I131" s="20">
        <v>710</v>
      </c>
      <c r="J131" s="20">
        <v>0.2</v>
      </c>
      <c r="K131" s="20">
        <f t="shared" si="77"/>
        <v>142</v>
      </c>
      <c r="L131" s="20">
        <f t="shared" si="78"/>
        <v>34.21</v>
      </c>
      <c r="M131" s="21">
        <f t="shared" si="79"/>
        <v>176.21</v>
      </c>
      <c r="N131" s="19"/>
      <c r="O131" s="20"/>
      <c r="P131" s="20"/>
      <c r="Q131" s="20"/>
      <c r="R131" s="20"/>
      <c r="S131" s="21"/>
      <c r="U131" s="28"/>
    </row>
    <row r="132" spans="1:21" x14ac:dyDescent="0.25">
      <c r="A132" s="536" t="s">
        <v>80</v>
      </c>
      <c r="B132" s="529"/>
      <c r="C132" s="20"/>
      <c r="D132" s="20"/>
      <c r="E132" s="20"/>
      <c r="F132" s="20"/>
      <c r="G132" s="21"/>
      <c r="H132" s="529">
        <v>0.41</v>
      </c>
      <c r="I132" s="20">
        <v>576</v>
      </c>
      <c r="J132" s="20">
        <v>0.2</v>
      </c>
      <c r="K132" s="20">
        <f t="shared" si="77"/>
        <v>115.2</v>
      </c>
      <c r="L132" s="20">
        <f t="shared" si="78"/>
        <v>27.75</v>
      </c>
      <c r="M132" s="21">
        <f t="shared" si="79"/>
        <v>142.94999999999999</v>
      </c>
      <c r="N132" s="19"/>
      <c r="O132" s="20"/>
      <c r="P132" s="20"/>
      <c r="Q132" s="20"/>
      <c r="R132" s="20"/>
      <c r="S132" s="21"/>
      <c r="U132" s="28"/>
    </row>
    <row r="133" spans="1:21" ht="49.5" customHeight="1" x14ac:dyDescent="0.25">
      <c r="A133" s="536" t="s">
        <v>12</v>
      </c>
      <c r="B133" s="529"/>
      <c r="C133" s="20"/>
      <c r="D133" s="20"/>
      <c r="E133" s="20"/>
      <c r="F133" s="20"/>
      <c r="G133" s="21"/>
      <c r="H133" s="30">
        <f t="shared" ref="H133" si="80">SUM(H134:H144)</f>
        <v>6.8100000000000005</v>
      </c>
      <c r="I133" s="30"/>
      <c r="J133" s="30"/>
      <c r="K133" s="30">
        <f>SUM(K134:K144)</f>
        <v>1275.3400000000001</v>
      </c>
      <c r="L133" s="30">
        <f t="shared" ref="L133:M133" si="81">SUM(L134:L144)</f>
        <v>307.23</v>
      </c>
      <c r="M133" s="30">
        <f t="shared" si="81"/>
        <v>1582.5699999999997</v>
      </c>
      <c r="N133" s="19"/>
      <c r="O133" s="20"/>
      <c r="P133" s="20"/>
      <c r="Q133" s="20"/>
      <c r="R133" s="20"/>
      <c r="S133" s="21"/>
      <c r="U133" s="28"/>
    </row>
    <row r="134" spans="1:21" x14ac:dyDescent="0.25">
      <c r="A134" s="536" t="s">
        <v>16</v>
      </c>
      <c r="B134" s="529"/>
      <c r="C134" s="20"/>
      <c r="D134" s="20"/>
      <c r="E134" s="20"/>
      <c r="F134" s="20"/>
      <c r="G134" s="21"/>
      <c r="H134" s="529">
        <v>1</v>
      </c>
      <c r="I134" s="20">
        <v>1100</v>
      </c>
      <c r="J134" s="20">
        <v>0.2</v>
      </c>
      <c r="K134" s="20">
        <f t="shared" ref="K134:K144" si="82">ROUND(I134*J134,2)</f>
        <v>220</v>
      </c>
      <c r="L134" s="20">
        <f t="shared" ref="L134:L144" si="83">ROUND(K134*0.2409,2)</f>
        <v>53</v>
      </c>
      <c r="M134" s="21">
        <f>K134+L134</f>
        <v>273</v>
      </c>
      <c r="N134" s="19"/>
      <c r="O134" s="20"/>
      <c r="P134" s="20"/>
      <c r="Q134" s="20"/>
      <c r="R134" s="20"/>
      <c r="S134" s="21"/>
      <c r="U134" s="28"/>
    </row>
    <row r="135" spans="1:21" x14ac:dyDescent="0.25">
      <c r="A135" s="536" t="s">
        <v>17</v>
      </c>
      <c r="B135" s="529"/>
      <c r="C135" s="20"/>
      <c r="D135" s="20"/>
      <c r="E135" s="20"/>
      <c r="F135" s="20"/>
      <c r="G135" s="21"/>
      <c r="H135" s="529">
        <v>1.01</v>
      </c>
      <c r="I135" s="20">
        <v>880</v>
      </c>
      <c r="J135" s="20">
        <v>0.2</v>
      </c>
      <c r="K135" s="20">
        <f t="shared" si="82"/>
        <v>176</v>
      </c>
      <c r="L135" s="20">
        <f t="shared" si="83"/>
        <v>42.4</v>
      </c>
      <c r="M135" s="21">
        <f t="shared" ref="M135:M142" si="84">K135+L135</f>
        <v>218.4</v>
      </c>
      <c r="N135" s="19"/>
      <c r="O135" s="20"/>
      <c r="P135" s="20"/>
      <c r="Q135" s="20"/>
      <c r="R135" s="20"/>
      <c r="S135" s="21"/>
      <c r="U135" s="28"/>
    </row>
    <row r="136" spans="1:21" x14ac:dyDescent="0.25">
      <c r="A136" s="536" t="s">
        <v>17</v>
      </c>
      <c r="B136" s="529"/>
      <c r="C136" s="20"/>
      <c r="D136" s="20"/>
      <c r="E136" s="20"/>
      <c r="F136" s="20"/>
      <c r="G136" s="21"/>
      <c r="H136" s="529">
        <v>1.01</v>
      </c>
      <c r="I136" s="20">
        <v>880</v>
      </c>
      <c r="J136" s="20">
        <v>0.2</v>
      </c>
      <c r="K136" s="20">
        <f t="shared" si="82"/>
        <v>176</v>
      </c>
      <c r="L136" s="20">
        <f t="shared" si="83"/>
        <v>42.4</v>
      </c>
      <c r="M136" s="21">
        <f t="shared" si="84"/>
        <v>218.4</v>
      </c>
      <c r="N136" s="19"/>
      <c r="O136" s="20"/>
      <c r="P136" s="20"/>
      <c r="Q136" s="20"/>
      <c r="R136" s="20"/>
      <c r="S136" s="21"/>
      <c r="U136" s="28"/>
    </row>
    <row r="137" spans="1:21" x14ac:dyDescent="0.25">
      <c r="A137" s="536" t="s">
        <v>17</v>
      </c>
      <c r="B137" s="529"/>
      <c r="C137" s="20"/>
      <c r="D137" s="20"/>
      <c r="E137" s="20"/>
      <c r="F137" s="20"/>
      <c r="G137" s="21"/>
      <c r="H137" s="529">
        <v>1.08</v>
      </c>
      <c r="I137" s="20">
        <v>1028.5</v>
      </c>
      <c r="J137" s="20">
        <v>0.2</v>
      </c>
      <c r="K137" s="20">
        <f t="shared" si="82"/>
        <v>205.7</v>
      </c>
      <c r="L137" s="20">
        <f t="shared" si="83"/>
        <v>49.55</v>
      </c>
      <c r="M137" s="21">
        <f t="shared" si="84"/>
        <v>255.25</v>
      </c>
      <c r="N137" s="19"/>
      <c r="O137" s="20"/>
      <c r="P137" s="20"/>
      <c r="Q137" s="20"/>
      <c r="R137" s="20"/>
      <c r="S137" s="21"/>
      <c r="U137" s="28"/>
    </row>
    <row r="138" spans="1:21" x14ac:dyDescent="0.25">
      <c r="A138" s="536" t="s">
        <v>17</v>
      </c>
      <c r="B138" s="529"/>
      <c r="C138" s="20"/>
      <c r="D138" s="20"/>
      <c r="E138" s="20"/>
      <c r="F138" s="20"/>
      <c r="G138" s="21"/>
      <c r="H138" s="529">
        <v>1</v>
      </c>
      <c r="I138" s="20">
        <v>869</v>
      </c>
      <c r="J138" s="20">
        <v>0.2</v>
      </c>
      <c r="K138" s="20">
        <f t="shared" si="82"/>
        <v>173.8</v>
      </c>
      <c r="L138" s="20">
        <f t="shared" si="83"/>
        <v>41.87</v>
      </c>
      <c r="M138" s="21">
        <f t="shared" si="84"/>
        <v>215.67000000000002</v>
      </c>
      <c r="N138" s="19"/>
      <c r="O138" s="20"/>
      <c r="P138" s="20"/>
      <c r="Q138" s="20"/>
      <c r="R138" s="20"/>
      <c r="S138" s="21"/>
      <c r="U138" s="28"/>
    </row>
    <row r="139" spans="1:21" x14ac:dyDescent="0.25">
      <c r="A139" s="536" t="s">
        <v>17</v>
      </c>
      <c r="B139" s="529"/>
      <c r="C139" s="20"/>
      <c r="D139" s="20"/>
      <c r="E139" s="20"/>
      <c r="F139" s="20"/>
      <c r="G139" s="21"/>
      <c r="H139" s="529">
        <v>0.15</v>
      </c>
      <c r="I139" s="20">
        <v>145.19999999999999</v>
      </c>
      <c r="J139" s="20">
        <v>0.2</v>
      </c>
      <c r="K139" s="20">
        <f t="shared" si="82"/>
        <v>29.04</v>
      </c>
      <c r="L139" s="20">
        <f t="shared" si="83"/>
        <v>7</v>
      </c>
      <c r="M139" s="21">
        <f t="shared" si="84"/>
        <v>36.04</v>
      </c>
      <c r="N139" s="19"/>
      <c r="O139" s="20"/>
      <c r="P139" s="20"/>
      <c r="Q139" s="20"/>
      <c r="R139" s="20"/>
      <c r="S139" s="21"/>
      <c r="U139" s="28"/>
    </row>
    <row r="140" spans="1:21" x14ac:dyDescent="0.25">
      <c r="A140" s="536" t="s">
        <v>17</v>
      </c>
      <c r="B140" s="529"/>
      <c r="C140" s="20"/>
      <c r="D140" s="20"/>
      <c r="E140" s="20"/>
      <c r="F140" s="20"/>
      <c r="G140" s="21"/>
      <c r="H140" s="529">
        <v>0.44</v>
      </c>
      <c r="I140" s="20">
        <v>423.5</v>
      </c>
      <c r="J140" s="20">
        <v>0.2</v>
      </c>
      <c r="K140" s="20">
        <f t="shared" si="82"/>
        <v>84.7</v>
      </c>
      <c r="L140" s="20">
        <f t="shared" si="83"/>
        <v>20.399999999999999</v>
      </c>
      <c r="M140" s="21">
        <f t="shared" si="84"/>
        <v>105.1</v>
      </c>
      <c r="N140" s="19"/>
      <c r="O140" s="20"/>
      <c r="P140" s="20"/>
      <c r="Q140" s="20"/>
      <c r="R140" s="20"/>
      <c r="S140" s="21"/>
      <c r="U140" s="28"/>
    </row>
    <row r="141" spans="1:21" x14ac:dyDescent="0.25">
      <c r="A141" s="536" t="s">
        <v>17</v>
      </c>
      <c r="B141" s="529"/>
      <c r="C141" s="20"/>
      <c r="D141" s="20"/>
      <c r="E141" s="20"/>
      <c r="F141" s="20"/>
      <c r="G141" s="21"/>
      <c r="H141" s="529">
        <v>0.44</v>
      </c>
      <c r="I141" s="20">
        <v>423.5</v>
      </c>
      <c r="J141" s="20">
        <v>0.2</v>
      </c>
      <c r="K141" s="20">
        <f t="shared" si="82"/>
        <v>84.7</v>
      </c>
      <c r="L141" s="20">
        <f t="shared" si="83"/>
        <v>20.399999999999999</v>
      </c>
      <c r="M141" s="21">
        <f t="shared" si="84"/>
        <v>105.1</v>
      </c>
      <c r="N141" s="19"/>
      <c r="O141" s="20"/>
      <c r="P141" s="20"/>
      <c r="Q141" s="20"/>
      <c r="R141" s="20"/>
      <c r="S141" s="21"/>
      <c r="U141" s="28"/>
    </row>
    <row r="142" spans="1:21" x14ac:dyDescent="0.25">
      <c r="A142" s="536" t="s">
        <v>17</v>
      </c>
      <c r="B142" s="529"/>
      <c r="C142" s="20"/>
      <c r="D142" s="20"/>
      <c r="E142" s="20"/>
      <c r="F142" s="20"/>
      <c r="G142" s="21"/>
      <c r="H142" s="529">
        <v>0.25</v>
      </c>
      <c r="I142" s="20">
        <v>242</v>
      </c>
      <c r="J142" s="20">
        <v>0.2</v>
      </c>
      <c r="K142" s="20">
        <f t="shared" si="82"/>
        <v>48.4</v>
      </c>
      <c r="L142" s="20">
        <f t="shared" si="83"/>
        <v>11.66</v>
      </c>
      <c r="M142" s="21">
        <f t="shared" si="84"/>
        <v>60.06</v>
      </c>
      <c r="N142" s="19"/>
      <c r="O142" s="20"/>
      <c r="P142" s="20"/>
      <c r="Q142" s="20"/>
      <c r="R142" s="20"/>
      <c r="S142" s="21"/>
      <c r="U142" s="28"/>
    </row>
    <row r="143" spans="1:21" x14ac:dyDescent="0.25">
      <c r="A143" s="536" t="s">
        <v>21</v>
      </c>
      <c r="B143" s="529"/>
      <c r="C143" s="20"/>
      <c r="D143" s="20"/>
      <c r="E143" s="20"/>
      <c r="F143" s="20"/>
      <c r="G143" s="21"/>
      <c r="H143" s="529">
        <v>0.3</v>
      </c>
      <c r="I143" s="20">
        <v>264</v>
      </c>
      <c r="J143" s="20">
        <v>0.2</v>
      </c>
      <c r="K143" s="20">
        <f t="shared" si="82"/>
        <v>52.8</v>
      </c>
      <c r="L143" s="20">
        <f t="shared" si="83"/>
        <v>12.72</v>
      </c>
      <c r="M143" s="21">
        <f>K143+L143</f>
        <v>65.52</v>
      </c>
      <c r="N143" s="19"/>
      <c r="O143" s="20"/>
      <c r="P143" s="20"/>
      <c r="Q143" s="20"/>
      <c r="R143" s="20"/>
      <c r="S143" s="21"/>
      <c r="U143" s="28"/>
    </row>
    <row r="144" spans="1:21" x14ac:dyDescent="0.25">
      <c r="A144" s="536" t="s">
        <v>21</v>
      </c>
      <c r="B144" s="529"/>
      <c r="C144" s="20"/>
      <c r="D144" s="20"/>
      <c r="E144" s="20"/>
      <c r="F144" s="20"/>
      <c r="G144" s="21"/>
      <c r="H144" s="529">
        <v>0.13</v>
      </c>
      <c r="I144" s="20">
        <v>121</v>
      </c>
      <c r="J144" s="20">
        <v>0.2</v>
      </c>
      <c r="K144" s="20">
        <f t="shared" si="82"/>
        <v>24.2</v>
      </c>
      <c r="L144" s="20">
        <f t="shared" si="83"/>
        <v>5.83</v>
      </c>
      <c r="M144" s="21">
        <f>K144+L144</f>
        <v>30.03</v>
      </c>
      <c r="N144" s="19"/>
      <c r="O144" s="20"/>
      <c r="P144" s="20"/>
      <c r="Q144" s="20"/>
      <c r="R144" s="20"/>
      <c r="S144" s="21"/>
      <c r="U144" s="28"/>
    </row>
    <row r="145" spans="1:21" ht="64.5" customHeight="1" x14ac:dyDescent="0.25">
      <c r="A145" s="536" t="s">
        <v>13</v>
      </c>
      <c r="B145" s="529"/>
      <c r="C145" s="20"/>
      <c r="D145" s="20"/>
      <c r="E145" s="20"/>
      <c r="F145" s="20"/>
      <c r="G145" s="21"/>
      <c r="H145" s="30">
        <f t="shared" ref="H145" si="85">SUM(H146:H149)</f>
        <v>4.25</v>
      </c>
      <c r="I145" s="30"/>
      <c r="J145" s="30"/>
      <c r="K145" s="30">
        <f>SUM(K146:K149)</f>
        <v>591.36</v>
      </c>
      <c r="L145" s="30">
        <f t="shared" ref="L145:M145" si="86">SUM(L146:L149)</f>
        <v>142.47</v>
      </c>
      <c r="M145" s="30">
        <f t="shared" si="86"/>
        <v>733.82999999999993</v>
      </c>
      <c r="N145" s="19"/>
      <c r="O145" s="20"/>
      <c r="P145" s="20"/>
      <c r="Q145" s="20"/>
      <c r="R145" s="20"/>
      <c r="S145" s="21"/>
      <c r="U145" s="28"/>
    </row>
    <row r="146" spans="1:21" x14ac:dyDescent="0.25">
      <c r="A146" s="536" t="s">
        <v>156</v>
      </c>
      <c r="B146" s="529"/>
      <c r="C146" s="20"/>
      <c r="D146" s="20"/>
      <c r="E146" s="20"/>
      <c r="F146" s="20"/>
      <c r="G146" s="21"/>
      <c r="H146" s="529">
        <v>1.29</v>
      </c>
      <c r="I146" s="20">
        <v>897.6</v>
      </c>
      <c r="J146" s="20">
        <v>0.2</v>
      </c>
      <c r="K146" s="20">
        <f t="shared" ref="K146:K149" si="87">ROUND(I146*J146,2)</f>
        <v>179.52</v>
      </c>
      <c r="L146" s="20">
        <f t="shared" ref="L146:L149" si="88">ROUND(K146*0.2409,2)</f>
        <v>43.25</v>
      </c>
      <c r="M146" s="21">
        <f t="shared" ref="M146:M149" si="89">K146+L146</f>
        <v>222.77</v>
      </c>
      <c r="N146" s="19"/>
      <c r="O146" s="20"/>
      <c r="P146" s="20"/>
      <c r="Q146" s="20"/>
      <c r="R146" s="20"/>
      <c r="S146" s="21"/>
      <c r="U146" s="28"/>
    </row>
    <row r="147" spans="1:21" x14ac:dyDescent="0.25">
      <c r="A147" s="536" t="s">
        <v>156</v>
      </c>
      <c r="B147" s="529"/>
      <c r="C147" s="20"/>
      <c r="D147" s="20"/>
      <c r="E147" s="20"/>
      <c r="F147" s="20"/>
      <c r="G147" s="21"/>
      <c r="H147" s="529">
        <v>1.42</v>
      </c>
      <c r="I147" s="20">
        <v>985.60000000000014</v>
      </c>
      <c r="J147" s="20">
        <v>0.2</v>
      </c>
      <c r="K147" s="20">
        <f t="shared" si="87"/>
        <v>197.12</v>
      </c>
      <c r="L147" s="20">
        <f t="shared" si="88"/>
        <v>47.49</v>
      </c>
      <c r="M147" s="21">
        <f t="shared" si="89"/>
        <v>244.61</v>
      </c>
      <c r="N147" s="19"/>
      <c r="O147" s="20"/>
      <c r="P147" s="20"/>
      <c r="Q147" s="20"/>
      <c r="R147" s="20"/>
      <c r="S147" s="21"/>
      <c r="U147" s="28"/>
    </row>
    <row r="148" spans="1:21" x14ac:dyDescent="0.25">
      <c r="A148" s="536" t="s">
        <v>156</v>
      </c>
      <c r="B148" s="529"/>
      <c r="C148" s="20"/>
      <c r="D148" s="20"/>
      <c r="E148" s="20"/>
      <c r="F148" s="20"/>
      <c r="G148" s="21"/>
      <c r="H148" s="529">
        <v>1.29</v>
      </c>
      <c r="I148" s="20">
        <v>897.6</v>
      </c>
      <c r="J148" s="20">
        <v>0.2</v>
      </c>
      <c r="K148" s="20">
        <f t="shared" si="87"/>
        <v>179.52</v>
      </c>
      <c r="L148" s="20">
        <f t="shared" si="88"/>
        <v>43.25</v>
      </c>
      <c r="M148" s="21">
        <f t="shared" si="89"/>
        <v>222.77</v>
      </c>
      <c r="N148" s="19"/>
      <c r="O148" s="20"/>
      <c r="P148" s="20"/>
      <c r="Q148" s="20"/>
      <c r="R148" s="20"/>
      <c r="S148" s="21"/>
      <c r="U148" s="28"/>
    </row>
    <row r="149" spans="1:21" x14ac:dyDescent="0.25">
      <c r="A149" s="536" t="s">
        <v>156</v>
      </c>
      <c r="B149" s="529"/>
      <c r="C149" s="20"/>
      <c r="D149" s="20"/>
      <c r="E149" s="20"/>
      <c r="F149" s="20"/>
      <c r="G149" s="21"/>
      <c r="H149" s="529">
        <v>0.25</v>
      </c>
      <c r="I149" s="20">
        <v>176</v>
      </c>
      <c r="J149" s="20">
        <v>0.2</v>
      </c>
      <c r="K149" s="20">
        <f t="shared" si="87"/>
        <v>35.200000000000003</v>
      </c>
      <c r="L149" s="20">
        <f t="shared" si="88"/>
        <v>8.48</v>
      </c>
      <c r="M149" s="21">
        <f t="shared" si="89"/>
        <v>43.680000000000007</v>
      </c>
      <c r="N149" s="19"/>
      <c r="O149" s="20"/>
      <c r="P149" s="20"/>
      <c r="Q149" s="20"/>
      <c r="R149" s="20"/>
      <c r="S149" s="21"/>
      <c r="U149" s="28"/>
    </row>
    <row r="150" spans="1:21" ht="37.5" customHeight="1" x14ac:dyDescent="0.25">
      <c r="A150" s="536" t="s">
        <v>11</v>
      </c>
      <c r="B150" s="529"/>
      <c r="C150" s="20"/>
      <c r="D150" s="20"/>
      <c r="E150" s="20"/>
      <c r="F150" s="20"/>
      <c r="G150" s="21"/>
      <c r="H150" s="30">
        <f t="shared" ref="H150" si="90">H151</f>
        <v>0.3</v>
      </c>
      <c r="I150" s="30"/>
      <c r="J150" s="30"/>
      <c r="K150" s="30">
        <f>K151</f>
        <v>36.96</v>
      </c>
      <c r="L150" s="30">
        <f t="shared" ref="L150:M150" si="91">L151</f>
        <v>8.9</v>
      </c>
      <c r="M150" s="30">
        <f t="shared" si="91"/>
        <v>45.86</v>
      </c>
      <c r="N150" s="19"/>
      <c r="O150" s="20"/>
      <c r="P150" s="20"/>
      <c r="Q150" s="20"/>
      <c r="R150" s="20"/>
      <c r="S150" s="21"/>
      <c r="U150" s="28"/>
    </row>
    <row r="151" spans="1:21" x14ac:dyDescent="0.25">
      <c r="A151" s="536" t="s">
        <v>19</v>
      </c>
      <c r="B151" s="529"/>
      <c r="C151" s="20"/>
      <c r="D151" s="20"/>
      <c r="E151" s="20"/>
      <c r="F151" s="20"/>
      <c r="G151" s="21"/>
      <c r="H151" s="529">
        <v>0.3</v>
      </c>
      <c r="I151" s="20">
        <v>184.8</v>
      </c>
      <c r="J151" s="20">
        <v>0.2</v>
      </c>
      <c r="K151" s="20">
        <f t="shared" ref="K151" si="92">ROUND(I151*J151,2)</f>
        <v>36.96</v>
      </c>
      <c r="L151" s="20">
        <f>ROUND(K151*0.2409,2)</f>
        <v>8.9</v>
      </c>
      <c r="M151" s="21">
        <f t="shared" ref="M151" si="93">K151+L151</f>
        <v>45.86</v>
      </c>
      <c r="N151" s="19"/>
      <c r="O151" s="20"/>
      <c r="P151" s="20"/>
      <c r="Q151" s="20"/>
      <c r="R151" s="20"/>
      <c r="S151" s="21"/>
      <c r="U151" s="28"/>
    </row>
    <row r="152" spans="1:21" ht="24" customHeight="1" x14ac:dyDescent="0.25">
      <c r="A152" s="535" t="s">
        <v>161</v>
      </c>
      <c r="B152" s="530"/>
      <c r="C152" s="125"/>
      <c r="D152" s="125"/>
      <c r="E152" s="125"/>
      <c r="F152" s="125"/>
      <c r="G152" s="200"/>
      <c r="H152" s="205">
        <f t="shared" ref="H152:J152" si="94">H156</f>
        <v>6.348101265822784</v>
      </c>
      <c r="I152" s="205">
        <f t="shared" si="94"/>
        <v>0</v>
      </c>
      <c r="J152" s="205">
        <f t="shared" si="94"/>
        <v>0</v>
      </c>
      <c r="K152" s="205">
        <f>K156</f>
        <v>885.6</v>
      </c>
      <c r="L152" s="205">
        <f t="shared" ref="L152:M152" si="95">L156</f>
        <v>213.33999999999997</v>
      </c>
      <c r="M152" s="205">
        <f t="shared" si="95"/>
        <v>1098.94</v>
      </c>
      <c r="N152" s="202"/>
      <c r="O152" s="203"/>
      <c r="P152" s="125"/>
      <c r="Q152" s="203"/>
      <c r="R152" s="203"/>
      <c r="S152" s="204"/>
      <c r="U152" s="28"/>
    </row>
    <row r="153" spans="1:21" ht="33" x14ac:dyDescent="0.25">
      <c r="A153" s="536" t="s">
        <v>14</v>
      </c>
      <c r="B153" s="529"/>
      <c r="C153" s="20"/>
      <c r="D153" s="20"/>
      <c r="E153" s="20"/>
      <c r="F153" s="20"/>
      <c r="G153" s="21"/>
      <c r="H153" s="529"/>
      <c r="I153" s="20"/>
      <c r="J153" s="20"/>
      <c r="K153" s="20"/>
      <c r="L153" s="20"/>
      <c r="M153" s="21"/>
      <c r="N153" s="19"/>
      <c r="O153" s="20"/>
      <c r="P153" s="20"/>
      <c r="Q153" s="20"/>
      <c r="R153" s="20"/>
      <c r="S153" s="21"/>
      <c r="U153" s="28"/>
    </row>
    <row r="154" spans="1:21" ht="49.5" customHeight="1" x14ac:dyDescent="0.25">
      <c r="A154" s="536" t="s">
        <v>12</v>
      </c>
      <c r="B154" s="529"/>
      <c r="C154" s="20"/>
      <c r="D154" s="20"/>
      <c r="E154" s="20"/>
      <c r="F154" s="20"/>
      <c r="G154" s="21"/>
      <c r="H154" s="529"/>
      <c r="I154" s="20"/>
      <c r="J154" s="20"/>
      <c r="K154" s="20"/>
      <c r="L154" s="20"/>
      <c r="M154" s="21"/>
      <c r="N154" s="19"/>
      <c r="O154" s="20"/>
      <c r="P154" s="20"/>
      <c r="Q154" s="20"/>
      <c r="R154" s="20"/>
      <c r="S154" s="21"/>
      <c r="U154" s="28"/>
    </row>
    <row r="155" spans="1:21" ht="64.5" customHeight="1" x14ac:dyDescent="0.25">
      <c r="A155" s="536" t="s">
        <v>13</v>
      </c>
      <c r="B155" s="529"/>
      <c r="C155" s="20"/>
      <c r="D155" s="20"/>
      <c r="E155" s="20"/>
      <c r="F155" s="20"/>
      <c r="G155" s="21"/>
      <c r="H155" s="529"/>
      <c r="I155" s="20"/>
      <c r="J155" s="20"/>
      <c r="K155" s="20"/>
      <c r="L155" s="20"/>
      <c r="M155" s="21"/>
      <c r="N155" s="19"/>
      <c r="O155" s="20"/>
      <c r="P155" s="20"/>
      <c r="Q155" s="20"/>
      <c r="R155" s="20"/>
      <c r="S155" s="21"/>
      <c r="U155" s="28"/>
    </row>
    <row r="156" spans="1:21" ht="37.5" customHeight="1" x14ac:dyDescent="0.25">
      <c r="A156" s="536" t="s">
        <v>11</v>
      </c>
      <c r="B156" s="529"/>
      <c r="C156" s="20"/>
      <c r="D156" s="20"/>
      <c r="E156" s="20"/>
      <c r="F156" s="20"/>
      <c r="G156" s="21"/>
      <c r="H156" s="30">
        <f t="shared" ref="H156" si="96">SUM(H157:H163)</f>
        <v>6.348101265822784</v>
      </c>
      <c r="I156" s="30"/>
      <c r="J156" s="30"/>
      <c r="K156" s="30">
        <f>SUM(K157:K163)</f>
        <v>885.6</v>
      </c>
      <c r="L156" s="30">
        <f t="shared" ref="L156:M156" si="97">SUM(L157:L163)</f>
        <v>213.33999999999997</v>
      </c>
      <c r="M156" s="30">
        <f t="shared" si="97"/>
        <v>1098.94</v>
      </c>
      <c r="N156" s="19"/>
      <c r="O156" s="20"/>
      <c r="P156" s="20"/>
      <c r="Q156" s="20"/>
      <c r="R156" s="20"/>
      <c r="S156" s="21"/>
      <c r="U156" s="28"/>
    </row>
    <row r="157" spans="1:21" x14ac:dyDescent="0.25">
      <c r="A157" s="536" t="s">
        <v>162</v>
      </c>
      <c r="B157" s="529"/>
      <c r="C157" s="20"/>
      <c r="D157" s="20"/>
      <c r="E157" s="20"/>
      <c r="F157" s="20"/>
      <c r="G157" s="21"/>
      <c r="H157" s="529">
        <v>0.74683544303797467</v>
      </c>
      <c r="I157" s="20">
        <v>390.58</v>
      </c>
      <c r="J157" s="20">
        <v>0.2</v>
      </c>
      <c r="K157" s="20">
        <f t="shared" ref="K157:K163" si="98">ROUND(I157*J157,2)</f>
        <v>78.12</v>
      </c>
      <c r="L157" s="20">
        <f t="shared" ref="L157:L163" si="99">ROUND(K157*0.2409,2)</f>
        <v>18.82</v>
      </c>
      <c r="M157" s="21">
        <f t="shared" ref="M157:M163" si="100">K157+L157</f>
        <v>96.94</v>
      </c>
      <c r="N157" s="19"/>
      <c r="O157" s="20"/>
      <c r="P157" s="20"/>
      <c r="Q157" s="20"/>
      <c r="R157" s="20"/>
      <c r="S157" s="21"/>
      <c r="U157" s="28"/>
    </row>
    <row r="158" spans="1:21" x14ac:dyDescent="0.25">
      <c r="A158" s="536" t="s">
        <v>162</v>
      </c>
      <c r="B158" s="529"/>
      <c r="C158" s="20"/>
      <c r="D158" s="20"/>
      <c r="E158" s="20"/>
      <c r="F158" s="20"/>
      <c r="G158" s="21"/>
      <c r="H158" s="529">
        <v>0.96202531645569622</v>
      </c>
      <c r="I158" s="20">
        <v>503.12</v>
      </c>
      <c r="J158" s="20">
        <v>0.2</v>
      </c>
      <c r="K158" s="20">
        <f t="shared" si="98"/>
        <v>100.62</v>
      </c>
      <c r="L158" s="20">
        <f t="shared" si="99"/>
        <v>24.24</v>
      </c>
      <c r="M158" s="21">
        <f t="shared" si="100"/>
        <v>124.86</v>
      </c>
      <c r="N158" s="19"/>
      <c r="O158" s="20"/>
      <c r="P158" s="20"/>
      <c r="Q158" s="20"/>
      <c r="R158" s="20"/>
      <c r="S158" s="21"/>
      <c r="U158" s="28"/>
    </row>
    <row r="159" spans="1:21" x14ac:dyDescent="0.25">
      <c r="A159" s="536" t="s">
        <v>162</v>
      </c>
      <c r="B159" s="529"/>
      <c r="C159" s="20"/>
      <c r="D159" s="20"/>
      <c r="E159" s="20"/>
      <c r="F159" s="20"/>
      <c r="G159" s="21"/>
      <c r="H159" s="529">
        <v>0.96202531645569622</v>
      </c>
      <c r="I159" s="20">
        <v>503.12</v>
      </c>
      <c r="J159" s="20">
        <v>0.2</v>
      </c>
      <c r="K159" s="20">
        <f t="shared" si="98"/>
        <v>100.62</v>
      </c>
      <c r="L159" s="20">
        <f t="shared" si="99"/>
        <v>24.24</v>
      </c>
      <c r="M159" s="21">
        <f t="shared" si="100"/>
        <v>124.86</v>
      </c>
      <c r="N159" s="19"/>
      <c r="O159" s="20"/>
      <c r="P159" s="20"/>
      <c r="Q159" s="20"/>
      <c r="R159" s="20"/>
      <c r="S159" s="21"/>
      <c r="U159" s="28"/>
    </row>
    <row r="160" spans="1:21" x14ac:dyDescent="0.25">
      <c r="A160" s="536" t="s">
        <v>162</v>
      </c>
      <c r="B160" s="529"/>
      <c r="C160" s="20"/>
      <c r="D160" s="20"/>
      <c r="E160" s="20"/>
      <c r="F160" s="20"/>
      <c r="G160" s="21"/>
      <c r="H160" s="529">
        <v>0.96202531645569622</v>
      </c>
      <c r="I160" s="20">
        <v>503.12</v>
      </c>
      <c r="J160" s="20">
        <v>0.2</v>
      </c>
      <c r="K160" s="20">
        <f t="shared" si="98"/>
        <v>100.62</v>
      </c>
      <c r="L160" s="20">
        <f t="shared" si="99"/>
        <v>24.24</v>
      </c>
      <c r="M160" s="21">
        <f t="shared" si="100"/>
        <v>124.86</v>
      </c>
      <c r="N160" s="19"/>
      <c r="O160" s="20"/>
      <c r="P160" s="20"/>
      <c r="Q160" s="20"/>
      <c r="R160" s="20"/>
      <c r="S160" s="21"/>
      <c r="U160" s="28"/>
    </row>
    <row r="161" spans="1:21" x14ac:dyDescent="0.25">
      <c r="A161" s="536" t="s">
        <v>162</v>
      </c>
      <c r="B161" s="529"/>
      <c r="C161" s="20"/>
      <c r="D161" s="20"/>
      <c r="E161" s="20"/>
      <c r="F161" s="20"/>
      <c r="G161" s="21"/>
      <c r="H161" s="529">
        <v>0.96202531645569622</v>
      </c>
      <c r="I161" s="20">
        <v>503.12</v>
      </c>
      <c r="J161" s="20">
        <v>0.2</v>
      </c>
      <c r="K161" s="20">
        <f t="shared" si="98"/>
        <v>100.62</v>
      </c>
      <c r="L161" s="20">
        <f t="shared" si="99"/>
        <v>24.24</v>
      </c>
      <c r="M161" s="21">
        <f t="shared" si="100"/>
        <v>124.86</v>
      </c>
      <c r="N161" s="19"/>
      <c r="O161" s="20"/>
      <c r="P161" s="20"/>
      <c r="Q161" s="20"/>
      <c r="R161" s="20"/>
      <c r="S161" s="21"/>
      <c r="U161" s="28"/>
    </row>
    <row r="162" spans="1:21" x14ac:dyDescent="0.25">
      <c r="A162" s="536" t="s">
        <v>163</v>
      </c>
      <c r="B162" s="529"/>
      <c r="C162" s="20"/>
      <c r="D162" s="20"/>
      <c r="E162" s="20"/>
      <c r="F162" s="20"/>
      <c r="G162" s="21"/>
      <c r="H162" s="529">
        <v>1</v>
      </c>
      <c r="I162" s="20">
        <v>1500</v>
      </c>
      <c r="J162" s="20">
        <v>0.2</v>
      </c>
      <c r="K162" s="20">
        <f t="shared" si="98"/>
        <v>300</v>
      </c>
      <c r="L162" s="20">
        <f t="shared" si="99"/>
        <v>72.27</v>
      </c>
      <c r="M162" s="21">
        <f t="shared" si="100"/>
        <v>372.27</v>
      </c>
      <c r="N162" s="19"/>
      <c r="O162" s="20"/>
      <c r="P162" s="20"/>
      <c r="Q162" s="20"/>
      <c r="R162" s="20"/>
      <c r="S162" s="21"/>
      <c r="U162" s="28"/>
    </row>
    <row r="163" spans="1:21" x14ac:dyDescent="0.25">
      <c r="A163" s="536" t="s">
        <v>164</v>
      </c>
      <c r="B163" s="529"/>
      <c r="C163" s="20"/>
      <c r="D163" s="20"/>
      <c r="E163" s="20"/>
      <c r="F163" s="20"/>
      <c r="G163" s="21"/>
      <c r="H163" s="529">
        <v>0.75316455696202533</v>
      </c>
      <c r="I163" s="20">
        <v>525</v>
      </c>
      <c r="J163" s="20">
        <v>0.2</v>
      </c>
      <c r="K163" s="20">
        <f t="shared" si="98"/>
        <v>105</v>
      </c>
      <c r="L163" s="20">
        <f t="shared" si="99"/>
        <v>25.29</v>
      </c>
      <c r="M163" s="21">
        <f t="shared" si="100"/>
        <v>130.29</v>
      </c>
      <c r="N163" s="19"/>
      <c r="O163" s="20"/>
      <c r="P163" s="20"/>
      <c r="Q163" s="20"/>
      <c r="R163" s="20"/>
      <c r="S163" s="21"/>
      <c r="U163" s="28"/>
    </row>
    <row r="164" spans="1:21" ht="24" customHeight="1" x14ac:dyDescent="0.25">
      <c r="A164" s="535" t="s">
        <v>165</v>
      </c>
      <c r="B164" s="530"/>
      <c r="C164" s="125"/>
      <c r="D164" s="125"/>
      <c r="E164" s="125"/>
      <c r="F164" s="125"/>
      <c r="G164" s="200"/>
      <c r="H164" s="205">
        <f t="shared" ref="H164" si="101">H168</f>
        <v>4.3544303797468356</v>
      </c>
      <c r="I164" s="205"/>
      <c r="J164" s="205"/>
      <c r="K164" s="205">
        <f>K168</f>
        <v>1884.31</v>
      </c>
      <c r="L164" s="205">
        <f t="shared" ref="L164:M164" si="102">L168</f>
        <v>453.92</v>
      </c>
      <c r="M164" s="205">
        <f t="shared" si="102"/>
        <v>2338.23</v>
      </c>
      <c r="N164" s="202"/>
      <c r="O164" s="203"/>
      <c r="P164" s="125"/>
      <c r="Q164" s="203"/>
      <c r="R164" s="203"/>
      <c r="S164" s="204"/>
      <c r="U164" s="28"/>
    </row>
    <row r="165" spans="1:21" ht="33" x14ac:dyDescent="0.25">
      <c r="A165" s="536" t="s">
        <v>14</v>
      </c>
      <c r="B165" s="529"/>
      <c r="C165" s="20"/>
      <c r="D165" s="20"/>
      <c r="E165" s="20"/>
      <c r="F165" s="20"/>
      <c r="G165" s="21"/>
      <c r="H165" s="529"/>
      <c r="I165" s="20"/>
      <c r="J165" s="20"/>
      <c r="K165" s="20"/>
      <c r="L165" s="20"/>
      <c r="M165" s="21"/>
      <c r="N165" s="19"/>
      <c r="O165" s="20"/>
      <c r="P165" s="20"/>
      <c r="Q165" s="20"/>
      <c r="R165" s="20"/>
      <c r="S165" s="21"/>
      <c r="U165" s="28"/>
    </row>
    <row r="166" spans="1:21" ht="49.5" customHeight="1" x14ac:dyDescent="0.25">
      <c r="A166" s="536" t="s">
        <v>12</v>
      </c>
      <c r="B166" s="529"/>
      <c r="C166" s="20"/>
      <c r="D166" s="20"/>
      <c r="E166" s="20"/>
      <c r="F166" s="20"/>
      <c r="G166" s="21"/>
      <c r="H166" s="529"/>
      <c r="I166" s="20"/>
      <c r="J166" s="20"/>
      <c r="K166" s="20"/>
      <c r="L166" s="20"/>
      <c r="M166" s="21"/>
      <c r="N166" s="19"/>
      <c r="O166" s="20"/>
      <c r="P166" s="20"/>
      <c r="Q166" s="20"/>
      <c r="R166" s="20"/>
      <c r="S166" s="21"/>
      <c r="U166" s="28"/>
    </row>
    <row r="167" spans="1:21" ht="64.5" customHeight="1" x14ac:dyDescent="0.25">
      <c r="A167" s="536" t="s">
        <v>13</v>
      </c>
      <c r="B167" s="529"/>
      <c r="C167" s="20"/>
      <c r="D167" s="20"/>
      <c r="E167" s="20"/>
      <c r="F167" s="20"/>
      <c r="G167" s="21"/>
      <c r="H167" s="529"/>
      <c r="I167" s="20"/>
      <c r="J167" s="20"/>
      <c r="K167" s="20"/>
      <c r="L167" s="20"/>
      <c r="M167" s="21"/>
      <c r="N167" s="19"/>
      <c r="O167" s="20"/>
      <c r="P167" s="20"/>
      <c r="Q167" s="20"/>
      <c r="R167" s="20"/>
      <c r="S167" s="21"/>
      <c r="U167" s="28"/>
    </row>
    <row r="168" spans="1:21" ht="37.5" customHeight="1" x14ac:dyDescent="0.25">
      <c r="A168" s="536" t="s">
        <v>11</v>
      </c>
      <c r="B168" s="529"/>
      <c r="C168" s="20"/>
      <c r="D168" s="20"/>
      <c r="E168" s="20"/>
      <c r="F168" s="20"/>
      <c r="G168" s="21"/>
      <c r="H168" s="30">
        <f t="shared" ref="H168" si="103">SUM(H169:H173)</f>
        <v>4.3544303797468356</v>
      </c>
      <c r="I168" s="30"/>
      <c r="J168" s="30"/>
      <c r="K168" s="30">
        <f>SUM(K169:K173)</f>
        <v>1884.31</v>
      </c>
      <c r="L168" s="30">
        <f t="shared" ref="L168:M168" si="104">SUM(L169:L173)</f>
        <v>453.92</v>
      </c>
      <c r="M168" s="30">
        <f t="shared" si="104"/>
        <v>2338.23</v>
      </c>
      <c r="N168" s="19"/>
      <c r="O168" s="20"/>
      <c r="P168" s="20"/>
      <c r="Q168" s="20"/>
      <c r="R168" s="20"/>
      <c r="S168" s="21"/>
      <c r="U168" s="28"/>
    </row>
    <row r="169" spans="1:21" x14ac:dyDescent="0.25">
      <c r="A169" s="536" t="s">
        <v>166</v>
      </c>
      <c r="B169" s="529"/>
      <c r="C169" s="20"/>
      <c r="D169" s="20"/>
      <c r="E169" s="20"/>
      <c r="F169" s="20"/>
      <c r="G169" s="21"/>
      <c r="H169" s="529">
        <v>0.70253164556962022</v>
      </c>
      <c r="I169" s="20">
        <v>1826.58</v>
      </c>
      <c r="J169" s="20">
        <v>0.2</v>
      </c>
      <c r="K169" s="20">
        <f t="shared" ref="K169:K173" si="105">ROUND(I169*J169,2)</f>
        <v>365.32</v>
      </c>
      <c r="L169" s="20">
        <f t="shared" ref="L169:L173" si="106">ROUND(K169*0.2409,2)</f>
        <v>88.01</v>
      </c>
      <c r="M169" s="21">
        <f t="shared" ref="M169:M173" si="107">K169+L169</f>
        <v>453.33</v>
      </c>
      <c r="N169" s="19"/>
      <c r="O169" s="20"/>
      <c r="P169" s="20"/>
      <c r="Q169" s="20"/>
      <c r="R169" s="20"/>
      <c r="S169" s="21"/>
      <c r="U169" s="28"/>
    </row>
    <row r="170" spans="1:21" x14ac:dyDescent="0.25">
      <c r="A170" s="536" t="s">
        <v>166</v>
      </c>
      <c r="B170" s="529"/>
      <c r="C170" s="20"/>
      <c r="D170" s="20"/>
      <c r="E170" s="20"/>
      <c r="F170" s="20"/>
      <c r="G170" s="21"/>
      <c r="H170" s="529">
        <v>0.65189873417721522</v>
      </c>
      <c r="I170" s="20">
        <v>1694.93</v>
      </c>
      <c r="J170" s="20">
        <v>0.2</v>
      </c>
      <c r="K170" s="20">
        <f t="shared" si="105"/>
        <v>338.99</v>
      </c>
      <c r="L170" s="20">
        <f t="shared" si="106"/>
        <v>81.66</v>
      </c>
      <c r="M170" s="21">
        <f t="shared" si="107"/>
        <v>420.65</v>
      </c>
      <c r="N170" s="19"/>
      <c r="O170" s="20"/>
      <c r="P170" s="20"/>
      <c r="Q170" s="20"/>
      <c r="R170" s="20"/>
      <c r="S170" s="21"/>
      <c r="U170" s="28"/>
    </row>
    <row r="171" spans="1:21" x14ac:dyDescent="0.25">
      <c r="A171" s="536" t="s">
        <v>23</v>
      </c>
      <c r="B171" s="529"/>
      <c r="C171" s="20"/>
      <c r="D171" s="20"/>
      <c r="E171" s="20"/>
      <c r="F171" s="20"/>
      <c r="G171" s="21"/>
      <c r="H171" s="529">
        <v>1</v>
      </c>
      <c r="I171" s="20">
        <v>2300</v>
      </c>
      <c r="J171" s="20">
        <v>0.2</v>
      </c>
      <c r="K171" s="20">
        <f t="shared" si="105"/>
        <v>460</v>
      </c>
      <c r="L171" s="20">
        <f t="shared" si="106"/>
        <v>110.81</v>
      </c>
      <c r="M171" s="21">
        <f t="shared" si="107"/>
        <v>570.80999999999995</v>
      </c>
      <c r="N171" s="19"/>
      <c r="O171" s="20"/>
      <c r="P171" s="20"/>
      <c r="Q171" s="20"/>
      <c r="R171" s="20"/>
      <c r="S171" s="21"/>
      <c r="U171" s="28"/>
    </row>
    <row r="172" spans="1:21" x14ac:dyDescent="0.25">
      <c r="A172" s="536" t="s">
        <v>167</v>
      </c>
      <c r="B172" s="529"/>
      <c r="C172" s="20"/>
      <c r="D172" s="20"/>
      <c r="E172" s="20"/>
      <c r="F172" s="20"/>
      <c r="G172" s="21"/>
      <c r="H172" s="529">
        <v>1</v>
      </c>
      <c r="I172" s="20">
        <v>2300</v>
      </c>
      <c r="J172" s="20">
        <v>0.2</v>
      </c>
      <c r="K172" s="20">
        <f t="shared" si="105"/>
        <v>460</v>
      </c>
      <c r="L172" s="20">
        <f t="shared" si="106"/>
        <v>110.81</v>
      </c>
      <c r="M172" s="21">
        <f t="shared" si="107"/>
        <v>570.80999999999995</v>
      </c>
      <c r="N172" s="19"/>
      <c r="O172" s="20"/>
      <c r="P172" s="20"/>
      <c r="Q172" s="20"/>
      <c r="R172" s="20"/>
      <c r="S172" s="21"/>
      <c r="U172" s="28"/>
    </row>
    <row r="173" spans="1:21" x14ac:dyDescent="0.25">
      <c r="A173" s="536" t="s">
        <v>168</v>
      </c>
      <c r="B173" s="529"/>
      <c r="C173" s="20"/>
      <c r="D173" s="20"/>
      <c r="E173" s="20"/>
      <c r="F173" s="20"/>
      <c r="G173" s="21"/>
      <c r="H173" s="529">
        <v>1</v>
      </c>
      <c r="I173" s="20">
        <v>1300</v>
      </c>
      <c r="J173" s="20">
        <v>0.2</v>
      </c>
      <c r="K173" s="20">
        <f t="shared" si="105"/>
        <v>260</v>
      </c>
      <c r="L173" s="20">
        <f t="shared" si="106"/>
        <v>62.63</v>
      </c>
      <c r="M173" s="21">
        <f t="shared" si="107"/>
        <v>322.63</v>
      </c>
      <c r="N173" s="19"/>
      <c r="O173" s="20"/>
      <c r="P173" s="20"/>
      <c r="Q173" s="20"/>
      <c r="R173" s="20"/>
      <c r="S173" s="21"/>
      <c r="U173" s="28"/>
    </row>
    <row r="175" spans="1:21" ht="21" customHeight="1" x14ac:dyDescent="0.25">
      <c r="A175" s="901" t="s">
        <v>33</v>
      </c>
      <c r="B175" s="901"/>
      <c r="C175" s="901"/>
      <c r="D175" s="901"/>
      <c r="E175" s="901"/>
      <c r="F175" s="901"/>
      <c r="G175" s="901"/>
      <c r="H175" s="901"/>
      <c r="I175" s="901"/>
      <c r="J175" s="901"/>
      <c r="K175" s="901"/>
      <c r="L175" s="901"/>
      <c r="M175" s="901"/>
      <c r="N175" s="901"/>
      <c r="O175" s="901"/>
      <c r="P175" s="901"/>
      <c r="Q175" s="901"/>
      <c r="R175" s="901"/>
      <c r="S175" s="25"/>
      <c r="T175" s="25"/>
    </row>
    <row r="178" ht="18" customHeight="1" x14ac:dyDescent="0.25"/>
  </sheetData>
  <mergeCells count="7">
    <mergeCell ref="A175:R175"/>
    <mergeCell ref="A2:S2"/>
    <mergeCell ref="A5:S5"/>
    <mergeCell ref="A9:A10"/>
    <mergeCell ref="B9:G9"/>
    <mergeCell ref="H9:M9"/>
    <mergeCell ref="N9:S9"/>
  </mergeCells>
  <pageMargins left="0.31496062992125984" right="0.31496062992125984" top="0.55118110236220474" bottom="0.35433070866141736" header="0.31496062992125984" footer="0.31496062992125984"/>
  <pageSetup paperSize="9" scale="5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U33"/>
  <sheetViews>
    <sheetView zoomScale="70" zoomScaleNormal="70" zoomScaleSheetLayoutView="80" workbookViewId="0">
      <selection activeCell="U38" sqref="U38"/>
    </sheetView>
  </sheetViews>
  <sheetFormatPr defaultRowHeight="16.5" x14ac:dyDescent="0.25"/>
  <cols>
    <col min="1" max="1" width="42.7109375" style="2" customWidth="1"/>
    <col min="2" max="2" width="14" style="2" customWidth="1"/>
    <col min="3" max="3" width="16" style="2" customWidth="1"/>
    <col min="4" max="19" width="14" style="2" customWidth="1"/>
    <col min="20" max="20" width="17.5703125" style="2" customWidth="1"/>
    <col min="21" max="22" width="15.85546875" style="2" customWidth="1"/>
    <col min="23" max="16384" width="9.140625" style="2"/>
  </cols>
  <sheetData>
    <row r="2" spans="1:21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21" x14ac:dyDescent="0.25">
      <c r="A4" s="2" t="s">
        <v>742</v>
      </c>
    </row>
    <row r="5" spans="1:21" ht="17.25" thickBot="1" x14ac:dyDescent="0.3"/>
    <row r="6" spans="1:21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857" t="s">
        <v>4</v>
      </c>
      <c r="I6" s="858"/>
      <c r="J6" s="858"/>
      <c r="K6" s="858"/>
      <c r="L6" s="858"/>
      <c r="M6" s="859"/>
      <c r="N6" s="857" t="s">
        <v>5</v>
      </c>
      <c r="O6" s="858"/>
      <c r="P6" s="858"/>
      <c r="Q6" s="858"/>
      <c r="R6" s="858"/>
      <c r="S6" s="859"/>
    </row>
    <row r="7" spans="1:21" ht="104.25" customHeight="1" x14ac:dyDescent="0.25">
      <c r="A7" s="907"/>
      <c r="B7" s="3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41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417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21" ht="13.5" customHeight="1" x14ac:dyDescent="0.25">
      <c r="A8" s="9"/>
      <c r="B8" s="7"/>
      <c r="C8" s="8"/>
      <c r="D8" s="8"/>
      <c r="E8" s="8"/>
      <c r="F8" s="8"/>
      <c r="G8" s="9"/>
      <c r="H8" s="241"/>
      <c r="I8" s="8"/>
      <c r="J8" s="8"/>
      <c r="K8" s="8"/>
      <c r="L8" s="8"/>
      <c r="M8" s="418"/>
      <c r="N8" s="7"/>
      <c r="O8" s="8"/>
      <c r="P8" s="8"/>
      <c r="Q8" s="8"/>
      <c r="R8" s="8"/>
      <c r="S8" s="9"/>
    </row>
    <row r="9" spans="1:21" s="1" customFormat="1" ht="26.25" customHeight="1" x14ac:dyDescent="0.25">
      <c r="A9" s="422" t="s">
        <v>0</v>
      </c>
      <c r="B9" s="11"/>
      <c r="C9" s="12"/>
      <c r="D9" s="12"/>
      <c r="E9" s="12"/>
      <c r="F9" s="12"/>
      <c r="G9" s="13"/>
      <c r="H9" s="414">
        <f>H11+H15+H20+H24+H27</f>
        <v>10</v>
      </c>
      <c r="I9" s="12"/>
      <c r="J9" s="12"/>
      <c r="K9" s="12">
        <f t="shared" ref="K9:M9" si="0">K11+K15+K20+K24+K27</f>
        <v>1705.1509999999998</v>
      </c>
      <c r="L9" s="12">
        <f t="shared" si="0"/>
        <v>410.77087590000002</v>
      </c>
      <c r="M9" s="306">
        <f t="shared" si="0"/>
        <v>2115.9218759</v>
      </c>
      <c r="N9" s="11"/>
      <c r="O9" s="12"/>
      <c r="P9" s="12"/>
      <c r="Q9" s="12"/>
      <c r="R9" s="12"/>
      <c r="S9" s="13"/>
    </row>
    <row r="10" spans="1:21" s="1" customFormat="1" ht="21.75" customHeight="1" x14ac:dyDescent="0.25">
      <c r="A10" s="423" t="s">
        <v>132</v>
      </c>
      <c r="B10" s="15"/>
      <c r="C10" s="16"/>
      <c r="D10" s="16"/>
      <c r="E10" s="16"/>
      <c r="F10" s="16"/>
      <c r="G10" s="17"/>
      <c r="H10" s="176"/>
      <c r="I10" s="16"/>
      <c r="J10" s="16"/>
      <c r="K10" s="16"/>
      <c r="L10" s="16"/>
      <c r="M10" s="419"/>
      <c r="N10" s="15"/>
      <c r="O10" s="16"/>
      <c r="P10" s="16"/>
      <c r="Q10" s="16"/>
      <c r="R10" s="16"/>
      <c r="S10" s="17"/>
    </row>
    <row r="11" spans="1:21" ht="48.75" customHeight="1" x14ac:dyDescent="0.25">
      <c r="A11" s="424" t="s">
        <v>14</v>
      </c>
      <c r="B11" s="19"/>
      <c r="C11" s="20"/>
      <c r="D11" s="20"/>
      <c r="E11" s="20"/>
      <c r="F11" s="20"/>
      <c r="G11" s="21"/>
      <c r="H11" s="190">
        <f>SUM(H12:H14)</f>
        <v>3</v>
      </c>
      <c r="I11" s="320"/>
      <c r="J11" s="320"/>
      <c r="K11" s="320">
        <f>SUM(K12:K14)</f>
        <v>534.15</v>
      </c>
      <c r="L11" s="320">
        <f t="shared" ref="L11:M11" si="1">SUM(L12:L14)</f>
        <v>128.67673500000001</v>
      </c>
      <c r="M11" s="420">
        <f t="shared" si="1"/>
        <v>662.82673499999999</v>
      </c>
      <c r="N11" s="19"/>
      <c r="O11" s="20"/>
      <c r="P11" s="20"/>
      <c r="Q11" s="20"/>
      <c r="R11" s="20"/>
      <c r="S11" s="21"/>
    </row>
    <row r="12" spans="1:21" ht="18.75" customHeight="1" x14ac:dyDescent="0.25">
      <c r="A12" s="424" t="s">
        <v>95</v>
      </c>
      <c r="B12" s="19"/>
      <c r="C12" s="20"/>
      <c r="D12" s="20"/>
      <c r="E12" s="20"/>
      <c r="F12" s="20"/>
      <c r="G12" s="21"/>
      <c r="H12" s="174">
        <v>1</v>
      </c>
      <c r="I12" s="20">
        <v>1187</v>
      </c>
      <c r="J12" s="20">
        <v>10</v>
      </c>
      <c r="K12" s="20">
        <f>I12*J12/100*H12</f>
        <v>118.7</v>
      </c>
      <c r="L12" s="20">
        <f>K12*0.2409</f>
        <v>28.594830000000002</v>
      </c>
      <c r="M12" s="187">
        <f>K12+L12</f>
        <v>147.29482999999999</v>
      </c>
      <c r="N12" s="19"/>
      <c r="O12" s="20"/>
      <c r="P12" s="20"/>
      <c r="Q12" s="20"/>
      <c r="R12" s="20"/>
      <c r="S12" s="21"/>
      <c r="U12" s="28"/>
    </row>
    <row r="13" spans="1:21" ht="18.75" customHeight="1" x14ac:dyDescent="0.25">
      <c r="A13" s="424" t="s">
        <v>95</v>
      </c>
      <c r="B13" s="19"/>
      <c r="C13" s="20"/>
      <c r="D13" s="20"/>
      <c r="E13" s="20"/>
      <c r="F13" s="20"/>
      <c r="G13" s="21"/>
      <c r="H13" s="174">
        <v>1</v>
      </c>
      <c r="I13" s="20">
        <v>1187</v>
      </c>
      <c r="J13" s="20">
        <v>15</v>
      </c>
      <c r="K13" s="20">
        <f t="shared" ref="K13:K14" si="2">I13*J13/100*H13</f>
        <v>178.05</v>
      </c>
      <c r="L13" s="20">
        <f>K13*0.2409</f>
        <v>42.892245000000003</v>
      </c>
      <c r="M13" s="187">
        <f>K13+L13</f>
        <v>220.94224500000001</v>
      </c>
      <c r="N13" s="19"/>
      <c r="O13" s="20"/>
      <c r="P13" s="20"/>
      <c r="Q13" s="20"/>
      <c r="R13" s="20"/>
      <c r="S13" s="21"/>
      <c r="U13" s="28"/>
    </row>
    <row r="14" spans="1:21" ht="18.75" customHeight="1" x14ac:dyDescent="0.25">
      <c r="A14" s="424" t="s">
        <v>95</v>
      </c>
      <c r="B14" s="19"/>
      <c r="C14" s="20"/>
      <c r="D14" s="20"/>
      <c r="E14" s="20"/>
      <c r="F14" s="20"/>
      <c r="G14" s="21"/>
      <c r="H14" s="174">
        <v>1</v>
      </c>
      <c r="I14" s="20">
        <v>1187</v>
      </c>
      <c r="J14" s="20">
        <v>20</v>
      </c>
      <c r="K14" s="20">
        <f t="shared" si="2"/>
        <v>237.4</v>
      </c>
      <c r="L14" s="20">
        <f>K14*0.2409</f>
        <v>57.189660000000003</v>
      </c>
      <c r="M14" s="187">
        <f>K14+L14</f>
        <v>294.58965999999998</v>
      </c>
      <c r="N14" s="19"/>
      <c r="O14" s="20"/>
      <c r="P14" s="20"/>
      <c r="Q14" s="20"/>
      <c r="R14" s="20"/>
      <c r="S14" s="21"/>
      <c r="U14" s="28"/>
    </row>
    <row r="15" spans="1:21" ht="49.5" customHeight="1" x14ac:dyDescent="0.25">
      <c r="A15" s="424" t="s">
        <v>12</v>
      </c>
      <c r="B15" s="19"/>
      <c r="C15" s="20"/>
      <c r="D15" s="20"/>
      <c r="E15" s="20"/>
      <c r="F15" s="20"/>
      <c r="G15" s="21"/>
      <c r="H15" s="415">
        <f>SUM(H16:H19)</f>
        <v>4</v>
      </c>
      <c r="I15" s="30"/>
      <c r="J15" s="30"/>
      <c r="K15" s="30">
        <f>SUM(K16:K19)</f>
        <v>717.00099999999998</v>
      </c>
      <c r="L15" s="30">
        <f t="shared" ref="L15:M15" si="3">SUM(L16:L19)</f>
        <v>172.7255409</v>
      </c>
      <c r="M15" s="421">
        <f t="shared" si="3"/>
        <v>889.72654090000003</v>
      </c>
      <c r="N15" s="19"/>
      <c r="O15" s="20"/>
      <c r="P15" s="20"/>
      <c r="Q15" s="20"/>
      <c r="R15" s="20"/>
      <c r="S15" s="21"/>
      <c r="U15" s="28"/>
    </row>
    <row r="16" spans="1:21" x14ac:dyDescent="0.25">
      <c r="A16" s="424" t="s">
        <v>96</v>
      </c>
      <c r="B16" s="19"/>
      <c r="C16" s="20"/>
      <c r="D16" s="20"/>
      <c r="E16" s="20"/>
      <c r="F16" s="20"/>
      <c r="G16" s="21"/>
      <c r="H16" s="174">
        <v>1</v>
      </c>
      <c r="I16" s="20">
        <v>880</v>
      </c>
      <c r="J16" s="20">
        <v>20</v>
      </c>
      <c r="K16" s="20">
        <f t="shared" ref="K16:K21" si="4">I16*J16/100*H16</f>
        <v>176</v>
      </c>
      <c r="L16" s="20">
        <f>K16*0.2409</f>
        <v>42.398400000000002</v>
      </c>
      <c r="M16" s="187">
        <f>K16+L16</f>
        <v>218.39840000000001</v>
      </c>
      <c r="N16" s="19"/>
      <c r="O16" s="20"/>
      <c r="P16" s="20"/>
      <c r="Q16" s="20"/>
      <c r="R16" s="20"/>
      <c r="S16" s="21"/>
      <c r="U16" s="28"/>
    </row>
    <row r="17" spans="1:21" x14ac:dyDescent="0.25">
      <c r="A17" s="424" t="s">
        <v>743</v>
      </c>
      <c r="B17" s="19"/>
      <c r="C17" s="20"/>
      <c r="D17" s="20"/>
      <c r="E17" s="20"/>
      <c r="F17" s="20"/>
      <c r="G17" s="21"/>
      <c r="H17" s="425">
        <v>1</v>
      </c>
      <c r="I17" s="20">
        <v>700</v>
      </c>
      <c r="J17" s="20">
        <v>17.143000000000001</v>
      </c>
      <c r="K17" s="20">
        <f t="shared" si="4"/>
        <v>120.001</v>
      </c>
      <c r="L17" s="20">
        <f>K17*0.2409</f>
        <v>28.908240900000003</v>
      </c>
      <c r="M17" s="187">
        <f>K17+L17</f>
        <v>148.90924090000001</v>
      </c>
      <c r="N17" s="19"/>
      <c r="O17" s="20"/>
      <c r="P17" s="20"/>
      <c r="Q17" s="20"/>
      <c r="R17" s="20"/>
      <c r="S17" s="21"/>
      <c r="U17" s="28"/>
    </row>
    <row r="18" spans="1:21" x14ac:dyDescent="0.25">
      <c r="A18" s="424" t="s">
        <v>743</v>
      </c>
      <c r="B18" s="19"/>
      <c r="C18" s="20"/>
      <c r="D18" s="20"/>
      <c r="E18" s="20"/>
      <c r="F18" s="20"/>
      <c r="G18" s="21"/>
      <c r="H18" s="174">
        <v>1</v>
      </c>
      <c r="I18" s="20">
        <v>700</v>
      </c>
      <c r="J18" s="20">
        <v>20</v>
      </c>
      <c r="K18" s="20">
        <f t="shared" si="4"/>
        <v>140</v>
      </c>
      <c r="L18" s="20">
        <f>K18*0.2409</f>
        <v>33.725999999999999</v>
      </c>
      <c r="M18" s="187">
        <f>K18+L18</f>
        <v>173.726</v>
      </c>
      <c r="N18" s="19"/>
      <c r="O18" s="20"/>
      <c r="P18" s="20"/>
      <c r="Q18" s="20"/>
      <c r="R18" s="20"/>
      <c r="S18" s="21"/>
      <c r="U18" s="28"/>
    </row>
    <row r="19" spans="1:21" x14ac:dyDescent="0.25">
      <c r="A19" s="424" t="s">
        <v>148</v>
      </c>
      <c r="B19" s="19"/>
      <c r="C19" s="20"/>
      <c r="D19" s="20"/>
      <c r="E19" s="20"/>
      <c r="F19" s="20"/>
      <c r="G19" s="21"/>
      <c r="H19" s="174">
        <v>1</v>
      </c>
      <c r="I19" s="20">
        <v>1405</v>
      </c>
      <c r="J19" s="20">
        <v>20</v>
      </c>
      <c r="K19" s="20">
        <f t="shared" si="4"/>
        <v>281</v>
      </c>
      <c r="L19" s="20">
        <f>K19*0.2409</f>
        <v>67.692899999999995</v>
      </c>
      <c r="M19" s="187">
        <f>K19+L19</f>
        <v>348.69290000000001</v>
      </c>
      <c r="N19" s="19"/>
      <c r="O19" s="20"/>
      <c r="P19" s="20"/>
      <c r="Q19" s="20"/>
      <c r="R19" s="20"/>
      <c r="S19" s="21"/>
      <c r="U19" s="28"/>
    </row>
    <row r="20" spans="1:21" ht="57" customHeight="1" x14ac:dyDescent="0.25">
      <c r="A20" s="424" t="s">
        <v>13</v>
      </c>
      <c r="B20" s="19"/>
      <c r="C20" s="20"/>
      <c r="D20" s="20"/>
      <c r="E20" s="20"/>
      <c r="F20" s="20"/>
      <c r="G20" s="21"/>
      <c r="H20" s="415">
        <f t="shared" ref="H20:M20" si="5">SUM(H21:H22)</f>
        <v>1</v>
      </c>
      <c r="I20" s="30"/>
      <c r="J20" s="30"/>
      <c r="K20" s="30">
        <f>SUM(K21:K22)</f>
        <v>58.6</v>
      </c>
      <c r="L20" s="30">
        <f t="shared" si="5"/>
        <v>14.11674</v>
      </c>
      <c r="M20" s="421">
        <f t="shared" si="5"/>
        <v>72.716740000000001</v>
      </c>
      <c r="N20" s="19"/>
      <c r="O20" s="20"/>
      <c r="P20" s="20"/>
      <c r="Q20" s="20"/>
      <c r="R20" s="20"/>
      <c r="S20" s="21"/>
      <c r="U20" s="28"/>
    </row>
    <row r="21" spans="1:21" x14ac:dyDescent="0.25">
      <c r="A21" s="424" t="s">
        <v>744</v>
      </c>
      <c r="B21" s="19"/>
      <c r="C21" s="20"/>
      <c r="D21" s="20"/>
      <c r="E21" s="20"/>
      <c r="F21" s="20"/>
      <c r="G21" s="21"/>
      <c r="H21" s="174">
        <v>1</v>
      </c>
      <c r="I21" s="20">
        <v>586</v>
      </c>
      <c r="J21" s="20">
        <v>10</v>
      </c>
      <c r="K21" s="20">
        <f t="shared" si="4"/>
        <v>58.6</v>
      </c>
      <c r="L21" s="20">
        <f>K21*0.2409</f>
        <v>14.11674</v>
      </c>
      <c r="M21" s="187">
        <f>K21+L21</f>
        <v>72.716740000000001</v>
      </c>
      <c r="N21" s="19"/>
      <c r="O21" s="20"/>
      <c r="P21" s="20"/>
      <c r="Q21" s="20"/>
      <c r="R21" s="20"/>
      <c r="S21" s="21"/>
      <c r="U21" s="28"/>
    </row>
    <row r="22" spans="1:21" x14ac:dyDescent="0.25">
      <c r="A22" s="424" t="s">
        <v>1</v>
      </c>
      <c r="B22" s="19"/>
      <c r="C22" s="20"/>
      <c r="D22" s="20"/>
      <c r="E22" s="20"/>
      <c r="F22" s="20"/>
      <c r="G22" s="21"/>
      <c r="H22" s="174"/>
      <c r="I22" s="20"/>
      <c r="J22" s="20"/>
      <c r="K22" s="20"/>
      <c r="L22" s="20"/>
      <c r="M22" s="206"/>
      <c r="N22" s="19"/>
      <c r="O22" s="20"/>
      <c r="P22" s="20"/>
      <c r="Q22" s="20"/>
      <c r="R22" s="20"/>
      <c r="S22" s="21"/>
      <c r="U22" s="28"/>
    </row>
    <row r="23" spans="1:21" s="1" customFormat="1" ht="24" customHeight="1" x14ac:dyDescent="0.25">
      <c r="A23" s="423" t="s">
        <v>745</v>
      </c>
      <c r="B23" s="15"/>
      <c r="C23" s="16"/>
      <c r="D23" s="16"/>
      <c r="E23" s="16"/>
      <c r="F23" s="16"/>
      <c r="G23" s="17"/>
      <c r="H23" s="176"/>
      <c r="I23" s="16"/>
      <c r="J23" s="16"/>
      <c r="K23" s="16"/>
      <c r="L23" s="16"/>
      <c r="M23" s="419"/>
      <c r="N23" s="15"/>
      <c r="O23" s="20"/>
      <c r="P23" s="16"/>
      <c r="Q23" s="16"/>
      <c r="R23" s="16"/>
      <c r="S23" s="17"/>
      <c r="T23" s="2"/>
      <c r="U23" s="28"/>
    </row>
    <row r="24" spans="1:21" ht="49.5" customHeight="1" x14ac:dyDescent="0.25">
      <c r="A24" s="424" t="s">
        <v>14</v>
      </c>
      <c r="B24" s="19"/>
      <c r="C24" s="20"/>
      <c r="D24" s="20"/>
      <c r="E24" s="20"/>
      <c r="F24" s="20"/>
      <c r="G24" s="21"/>
      <c r="H24" s="190">
        <f>H25</f>
        <v>1</v>
      </c>
      <c r="I24" s="320"/>
      <c r="J24" s="320"/>
      <c r="K24" s="320">
        <f>K25</f>
        <v>131.80000000000001</v>
      </c>
      <c r="L24" s="320">
        <f t="shared" ref="L24:M24" si="6">L25</f>
        <v>31.750620000000001</v>
      </c>
      <c r="M24" s="420">
        <f t="shared" si="6"/>
        <v>163.55062000000001</v>
      </c>
      <c r="N24" s="19"/>
      <c r="O24" s="20"/>
      <c r="P24" s="20"/>
      <c r="Q24" s="20"/>
      <c r="R24" s="20"/>
      <c r="S24" s="21"/>
      <c r="U24" s="28"/>
    </row>
    <row r="25" spans="1:21" ht="18.75" customHeight="1" x14ac:dyDescent="0.25">
      <c r="A25" s="424" t="s">
        <v>746</v>
      </c>
      <c r="B25" s="19"/>
      <c r="C25" s="20"/>
      <c r="D25" s="20"/>
      <c r="E25" s="20"/>
      <c r="F25" s="20"/>
      <c r="G25" s="21"/>
      <c r="H25" s="174">
        <v>1</v>
      </c>
      <c r="I25" s="20">
        <v>1318</v>
      </c>
      <c r="J25" s="20">
        <v>10</v>
      </c>
      <c r="K25" s="20">
        <f t="shared" ref="K25" si="7">I25*J25/100*H25</f>
        <v>131.80000000000001</v>
      </c>
      <c r="L25" s="20">
        <f>K25*0.2409</f>
        <v>31.750620000000001</v>
      </c>
      <c r="M25" s="187">
        <f>K25+L25</f>
        <v>163.55062000000001</v>
      </c>
      <c r="N25" s="19"/>
      <c r="O25" s="20"/>
      <c r="P25" s="20"/>
      <c r="Q25" s="20"/>
      <c r="R25" s="20"/>
      <c r="S25" s="21"/>
      <c r="U25" s="28"/>
    </row>
    <row r="26" spans="1:21" s="1" customFormat="1" ht="24" customHeight="1" x14ac:dyDescent="0.25">
      <c r="A26" s="423" t="s">
        <v>747</v>
      </c>
      <c r="B26" s="15"/>
      <c r="C26" s="16"/>
      <c r="D26" s="16"/>
      <c r="E26" s="16"/>
      <c r="F26" s="16"/>
      <c r="G26" s="17"/>
      <c r="H26" s="176"/>
      <c r="I26" s="16"/>
      <c r="J26" s="16"/>
      <c r="K26" s="16"/>
      <c r="L26" s="16"/>
      <c r="M26" s="419"/>
      <c r="N26" s="15"/>
      <c r="O26" s="20"/>
      <c r="P26" s="16"/>
      <c r="Q26" s="16"/>
      <c r="R26" s="16"/>
      <c r="S26" s="17"/>
      <c r="T26" s="2"/>
      <c r="U26" s="28"/>
    </row>
    <row r="27" spans="1:21" ht="49.5" customHeight="1" x14ac:dyDescent="0.25">
      <c r="A27" s="424" t="s">
        <v>14</v>
      </c>
      <c r="B27" s="19"/>
      <c r="C27" s="20"/>
      <c r="D27" s="20"/>
      <c r="E27" s="20"/>
      <c r="F27" s="20"/>
      <c r="G27" s="21"/>
      <c r="H27" s="190">
        <f>SUM(H28:H32)</f>
        <v>1</v>
      </c>
      <c r="I27" s="30"/>
      <c r="J27" s="30"/>
      <c r="K27" s="30">
        <f>SUM(K28:K32)</f>
        <v>263.60000000000002</v>
      </c>
      <c r="L27" s="30">
        <f t="shared" ref="L27:M27" si="8">SUM(L28:L32)</f>
        <v>63.501240000000003</v>
      </c>
      <c r="M27" s="421">
        <f t="shared" si="8"/>
        <v>327.10124000000002</v>
      </c>
      <c r="N27" s="19"/>
      <c r="O27" s="20"/>
      <c r="P27" s="20"/>
      <c r="Q27" s="20"/>
      <c r="R27" s="20"/>
      <c r="S27" s="21"/>
      <c r="U27" s="28"/>
    </row>
    <row r="28" spans="1:21" ht="19.5" customHeight="1" x14ac:dyDescent="0.25">
      <c r="A28" s="424" t="s">
        <v>746</v>
      </c>
      <c r="B28" s="19"/>
      <c r="C28" s="20"/>
      <c r="D28" s="20"/>
      <c r="E28" s="20"/>
      <c r="F28" s="20"/>
      <c r="G28" s="21"/>
      <c r="H28" s="416">
        <v>1</v>
      </c>
      <c r="I28" s="20">
        <v>1318</v>
      </c>
      <c r="J28" s="20">
        <v>20</v>
      </c>
      <c r="K28" s="20">
        <f t="shared" ref="K28" si="9">I28*J28/100*H28</f>
        <v>263.60000000000002</v>
      </c>
      <c r="L28" s="20">
        <f>K28*0.2409</f>
        <v>63.501240000000003</v>
      </c>
      <c r="M28" s="187">
        <f>K28+L28</f>
        <v>327.10124000000002</v>
      </c>
      <c r="N28" s="19"/>
      <c r="O28" s="20"/>
      <c r="P28" s="20"/>
      <c r="Q28" s="20"/>
      <c r="R28" s="20"/>
      <c r="S28" s="21"/>
      <c r="U28" s="28"/>
    </row>
    <row r="30" spans="1:21" ht="21" customHeight="1" x14ac:dyDescent="0.25">
      <c r="A30" s="901" t="s">
        <v>33</v>
      </c>
      <c r="B30" s="901"/>
      <c r="C30" s="901"/>
      <c r="D30" s="901"/>
      <c r="E30" s="901"/>
      <c r="F30" s="901"/>
      <c r="G30" s="901"/>
      <c r="H30" s="901"/>
      <c r="I30" s="901"/>
      <c r="J30" s="901"/>
      <c r="K30" s="901"/>
      <c r="L30" s="901"/>
      <c r="M30" s="901"/>
      <c r="N30" s="901"/>
      <c r="O30" s="901"/>
      <c r="P30" s="901"/>
      <c r="Q30" s="901"/>
      <c r="R30" s="901"/>
      <c r="S30" s="25"/>
      <c r="T30" s="25"/>
    </row>
    <row r="33" ht="18" customHeight="1" x14ac:dyDescent="0.25"/>
  </sheetData>
  <mergeCells count="6">
    <mergeCell ref="A30:R30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2:AG224"/>
  <sheetViews>
    <sheetView zoomScale="70" zoomScaleNormal="70" zoomScaleSheetLayoutView="80" workbookViewId="0">
      <pane xSplit="1" topLeftCell="B1" activePane="topRight" state="frozen"/>
      <selection activeCell="T21" sqref="T21"/>
      <selection pane="topRight" activeCell="Q199" sqref="Q199"/>
    </sheetView>
  </sheetViews>
  <sheetFormatPr defaultRowHeight="16.5" x14ac:dyDescent="0.25"/>
  <cols>
    <col min="1" max="1" width="54.42578125" style="2" customWidth="1"/>
    <col min="2" max="2" width="14" style="2" customWidth="1"/>
    <col min="3" max="3" width="16" style="2" customWidth="1"/>
    <col min="4" max="4" width="14" style="438" customWidth="1"/>
    <col min="5" max="21" width="14" style="2" customWidth="1"/>
    <col min="22" max="22" width="17.5703125" style="2" customWidth="1"/>
    <col min="23" max="24" width="15.85546875" style="2" customWidth="1"/>
    <col min="25" max="16384" width="9.140625" style="2"/>
  </cols>
  <sheetData>
    <row r="2" spans="1:23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</row>
    <row r="4" spans="1:23" x14ac:dyDescent="0.25">
      <c r="A4" s="2" t="s">
        <v>779</v>
      </c>
    </row>
    <row r="5" spans="1:23" ht="17.25" thickBot="1" x14ac:dyDescent="0.3"/>
    <row r="6" spans="1:23" ht="24" customHeight="1" x14ac:dyDescent="0.25">
      <c r="A6" s="924"/>
      <c r="B6" s="926" t="s">
        <v>2</v>
      </c>
      <c r="C6" s="927"/>
      <c r="D6" s="927"/>
      <c r="E6" s="927"/>
      <c r="F6" s="927"/>
      <c r="G6" s="928"/>
      <c r="H6" s="926" t="s">
        <v>4</v>
      </c>
      <c r="I6" s="927"/>
      <c r="J6" s="927"/>
      <c r="K6" s="927"/>
      <c r="L6" s="927"/>
      <c r="M6" s="927"/>
      <c r="N6" s="927"/>
      <c r="O6" s="928"/>
      <c r="P6" s="926" t="s">
        <v>5</v>
      </c>
      <c r="Q6" s="927"/>
      <c r="R6" s="927"/>
      <c r="S6" s="927"/>
      <c r="T6" s="927"/>
      <c r="U6" s="928"/>
    </row>
    <row r="7" spans="1:23" ht="104.25" customHeight="1" x14ac:dyDescent="0.25">
      <c r="A7" s="925"/>
      <c r="B7" s="439" t="s">
        <v>78</v>
      </c>
      <c r="C7" s="440" t="s">
        <v>10</v>
      </c>
      <c r="D7" s="441" t="s">
        <v>6</v>
      </c>
      <c r="E7" s="440" t="s">
        <v>7</v>
      </c>
      <c r="F7" s="440" t="s">
        <v>8</v>
      </c>
      <c r="G7" s="442" t="s">
        <v>9</v>
      </c>
      <c r="H7" s="439" t="s">
        <v>78</v>
      </c>
      <c r="I7" s="440" t="s">
        <v>10</v>
      </c>
      <c r="J7" s="605" t="s">
        <v>1188</v>
      </c>
      <c r="K7" s="605" t="s">
        <v>1189</v>
      </c>
      <c r="L7" s="440" t="s">
        <v>6</v>
      </c>
      <c r="M7" s="440" t="s">
        <v>7</v>
      </c>
      <c r="N7" s="440" t="s">
        <v>8</v>
      </c>
      <c r="O7" s="442" t="s">
        <v>9</v>
      </c>
      <c r="P7" s="439" t="s">
        <v>78</v>
      </c>
      <c r="Q7" s="440" t="s">
        <v>10</v>
      </c>
      <c r="R7" s="440" t="s">
        <v>6</v>
      </c>
      <c r="S7" s="440" t="s">
        <v>7</v>
      </c>
      <c r="T7" s="440" t="s">
        <v>8</v>
      </c>
      <c r="U7" s="442" t="s">
        <v>9</v>
      </c>
    </row>
    <row r="8" spans="1:23" ht="13.5" customHeight="1" x14ac:dyDescent="0.25">
      <c r="A8" s="443"/>
      <c r="B8" s="439"/>
      <c r="C8" s="294"/>
      <c r="D8" s="444"/>
      <c r="E8" s="294"/>
      <c r="F8" s="294"/>
      <c r="G8" s="445"/>
      <c r="H8" s="439"/>
      <c r="I8" s="294"/>
      <c r="J8" s="605"/>
      <c r="K8" s="605"/>
      <c r="L8" s="294"/>
      <c r="M8" s="294"/>
      <c r="N8" s="294"/>
      <c r="O8" s="445"/>
      <c r="P8" s="439"/>
      <c r="Q8" s="294"/>
      <c r="R8" s="294"/>
      <c r="S8" s="294"/>
      <c r="T8" s="294"/>
      <c r="U8" s="445"/>
    </row>
    <row r="9" spans="1:23" s="1" customFormat="1" ht="26.25" customHeight="1" x14ac:dyDescent="0.25">
      <c r="A9" s="446" t="s">
        <v>0</v>
      </c>
      <c r="B9" s="447">
        <f>SUM(B10+B49+B142+B171)</f>
        <v>0</v>
      </c>
      <c r="C9" s="540">
        <f t="shared" ref="C9:G9" si="0">SUM(C10+C49+C142+C171)</f>
        <v>0</v>
      </c>
      <c r="D9" s="540">
        <f t="shared" si="0"/>
        <v>0</v>
      </c>
      <c r="E9" s="540">
        <f t="shared" si="0"/>
        <v>2070.9700000000003</v>
      </c>
      <c r="F9" s="540">
        <f t="shared" si="0"/>
        <v>498.90999999999997</v>
      </c>
      <c r="G9" s="541">
        <f t="shared" si="0"/>
        <v>2569.8799999999997</v>
      </c>
      <c r="H9" s="448">
        <f t="shared" ref="H9:L9" si="1">H10+H49+H142+H171</f>
        <v>20.837399999999995</v>
      </c>
      <c r="I9" s="448">
        <f t="shared" si="1"/>
        <v>47541.04</v>
      </c>
      <c r="J9" s="448"/>
      <c r="K9" s="448"/>
      <c r="L9" s="448">
        <f t="shared" si="1"/>
        <v>640</v>
      </c>
      <c r="M9" s="448">
        <f>M10+M49+M142+M171</f>
        <v>171.29147999999998</v>
      </c>
      <c r="N9" s="448">
        <f t="shared" ref="N9:O9" si="2">N10+N49+N142+N171</f>
        <v>759.15999999999985</v>
      </c>
      <c r="O9" s="448">
        <f t="shared" si="2"/>
        <v>3910.6529600000013</v>
      </c>
      <c r="P9" s="447"/>
      <c r="Q9" s="448"/>
      <c r="R9" s="448"/>
      <c r="S9" s="448"/>
      <c r="T9" s="448"/>
      <c r="U9" s="449"/>
    </row>
    <row r="10" spans="1:23" ht="37.5" customHeight="1" x14ac:dyDescent="0.25">
      <c r="A10" s="450" t="s">
        <v>14</v>
      </c>
      <c r="B10" s="451"/>
      <c r="C10" s="453"/>
      <c r="D10" s="453"/>
      <c r="E10" s="453">
        <f>SUM(E11:E48)</f>
        <v>696.04</v>
      </c>
      <c r="F10" s="453">
        <f>SUM(F11:F48)</f>
        <v>167.64999999999998</v>
      </c>
      <c r="G10" s="454">
        <f>SUM(G11:G48)</f>
        <v>863.68999999999994</v>
      </c>
      <c r="H10" s="452">
        <f t="shared" ref="H10:L10" si="3">SUM(H11:H48)</f>
        <v>0.59289999999999976</v>
      </c>
      <c r="I10" s="452">
        <f t="shared" si="3"/>
        <v>47541.04</v>
      </c>
      <c r="J10" s="452"/>
      <c r="K10" s="452"/>
      <c r="L10" s="452">
        <f t="shared" si="3"/>
        <v>640</v>
      </c>
      <c r="M10" s="840">
        <f t="shared" ref="M10" si="4">SUM(M11:M48)</f>
        <v>171.29147999999998</v>
      </c>
      <c r="N10" s="453">
        <f>SUM(N11:N48)</f>
        <v>41.269999999999996</v>
      </c>
      <c r="O10" s="840">
        <f t="shared" ref="O10" si="5">SUM(O11:O48)</f>
        <v>212.56147999999999</v>
      </c>
      <c r="P10" s="451"/>
      <c r="Q10" s="453"/>
      <c r="R10" s="453"/>
      <c r="S10" s="453"/>
      <c r="T10" s="453"/>
      <c r="U10" s="454"/>
    </row>
    <row r="11" spans="1:23" ht="18.75" customHeight="1" x14ac:dyDescent="0.25">
      <c r="A11" s="455" t="s">
        <v>780</v>
      </c>
      <c r="B11" s="456"/>
      <c r="C11" s="457">
        <v>1664.96</v>
      </c>
      <c r="D11" s="458">
        <v>0.02</v>
      </c>
      <c r="E11" s="457">
        <v>33.299999999999997</v>
      </c>
      <c r="F11" s="457">
        <v>8.02</v>
      </c>
      <c r="G11" s="459">
        <v>41.319999999999993</v>
      </c>
      <c r="H11" s="480">
        <v>6.3E-3</v>
      </c>
      <c r="I11" s="457">
        <v>1494.68</v>
      </c>
      <c r="J11" s="842">
        <v>9.4600000000000009</v>
      </c>
      <c r="K11" s="842">
        <v>1</v>
      </c>
      <c r="L11" s="460">
        <v>20</v>
      </c>
      <c r="M11" s="457">
        <f>J11*K11*L11/100</f>
        <v>1.8920000000000001</v>
      </c>
      <c r="N11" s="457">
        <f>ROUND(M11*0.2409,2)</f>
        <v>0.46</v>
      </c>
      <c r="O11" s="459">
        <f>M11+N11</f>
        <v>2.3520000000000003</v>
      </c>
      <c r="P11" s="456"/>
      <c r="Q11" s="457"/>
      <c r="R11" s="457"/>
      <c r="S11" s="457"/>
      <c r="T11" s="457"/>
      <c r="U11" s="459"/>
      <c r="V11" s="297"/>
      <c r="W11" s="28"/>
    </row>
    <row r="12" spans="1:23" ht="18.75" customHeight="1" x14ac:dyDescent="0.25">
      <c r="A12" s="455" t="s">
        <v>780</v>
      </c>
      <c r="B12" s="456"/>
      <c r="C12" s="457"/>
      <c r="D12" s="458"/>
      <c r="E12" s="457"/>
      <c r="F12" s="457"/>
      <c r="G12" s="459"/>
      <c r="H12" s="480">
        <v>9.4999999999999998E-3</v>
      </c>
      <c r="I12" s="457">
        <v>1494.68</v>
      </c>
      <c r="J12" s="842">
        <v>9.4600000000000009</v>
      </c>
      <c r="K12" s="842">
        <v>1.5</v>
      </c>
      <c r="L12" s="460">
        <v>20</v>
      </c>
      <c r="M12" s="457">
        <f>J12*K12*L12/100</f>
        <v>2.8380000000000001</v>
      </c>
      <c r="N12" s="457">
        <f t="shared" ref="N12:N82" si="6">ROUND(M12*0.2409,2)</f>
        <v>0.68</v>
      </c>
      <c r="O12" s="459">
        <f t="shared" ref="O12:O48" si="7">M12+N12</f>
        <v>3.5180000000000002</v>
      </c>
      <c r="P12" s="456"/>
      <c r="Q12" s="457"/>
      <c r="R12" s="457"/>
      <c r="S12" s="457"/>
      <c r="T12" s="457"/>
      <c r="U12" s="459"/>
      <c r="V12" s="297"/>
      <c r="W12" s="28"/>
    </row>
    <row r="13" spans="1:23" ht="18.75" customHeight="1" x14ac:dyDescent="0.25">
      <c r="A13" s="455" t="s">
        <v>781</v>
      </c>
      <c r="B13" s="456"/>
      <c r="C13" s="457"/>
      <c r="D13" s="458"/>
      <c r="E13" s="457"/>
      <c r="F13" s="457"/>
      <c r="G13" s="459"/>
      <c r="H13" s="480">
        <v>3.2000000000000002E-3</v>
      </c>
      <c r="I13" s="457">
        <v>1279</v>
      </c>
      <c r="J13" s="842">
        <v>8.0949000000000009</v>
      </c>
      <c r="K13" s="842">
        <v>0.5</v>
      </c>
      <c r="L13" s="460">
        <v>20</v>
      </c>
      <c r="M13" s="457">
        <f t="shared" ref="M13:M75" si="8">J13*K13*L13/100</f>
        <v>0.80949000000000015</v>
      </c>
      <c r="N13" s="457">
        <f t="shared" si="6"/>
        <v>0.2</v>
      </c>
      <c r="O13" s="459">
        <f t="shared" si="7"/>
        <v>1.0094900000000002</v>
      </c>
      <c r="P13" s="456"/>
      <c r="Q13" s="457"/>
      <c r="R13" s="457"/>
      <c r="S13" s="457"/>
      <c r="T13" s="457"/>
      <c r="U13" s="459"/>
      <c r="V13" s="297"/>
      <c r="W13" s="28"/>
    </row>
    <row r="14" spans="1:23" ht="18.75" customHeight="1" x14ac:dyDescent="0.25">
      <c r="A14" s="455" t="s">
        <v>700</v>
      </c>
      <c r="B14" s="456"/>
      <c r="C14" s="457">
        <v>1534</v>
      </c>
      <c r="D14" s="458">
        <v>0.04</v>
      </c>
      <c r="E14" s="457">
        <v>61.36</v>
      </c>
      <c r="F14" s="457">
        <v>14.78</v>
      </c>
      <c r="G14" s="459">
        <v>76.14</v>
      </c>
      <c r="H14" s="480">
        <v>0.1328</v>
      </c>
      <c r="I14" s="457">
        <v>1534</v>
      </c>
      <c r="J14" s="842">
        <v>9.7088999999999999</v>
      </c>
      <c r="K14" s="842">
        <v>21</v>
      </c>
      <c r="L14" s="460">
        <v>20</v>
      </c>
      <c r="M14" s="457">
        <f t="shared" si="8"/>
        <v>40.777380000000001</v>
      </c>
      <c r="N14" s="457">
        <f t="shared" si="6"/>
        <v>9.82</v>
      </c>
      <c r="O14" s="459">
        <f t="shared" si="7"/>
        <v>50.597380000000001</v>
      </c>
      <c r="P14" s="456"/>
      <c r="Q14" s="457"/>
      <c r="R14" s="457"/>
      <c r="S14" s="457"/>
      <c r="T14" s="457"/>
      <c r="U14" s="459"/>
      <c r="V14" s="297"/>
      <c r="W14" s="28"/>
    </row>
    <row r="15" spans="1:23" ht="18.75" customHeight="1" x14ac:dyDescent="0.25">
      <c r="A15" s="455" t="s">
        <v>700</v>
      </c>
      <c r="B15" s="456"/>
      <c r="C15" s="457">
        <v>1279</v>
      </c>
      <c r="D15" s="458">
        <v>0.04</v>
      </c>
      <c r="E15" s="457">
        <f>ROUND(C15*D15,2)</f>
        <v>51.16</v>
      </c>
      <c r="F15" s="457">
        <v>12.32</v>
      </c>
      <c r="G15" s="459">
        <v>63.48</v>
      </c>
      <c r="H15" s="480">
        <v>3.15E-2</v>
      </c>
      <c r="I15" s="457">
        <v>1279</v>
      </c>
      <c r="J15" s="842">
        <v>8.0949000000000009</v>
      </c>
      <c r="K15" s="842">
        <v>5</v>
      </c>
      <c r="L15" s="460">
        <v>20</v>
      </c>
      <c r="M15" s="457">
        <f t="shared" si="8"/>
        <v>8.0949000000000009</v>
      </c>
      <c r="N15" s="457">
        <f t="shared" si="6"/>
        <v>1.95</v>
      </c>
      <c r="O15" s="459">
        <f t="shared" si="7"/>
        <v>10.0449</v>
      </c>
      <c r="P15" s="456"/>
      <c r="Q15" s="457"/>
      <c r="R15" s="457"/>
      <c r="S15" s="457"/>
      <c r="T15" s="457"/>
      <c r="U15" s="459"/>
      <c r="V15" s="297"/>
      <c r="W15" s="28"/>
    </row>
    <row r="16" spans="1:23" ht="18.75" customHeight="1" x14ac:dyDescent="0.25">
      <c r="A16" s="455" t="s">
        <v>700</v>
      </c>
      <c r="B16" s="456"/>
      <c r="C16" s="457">
        <v>1279</v>
      </c>
      <c r="D16" s="458">
        <v>0.1</v>
      </c>
      <c r="E16" s="457">
        <v>127.9</v>
      </c>
      <c r="F16" s="457">
        <v>30.81</v>
      </c>
      <c r="G16" s="459">
        <v>158.71</v>
      </c>
      <c r="H16" s="480">
        <v>1.2699999999999999E-2</v>
      </c>
      <c r="I16" s="457">
        <v>1494.68</v>
      </c>
      <c r="J16" s="842">
        <v>9.4600000000000009</v>
      </c>
      <c r="K16" s="842">
        <v>2</v>
      </c>
      <c r="L16" s="460">
        <v>20</v>
      </c>
      <c r="M16" s="457">
        <f t="shared" si="8"/>
        <v>3.7840000000000003</v>
      </c>
      <c r="N16" s="457">
        <f t="shared" si="6"/>
        <v>0.91</v>
      </c>
      <c r="O16" s="459">
        <f t="shared" si="7"/>
        <v>4.694</v>
      </c>
      <c r="P16" s="456"/>
      <c r="Q16" s="457"/>
      <c r="R16" s="457"/>
      <c r="S16" s="457"/>
      <c r="T16" s="457"/>
      <c r="U16" s="459"/>
      <c r="V16" s="297"/>
      <c r="W16" s="28"/>
    </row>
    <row r="17" spans="1:23" ht="18.75" customHeight="1" x14ac:dyDescent="0.25">
      <c r="A17" s="455" t="s">
        <v>700</v>
      </c>
      <c r="B17" s="456"/>
      <c r="C17" s="457"/>
      <c r="D17" s="458"/>
      <c r="E17" s="457"/>
      <c r="F17" s="457"/>
      <c r="G17" s="459"/>
      <c r="H17" s="480">
        <v>8.5600000000000009E-2</v>
      </c>
      <c r="I17" s="457">
        <v>1279</v>
      </c>
      <c r="J17" s="842">
        <v>8.0949000000000009</v>
      </c>
      <c r="K17" s="842">
        <v>13.5</v>
      </c>
      <c r="L17" s="460">
        <v>20</v>
      </c>
      <c r="M17" s="457">
        <f t="shared" si="8"/>
        <v>21.85623</v>
      </c>
      <c r="N17" s="457">
        <f t="shared" si="6"/>
        <v>5.27</v>
      </c>
      <c r="O17" s="459">
        <f t="shared" si="7"/>
        <v>27.12623</v>
      </c>
      <c r="P17" s="456"/>
      <c r="Q17" s="457"/>
      <c r="R17" s="457"/>
      <c r="S17" s="457"/>
      <c r="T17" s="457"/>
      <c r="U17" s="459"/>
      <c r="V17" s="297"/>
      <c r="W17" s="28"/>
    </row>
    <row r="18" spans="1:23" ht="18.75" customHeight="1" x14ac:dyDescent="0.25">
      <c r="A18" s="455" t="s">
        <v>700</v>
      </c>
      <c r="B18" s="456"/>
      <c r="C18" s="457"/>
      <c r="D18" s="458"/>
      <c r="E18" s="457"/>
      <c r="F18" s="457"/>
      <c r="G18" s="459"/>
      <c r="H18" s="480">
        <v>2.53E-2</v>
      </c>
      <c r="I18" s="457">
        <v>1279</v>
      </c>
      <c r="J18" s="842">
        <v>8.0949000000000009</v>
      </c>
      <c r="K18" s="842">
        <v>4</v>
      </c>
      <c r="L18" s="460">
        <v>20</v>
      </c>
      <c r="M18" s="457">
        <f t="shared" si="8"/>
        <v>6.4759200000000012</v>
      </c>
      <c r="N18" s="457">
        <f t="shared" si="6"/>
        <v>1.56</v>
      </c>
      <c r="O18" s="459">
        <f t="shared" si="7"/>
        <v>8.0359200000000008</v>
      </c>
      <c r="P18" s="456"/>
      <c r="Q18" s="457"/>
      <c r="R18" s="457"/>
      <c r="S18" s="457"/>
      <c r="T18" s="457"/>
      <c r="U18" s="459"/>
      <c r="V18" s="297"/>
      <c r="W18" s="28"/>
    </row>
    <row r="19" spans="1:23" ht="18.75" customHeight="1" x14ac:dyDescent="0.25">
      <c r="A19" s="461" t="s">
        <v>684</v>
      </c>
      <c r="B19" s="456"/>
      <c r="C19" s="457">
        <v>1664.96</v>
      </c>
      <c r="D19" s="458">
        <v>0.02</v>
      </c>
      <c r="E19" s="457">
        <v>33.299999999999997</v>
      </c>
      <c r="F19" s="457">
        <v>8.02</v>
      </c>
      <c r="G19" s="459">
        <v>41.319999999999993</v>
      </c>
      <c r="H19" s="480">
        <v>1.2699999999999999E-2</v>
      </c>
      <c r="I19" s="457">
        <v>1494.68</v>
      </c>
      <c r="J19" s="842">
        <v>9.4600000000000009</v>
      </c>
      <c r="K19" s="842">
        <v>2</v>
      </c>
      <c r="L19" s="460">
        <v>20</v>
      </c>
      <c r="M19" s="457">
        <f t="shared" si="8"/>
        <v>3.7840000000000003</v>
      </c>
      <c r="N19" s="457">
        <f t="shared" si="6"/>
        <v>0.91</v>
      </c>
      <c r="O19" s="459">
        <f t="shared" si="7"/>
        <v>4.694</v>
      </c>
      <c r="P19" s="456"/>
      <c r="Q19" s="457"/>
      <c r="R19" s="457"/>
      <c r="S19" s="457"/>
      <c r="T19" s="457"/>
      <c r="U19" s="459"/>
      <c r="V19" s="297"/>
      <c r="W19" s="28"/>
    </row>
    <row r="20" spans="1:23" ht="18.75" customHeight="1" x14ac:dyDescent="0.25">
      <c r="A20" s="461" t="s">
        <v>684</v>
      </c>
      <c r="B20" s="456"/>
      <c r="C20" s="457">
        <v>1664.96</v>
      </c>
      <c r="D20" s="458">
        <v>0.02</v>
      </c>
      <c r="E20" s="457">
        <v>33.299999999999997</v>
      </c>
      <c r="F20" s="457">
        <v>8.02</v>
      </c>
      <c r="G20" s="459">
        <v>41.319999999999993</v>
      </c>
      <c r="H20" s="480">
        <v>1.26E-2</v>
      </c>
      <c r="I20" s="457">
        <v>1279</v>
      </c>
      <c r="J20" s="842">
        <v>7.6665000000000001</v>
      </c>
      <c r="K20" s="842">
        <v>2</v>
      </c>
      <c r="L20" s="460">
        <v>20</v>
      </c>
      <c r="M20" s="457">
        <f t="shared" si="8"/>
        <v>3.0666000000000002</v>
      </c>
      <c r="N20" s="457">
        <f t="shared" si="6"/>
        <v>0.74</v>
      </c>
      <c r="O20" s="459">
        <f t="shared" si="7"/>
        <v>3.8066000000000004</v>
      </c>
      <c r="P20" s="456"/>
      <c r="Q20" s="457"/>
      <c r="R20" s="457"/>
      <c r="S20" s="457"/>
      <c r="T20" s="457"/>
      <c r="U20" s="459"/>
      <c r="V20" s="297"/>
      <c r="W20" s="28"/>
    </row>
    <row r="21" spans="1:23" ht="18.75" customHeight="1" x14ac:dyDescent="0.25">
      <c r="A21" s="461" t="s">
        <v>684</v>
      </c>
      <c r="B21" s="456"/>
      <c r="C21" s="457">
        <v>1279</v>
      </c>
      <c r="D21" s="458">
        <v>0.02</v>
      </c>
      <c r="E21" s="457">
        <v>25.58</v>
      </c>
      <c r="F21" s="457">
        <v>6.16</v>
      </c>
      <c r="G21" s="459">
        <v>31.74</v>
      </c>
      <c r="H21" s="480">
        <v>6.3E-3</v>
      </c>
      <c r="I21" s="457">
        <v>1494.68</v>
      </c>
      <c r="J21" s="842">
        <v>9.4600000000000009</v>
      </c>
      <c r="K21" s="842">
        <v>1</v>
      </c>
      <c r="L21" s="460">
        <v>20</v>
      </c>
      <c r="M21" s="457">
        <f t="shared" si="8"/>
        <v>1.8920000000000001</v>
      </c>
      <c r="N21" s="457">
        <f t="shared" si="6"/>
        <v>0.46</v>
      </c>
      <c r="O21" s="459">
        <f t="shared" si="7"/>
        <v>2.3520000000000003</v>
      </c>
      <c r="P21" s="456"/>
      <c r="Q21" s="457"/>
      <c r="R21" s="457"/>
      <c r="S21" s="457"/>
      <c r="T21" s="457"/>
      <c r="U21" s="459"/>
      <c r="V21" s="297"/>
      <c r="W21" s="28"/>
    </row>
    <row r="22" spans="1:23" ht="18.75" customHeight="1" x14ac:dyDescent="0.25">
      <c r="A22" s="461" t="s">
        <v>684</v>
      </c>
      <c r="B22" s="456"/>
      <c r="C22" s="457"/>
      <c r="D22" s="458"/>
      <c r="E22" s="457"/>
      <c r="F22" s="457"/>
      <c r="G22" s="459"/>
      <c r="H22" s="480">
        <v>2.53E-2</v>
      </c>
      <c r="I22" s="457">
        <v>1279</v>
      </c>
      <c r="J22" s="842">
        <v>7.6665000000000001</v>
      </c>
      <c r="K22" s="842">
        <v>4</v>
      </c>
      <c r="L22" s="460">
        <v>20</v>
      </c>
      <c r="M22" s="457">
        <f t="shared" si="8"/>
        <v>6.1332000000000004</v>
      </c>
      <c r="N22" s="457">
        <f t="shared" si="6"/>
        <v>1.48</v>
      </c>
      <c r="O22" s="459">
        <f t="shared" si="7"/>
        <v>7.6132000000000009</v>
      </c>
      <c r="P22" s="456"/>
      <c r="Q22" s="457"/>
      <c r="R22" s="457"/>
      <c r="S22" s="457"/>
      <c r="T22" s="457"/>
      <c r="U22" s="459"/>
      <c r="V22" s="297"/>
      <c r="W22" s="28"/>
    </row>
    <row r="23" spans="1:23" ht="18.75" customHeight="1" x14ac:dyDescent="0.25">
      <c r="A23" s="461" t="s">
        <v>684</v>
      </c>
      <c r="B23" s="456"/>
      <c r="C23" s="457"/>
      <c r="D23" s="458"/>
      <c r="E23" s="457"/>
      <c r="F23" s="457"/>
      <c r="G23" s="459"/>
      <c r="H23" s="480">
        <v>3.4799999999999998E-2</v>
      </c>
      <c r="I23" s="457">
        <v>1494.68</v>
      </c>
      <c r="J23" s="842">
        <v>9.4600000000000009</v>
      </c>
      <c r="K23" s="842">
        <v>5.5</v>
      </c>
      <c r="L23" s="460">
        <v>20</v>
      </c>
      <c r="M23" s="457">
        <f t="shared" si="8"/>
        <v>10.405999999999999</v>
      </c>
      <c r="N23" s="457">
        <f t="shared" si="6"/>
        <v>2.5099999999999998</v>
      </c>
      <c r="O23" s="459">
        <f t="shared" si="7"/>
        <v>12.915999999999999</v>
      </c>
      <c r="P23" s="456"/>
      <c r="Q23" s="457"/>
      <c r="R23" s="457"/>
      <c r="S23" s="457"/>
      <c r="T23" s="457"/>
      <c r="U23" s="459"/>
      <c r="V23" s="297"/>
      <c r="W23" s="28"/>
    </row>
    <row r="24" spans="1:23" ht="18.75" customHeight="1" x14ac:dyDescent="0.25">
      <c r="A24" s="461" t="s">
        <v>782</v>
      </c>
      <c r="B24" s="456"/>
      <c r="C24" s="457"/>
      <c r="D24" s="458"/>
      <c r="E24" s="457"/>
      <c r="F24" s="457"/>
      <c r="G24" s="459"/>
      <c r="H24" s="480">
        <v>1.26E-2</v>
      </c>
      <c r="I24" s="457">
        <v>1494.68</v>
      </c>
      <c r="J24" s="842">
        <v>9.4600000000000009</v>
      </c>
      <c r="K24" s="842">
        <v>2</v>
      </c>
      <c r="L24" s="460">
        <v>20</v>
      </c>
      <c r="M24" s="457">
        <f t="shared" si="8"/>
        <v>3.7840000000000003</v>
      </c>
      <c r="N24" s="457">
        <f t="shared" si="6"/>
        <v>0.91</v>
      </c>
      <c r="O24" s="459">
        <f t="shared" si="7"/>
        <v>4.694</v>
      </c>
      <c r="P24" s="456"/>
      <c r="Q24" s="457"/>
      <c r="R24" s="457"/>
      <c r="S24" s="457"/>
      <c r="T24" s="457"/>
      <c r="U24" s="459"/>
      <c r="V24" s="297"/>
      <c r="W24" s="28"/>
    </row>
    <row r="25" spans="1:23" ht="18.75" customHeight="1" x14ac:dyDescent="0.25">
      <c r="A25" s="461" t="s">
        <v>947</v>
      </c>
      <c r="B25" s="456"/>
      <c r="C25" s="457">
        <v>1279</v>
      </c>
      <c r="D25" s="458">
        <v>0.02</v>
      </c>
      <c r="E25" s="457">
        <v>25.58</v>
      </c>
      <c r="F25" s="457">
        <v>6.16</v>
      </c>
      <c r="G25" s="459">
        <v>31.74</v>
      </c>
      <c r="H25" s="480"/>
      <c r="I25" s="457"/>
      <c r="J25" s="843"/>
      <c r="K25" s="843"/>
      <c r="L25" s="460"/>
      <c r="M25" s="457">
        <f t="shared" si="8"/>
        <v>0</v>
      </c>
      <c r="N25" s="457"/>
      <c r="O25" s="459"/>
      <c r="P25" s="456"/>
      <c r="Q25" s="457"/>
      <c r="R25" s="457"/>
      <c r="S25" s="457"/>
      <c r="T25" s="457"/>
      <c r="U25" s="459"/>
      <c r="V25" s="297"/>
      <c r="W25" s="28"/>
    </row>
    <row r="26" spans="1:23" ht="18.75" customHeight="1" x14ac:dyDescent="0.25">
      <c r="A26" s="461" t="s">
        <v>783</v>
      </c>
      <c r="B26" s="456"/>
      <c r="C26" s="457"/>
      <c r="D26" s="458"/>
      <c r="E26" s="457"/>
      <c r="F26" s="457"/>
      <c r="G26" s="459"/>
      <c r="H26" s="480">
        <v>1.26E-2</v>
      </c>
      <c r="I26" s="457">
        <v>1279</v>
      </c>
      <c r="J26" s="842">
        <v>8.0949000000000009</v>
      </c>
      <c r="K26" s="842">
        <v>2</v>
      </c>
      <c r="L26" s="460">
        <v>20</v>
      </c>
      <c r="M26" s="457">
        <f t="shared" si="8"/>
        <v>3.2379600000000006</v>
      </c>
      <c r="N26" s="457">
        <f t="shared" si="6"/>
        <v>0.78</v>
      </c>
      <c r="O26" s="459">
        <f t="shared" si="7"/>
        <v>4.0179600000000004</v>
      </c>
      <c r="P26" s="456"/>
      <c r="Q26" s="457"/>
      <c r="R26" s="457"/>
      <c r="S26" s="457"/>
      <c r="T26" s="457"/>
      <c r="U26" s="459"/>
      <c r="V26" s="297"/>
      <c r="W26" s="28"/>
    </row>
    <row r="27" spans="1:23" ht="18.75" customHeight="1" x14ac:dyDescent="0.25">
      <c r="A27" s="461" t="s">
        <v>783</v>
      </c>
      <c r="B27" s="456"/>
      <c r="C27" s="457"/>
      <c r="D27" s="458"/>
      <c r="E27" s="457"/>
      <c r="F27" s="457"/>
      <c r="G27" s="459"/>
      <c r="H27" s="480">
        <v>6.3E-3</v>
      </c>
      <c r="I27" s="457">
        <v>1494.68</v>
      </c>
      <c r="J27" s="842">
        <v>9.4600000000000009</v>
      </c>
      <c r="K27" s="842">
        <v>1</v>
      </c>
      <c r="L27" s="460">
        <v>20</v>
      </c>
      <c r="M27" s="457">
        <f t="shared" si="8"/>
        <v>1.8920000000000001</v>
      </c>
      <c r="N27" s="457">
        <f t="shared" si="6"/>
        <v>0.46</v>
      </c>
      <c r="O27" s="459">
        <f t="shared" si="7"/>
        <v>2.3520000000000003</v>
      </c>
      <c r="P27" s="456"/>
      <c r="Q27" s="457"/>
      <c r="R27" s="457"/>
      <c r="S27" s="457"/>
      <c r="T27" s="457"/>
      <c r="U27" s="459"/>
      <c r="V27" s="297"/>
      <c r="W27" s="28"/>
    </row>
    <row r="28" spans="1:23" ht="18.75" customHeight="1" x14ac:dyDescent="0.25">
      <c r="A28" s="461" t="s">
        <v>783</v>
      </c>
      <c r="B28" s="456"/>
      <c r="C28" s="457"/>
      <c r="D28" s="458"/>
      <c r="E28" s="457"/>
      <c r="F28" s="457"/>
      <c r="G28" s="459"/>
      <c r="H28" s="480">
        <v>3.2000000000000002E-3</v>
      </c>
      <c r="I28" s="457">
        <v>1788</v>
      </c>
      <c r="J28" s="842">
        <v>11.3165</v>
      </c>
      <c r="K28" s="842">
        <v>0.5</v>
      </c>
      <c r="L28" s="460">
        <v>20</v>
      </c>
      <c r="M28" s="457">
        <f t="shared" si="8"/>
        <v>1.1316499999999998</v>
      </c>
      <c r="N28" s="457">
        <f t="shared" si="6"/>
        <v>0.27</v>
      </c>
      <c r="O28" s="459">
        <f t="shared" si="7"/>
        <v>1.4016499999999998</v>
      </c>
      <c r="P28" s="456"/>
      <c r="Q28" s="457"/>
      <c r="R28" s="457"/>
      <c r="S28" s="457"/>
      <c r="T28" s="457"/>
      <c r="U28" s="459"/>
      <c r="V28" s="297"/>
      <c r="W28" s="28"/>
    </row>
    <row r="29" spans="1:23" ht="18.75" customHeight="1" x14ac:dyDescent="0.25">
      <c r="A29" s="461" t="s">
        <v>783</v>
      </c>
      <c r="B29" s="456"/>
      <c r="C29" s="457"/>
      <c r="D29" s="458"/>
      <c r="E29" s="457"/>
      <c r="F29" s="457"/>
      <c r="G29" s="459"/>
      <c r="H29" s="480">
        <v>1.2699999999999999E-2</v>
      </c>
      <c r="I29" s="457">
        <v>1494.68</v>
      </c>
      <c r="J29" s="842">
        <v>9.4600000000000009</v>
      </c>
      <c r="K29" s="842">
        <v>2</v>
      </c>
      <c r="L29" s="460">
        <v>20</v>
      </c>
      <c r="M29" s="457">
        <f t="shared" si="8"/>
        <v>3.7840000000000003</v>
      </c>
      <c r="N29" s="457">
        <f t="shared" si="6"/>
        <v>0.91</v>
      </c>
      <c r="O29" s="459">
        <f t="shared" si="7"/>
        <v>4.694</v>
      </c>
      <c r="P29" s="456"/>
      <c r="Q29" s="457"/>
      <c r="R29" s="457"/>
      <c r="S29" s="457"/>
      <c r="T29" s="457"/>
      <c r="U29" s="459"/>
      <c r="V29" s="297"/>
      <c r="W29" s="28"/>
    </row>
    <row r="30" spans="1:23" ht="18.75" customHeight="1" x14ac:dyDescent="0.25">
      <c r="A30" s="461" t="s">
        <v>784</v>
      </c>
      <c r="B30" s="456"/>
      <c r="C30" s="457">
        <v>1279</v>
      </c>
      <c r="D30" s="458">
        <v>0.04</v>
      </c>
      <c r="E30" s="457">
        <v>51.16</v>
      </c>
      <c r="F30" s="457">
        <v>12.32</v>
      </c>
      <c r="G30" s="459">
        <v>63.48</v>
      </c>
      <c r="H30" s="480"/>
      <c r="I30" s="457"/>
      <c r="J30" s="844"/>
      <c r="K30" s="844"/>
      <c r="L30" s="460"/>
      <c r="M30" s="457">
        <f t="shared" si="8"/>
        <v>0</v>
      </c>
      <c r="N30" s="457"/>
      <c r="O30" s="459"/>
      <c r="P30" s="456"/>
      <c r="Q30" s="457"/>
      <c r="R30" s="457"/>
      <c r="S30" s="457"/>
      <c r="T30" s="457"/>
      <c r="U30" s="459"/>
      <c r="V30" s="297"/>
      <c r="W30" s="28"/>
    </row>
    <row r="31" spans="1:23" ht="18.75" customHeight="1" x14ac:dyDescent="0.25">
      <c r="A31" s="461" t="s">
        <v>784</v>
      </c>
      <c r="B31" s="456"/>
      <c r="C31" s="457">
        <v>1279</v>
      </c>
      <c r="D31" s="458">
        <v>0.02</v>
      </c>
      <c r="E31" s="457">
        <v>25.58</v>
      </c>
      <c r="F31" s="457">
        <v>6.16</v>
      </c>
      <c r="G31" s="459">
        <v>31.74</v>
      </c>
      <c r="H31" s="480"/>
      <c r="I31" s="457"/>
      <c r="J31" s="844"/>
      <c r="K31" s="844"/>
      <c r="L31" s="460"/>
      <c r="M31" s="457">
        <f t="shared" si="8"/>
        <v>0</v>
      </c>
      <c r="N31" s="457"/>
      <c r="O31" s="459"/>
      <c r="P31" s="456"/>
      <c r="Q31" s="457"/>
      <c r="R31" s="457"/>
      <c r="S31" s="457"/>
      <c r="T31" s="457"/>
      <c r="U31" s="459"/>
      <c r="V31" s="297"/>
      <c r="W31" s="28"/>
    </row>
    <row r="32" spans="1:23" ht="18.75" customHeight="1" x14ac:dyDescent="0.25">
      <c r="A32" s="461" t="s">
        <v>784</v>
      </c>
      <c r="B32" s="456"/>
      <c r="C32" s="457">
        <v>1664.96</v>
      </c>
      <c r="D32" s="458">
        <v>0.02</v>
      </c>
      <c r="E32" s="457">
        <v>33.299999999999997</v>
      </c>
      <c r="F32" s="457">
        <v>8.02</v>
      </c>
      <c r="G32" s="459">
        <v>41.319999999999993</v>
      </c>
      <c r="H32" s="480">
        <v>6.3E-3</v>
      </c>
      <c r="I32" s="457">
        <v>1279</v>
      </c>
      <c r="J32" s="842">
        <v>7.6665000000000001</v>
      </c>
      <c r="K32" s="842">
        <v>1</v>
      </c>
      <c r="L32" s="460">
        <v>20</v>
      </c>
      <c r="M32" s="457">
        <f t="shared" si="8"/>
        <v>1.5333000000000001</v>
      </c>
      <c r="N32" s="457">
        <f t="shared" si="6"/>
        <v>0.37</v>
      </c>
      <c r="O32" s="459">
        <f t="shared" si="7"/>
        <v>1.9033000000000002</v>
      </c>
      <c r="P32" s="456"/>
      <c r="Q32" s="457"/>
      <c r="R32" s="457"/>
      <c r="S32" s="457"/>
      <c r="T32" s="457"/>
      <c r="U32" s="459"/>
      <c r="V32" s="297"/>
      <c r="W32" s="28"/>
    </row>
    <row r="33" spans="1:26" ht="49.5" customHeight="1" x14ac:dyDescent="0.25">
      <c r="A33" s="461" t="s">
        <v>785</v>
      </c>
      <c r="B33" s="456"/>
      <c r="C33" s="457"/>
      <c r="D33" s="458"/>
      <c r="E33" s="457"/>
      <c r="F33" s="457"/>
      <c r="G33" s="459"/>
      <c r="H33" s="480">
        <v>3.5999999999999999E-3</v>
      </c>
      <c r="I33" s="457">
        <v>1279</v>
      </c>
      <c r="J33" s="842">
        <v>9.2681000000000004</v>
      </c>
      <c r="K33" s="842">
        <v>0.5</v>
      </c>
      <c r="L33" s="460">
        <v>20</v>
      </c>
      <c r="M33" s="457">
        <f t="shared" si="8"/>
        <v>0.92681000000000013</v>
      </c>
      <c r="N33" s="457">
        <f t="shared" si="6"/>
        <v>0.22</v>
      </c>
      <c r="O33" s="459">
        <f t="shared" si="7"/>
        <v>1.1468100000000001</v>
      </c>
      <c r="P33" s="456"/>
      <c r="Q33" s="457"/>
      <c r="R33" s="457"/>
      <c r="S33" s="457"/>
      <c r="T33" s="457"/>
      <c r="U33" s="459"/>
      <c r="V33" s="297"/>
      <c r="W33" s="28"/>
    </row>
    <row r="34" spans="1:26" x14ac:dyDescent="0.25">
      <c r="A34" s="461" t="s">
        <v>785</v>
      </c>
      <c r="B34" s="456"/>
      <c r="C34" s="457"/>
      <c r="D34" s="458"/>
      <c r="E34" s="457"/>
      <c r="F34" s="457"/>
      <c r="G34" s="459"/>
      <c r="H34" s="480">
        <v>3.5999999999999999E-3</v>
      </c>
      <c r="I34" s="457">
        <v>1279</v>
      </c>
      <c r="J34" s="842">
        <v>9.2681000000000004</v>
      </c>
      <c r="K34" s="842">
        <v>0.5</v>
      </c>
      <c r="L34" s="460">
        <v>20</v>
      </c>
      <c r="M34" s="457">
        <f t="shared" si="8"/>
        <v>0.92681000000000013</v>
      </c>
      <c r="N34" s="457">
        <f t="shared" si="6"/>
        <v>0.22</v>
      </c>
      <c r="O34" s="459">
        <f t="shared" si="7"/>
        <v>1.1468100000000001</v>
      </c>
      <c r="P34" s="456"/>
      <c r="Q34" s="457"/>
      <c r="R34" s="457"/>
      <c r="S34" s="457"/>
      <c r="T34" s="457"/>
      <c r="U34" s="459"/>
      <c r="V34" s="297"/>
      <c r="W34" s="28"/>
      <c r="X34" s="462"/>
      <c r="Y34"/>
      <c r="Z34"/>
    </row>
    <row r="35" spans="1:26" ht="17.25" customHeight="1" x14ac:dyDescent="0.25">
      <c r="A35" s="461" t="s">
        <v>20</v>
      </c>
      <c r="B35" s="456"/>
      <c r="C35" s="457">
        <v>1664.96</v>
      </c>
      <c r="D35" s="458">
        <v>5.0000000000000001E-3</v>
      </c>
      <c r="E35" s="457">
        <v>8.32</v>
      </c>
      <c r="F35" s="457">
        <v>2</v>
      </c>
      <c r="G35" s="459">
        <v>10.32</v>
      </c>
      <c r="H35" s="480">
        <v>9.4999999999999998E-3</v>
      </c>
      <c r="I35" s="457">
        <v>1494.68</v>
      </c>
      <c r="J35" s="842">
        <v>9.4600000000000009</v>
      </c>
      <c r="K35" s="842">
        <v>1.5</v>
      </c>
      <c r="L35" s="460">
        <v>20</v>
      </c>
      <c r="M35" s="457">
        <f t="shared" si="8"/>
        <v>2.8380000000000001</v>
      </c>
      <c r="N35" s="457">
        <f t="shared" si="6"/>
        <v>0.68</v>
      </c>
      <c r="O35" s="459">
        <f t="shared" si="7"/>
        <v>3.5180000000000002</v>
      </c>
      <c r="P35" s="456"/>
      <c r="Q35" s="457"/>
      <c r="R35" s="457"/>
      <c r="S35" s="457"/>
      <c r="T35" s="457"/>
      <c r="U35" s="459"/>
      <c r="V35" s="297"/>
      <c r="W35" s="28"/>
      <c r="X35" s="462"/>
      <c r="Y35"/>
      <c r="Z35"/>
    </row>
    <row r="36" spans="1:26" ht="17.25" customHeight="1" x14ac:dyDescent="0.25">
      <c r="A36" s="461" t="s">
        <v>20</v>
      </c>
      <c r="B36" s="456"/>
      <c r="C36" s="457"/>
      <c r="D36" s="458"/>
      <c r="E36" s="457"/>
      <c r="F36" s="457"/>
      <c r="G36" s="459"/>
      <c r="H36" s="480">
        <v>2.53E-2</v>
      </c>
      <c r="I36" s="457">
        <v>1494.68</v>
      </c>
      <c r="J36" s="842">
        <v>9.4600000000000009</v>
      </c>
      <c r="K36" s="842">
        <v>4</v>
      </c>
      <c r="L36" s="460">
        <v>20</v>
      </c>
      <c r="M36" s="457">
        <f t="shared" si="8"/>
        <v>7.5680000000000005</v>
      </c>
      <c r="N36" s="457">
        <f t="shared" si="6"/>
        <v>1.82</v>
      </c>
      <c r="O36" s="459">
        <f t="shared" si="7"/>
        <v>9.3879999999999999</v>
      </c>
      <c r="P36" s="456"/>
      <c r="Q36" s="457"/>
      <c r="R36" s="457"/>
      <c r="S36" s="457"/>
      <c r="T36" s="457"/>
      <c r="U36" s="459"/>
      <c r="V36" s="297"/>
      <c r="W36" s="28"/>
      <c r="X36" s="462"/>
      <c r="Y36"/>
      <c r="Z36"/>
    </row>
    <row r="37" spans="1:26" ht="17.25" customHeight="1" x14ac:dyDescent="0.25">
      <c r="A37" s="461" t="s">
        <v>20</v>
      </c>
      <c r="B37" s="456"/>
      <c r="C37" s="457"/>
      <c r="D37" s="458"/>
      <c r="E37" s="457"/>
      <c r="F37" s="457"/>
      <c r="G37" s="459"/>
      <c r="H37" s="480">
        <v>1.26E-2</v>
      </c>
      <c r="I37" s="457">
        <v>1494.68</v>
      </c>
      <c r="J37" s="842">
        <v>9.4600000000000009</v>
      </c>
      <c r="K37" s="842">
        <v>2</v>
      </c>
      <c r="L37" s="460">
        <v>20</v>
      </c>
      <c r="M37" s="457">
        <f t="shared" si="8"/>
        <v>3.7840000000000003</v>
      </c>
      <c r="N37" s="457">
        <f t="shared" si="6"/>
        <v>0.91</v>
      </c>
      <c r="O37" s="459">
        <f t="shared" si="7"/>
        <v>4.694</v>
      </c>
      <c r="P37" s="456"/>
      <c r="Q37" s="457"/>
      <c r="R37" s="457"/>
      <c r="S37" s="457"/>
      <c r="T37" s="457"/>
      <c r="U37" s="459"/>
      <c r="V37" s="297"/>
      <c r="W37" s="28"/>
      <c r="X37" s="462"/>
      <c r="Y37"/>
      <c r="Z37"/>
    </row>
    <row r="38" spans="1:26" ht="17.25" customHeight="1" x14ac:dyDescent="0.25">
      <c r="A38" s="461" t="s">
        <v>20</v>
      </c>
      <c r="B38" s="456"/>
      <c r="C38" s="457"/>
      <c r="D38" s="458"/>
      <c r="E38" s="457"/>
      <c r="F38" s="457"/>
      <c r="G38" s="459"/>
      <c r="H38" s="480">
        <v>6.3E-3</v>
      </c>
      <c r="I38" s="457">
        <v>1494.68</v>
      </c>
      <c r="J38" s="842">
        <v>9.4600000000000009</v>
      </c>
      <c r="K38" s="842">
        <v>1</v>
      </c>
      <c r="L38" s="460">
        <v>20</v>
      </c>
      <c r="M38" s="457">
        <f t="shared" si="8"/>
        <v>1.8920000000000001</v>
      </c>
      <c r="N38" s="457">
        <f t="shared" si="6"/>
        <v>0.46</v>
      </c>
      <c r="O38" s="459">
        <f t="shared" si="7"/>
        <v>2.3520000000000003</v>
      </c>
      <c r="P38" s="456"/>
      <c r="Q38" s="457"/>
      <c r="R38" s="457"/>
      <c r="S38" s="457"/>
      <c r="T38" s="457"/>
      <c r="U38" s="459"/>
      <c r="V38" s="297"/>
      <c r="W38" s="28"/>
      <c r="X38" s="462"/>
      <c r="Y38"/>
      <c r="Z38"/>
    </row>
    <row r="39" spans="1:26" ht="17.25" customHeight="1" x14ac:dyDescent="0.25">
      <c r="A39" s="461" t="s">
        <v>786</v>
      </c>
      <c r="B39" s="456"/>
      <c r="C39" s="457">
        <v>2413</v>
      </c>
      <c r="D39" s="539">
        <v>5.0000000000000001E-3</v>
      </c>
      <c r="E39" s="457">
        <v>12.07</v>
      </c>
      <c r="F39" s="457">
        <v>2.91</v>
      </c>
      <c r="G39" s="459">
        <v>14.98</v>
      </c>
      <c r="H39" s="480">
        <v>6.3E-3</v>
      </c>
      <c r="I39" s="457">
        <v>2413</v>
      </c>
      <c r="J39" s="842">
        <v>14.463800000000001</v>
      </c>
      <c r="K39" s="842">
        <v>1</v>
      </c>
      <c r="L39" s="460">
        <v>20</v>
      </c>
      <c r="M39" s="457">
        <f t="shared" si="8"/>
        <v>2.89276</v>
      </c>
      <c r="N39" s="457">
        <f t="shared" si="6"/>
        <v>0.7</v>
      </c>
      <c r="O39" s="459">
        <f t="shared" si="7"/>
        <v>3.5927600000000002</v>
      </c>
      <c r="P39" s="456"/>
      <c r="Q39" s="457"/>
      <c r="R39" s="457"/>
      <c r="S39" s="457"/>
      <c r="T39" s="457"/>
      <c r="U39" s="459"/>
      <c r="V39" s="297"/>
      <c r="W39" s="28"/>
      <c r="X39" s="462"/>
      <c r="Y39"/>
      <c r="Z39"/>
    </row>
    <row r="40" spans="1:26" ht="17.25" customHeight="1" x14ac:dyDescent="0.25">
      <c r="A40" s="461" t="s">
        <v>787</v>
      </c>
      <c r="B40" s="456"/>
      <c r="C40" s="457"/>
      <c r="D40" s="539"/>
      <c r="E40" s="457"/>
      <c r="F40" s="457"/>
      <c r="G40" s="459"/>
      <c r="H40" s="480">
        <v>6.3E-3</v>
      </c>
      <c r="I40" s="457">
        <v>1534</v>
      </c>
      <c r="J40" s="842">
        <v>9.7088999999999999</v>
      </c>
      <c r="K40" s="842">
        <v>1</v>
      </c>
      <c r="L40" s="460">
        <v>20</v>
      </c>
      <c r="M40" s="457">
        <f t="shared" si="8"/>
        <v>1.9417800000000001</v>
      </c>
      <c r="N40" s="457">
        <f t="shared" si="6"/>
        <v>0.47</v>
      </c>
      <c r="O40" s="459">
        <f t="shared" si="7"/>
        <v>2.4117800000000003</v>
      </c>
      <c r="P40" s="456"/>
      <c r="Q40" s="457"/>
      <c r="R40" s="457"/>
      <c r="S40" s="457"/>
      <c r="T40" s="457"/>
      <c r="U40" s="459"/>
      <c r="V40" s="297"/>
      <c r="W40" s="28"/>
      <c r="X40" s="462"/>
      <c r="Y40"/>
      <c r="Z40"/>
    </row>
    <row r="41" spans="1:26" ht="17.25" customHeight="1" x14ac:dyDescent="0.25">
      <c r="A41" s="461" t="s">
        <v>788</v>
      </c>
      <c r="B41" s="456"/>
      <c r="C41" s="457"/>
      <c r="D41" s="539"/>
      <c r="E41" s="457"/>
      <c r="F41" s="457"/>
      <c r="G41" s="459"/>
      <c r="H41" s="480">
        <v>1.26E-2</v>
      </c>
      <c r="I41" s="457">
        <v>1923</v>
      </c>
      <c r="J41" s="842">
        <v>12.1709</v>
      </c>
      <c r="K41" s="842">
        <v>2</v>
      </c>
      <c r="L41" s="460">
        <v>20</v>
      </c>
      <c r="M41" s="457">
        <f t="shared" si="8"/>
        <v>4.86836</v>
      </c>
      <c r="N41" s="457">
        <f t="shared" si="6"/>
        <v>1.17</v>
      </c>
      <c r="O41" s="459">
        <f t="shared" si="7"/>
        <v>6.0383599999999999</v>
      </c>
      <c r="P41" s="456"/>
      <c r="Q41" s="457"/>
      <c r="R41" s="457"/>
      <c r="S41" s="457"/>
      <c r="T41" s="457"/>
      <c r="U41" s="459"/>
      <c r="V41" s="297"/>
      <c r="W41" s="28"/>
      <c r="X41" s="462"/>
      <c r="Y41"/>
      <c r="Z41"/>
    </row>
    <row r="42" spans="1:26" ht="17.25" customHeight="1" x14ac:dyDescent="0.25">
      <c r="A42" s="461" t="s">
        <v>789</v>
      </c>
      <c r="B42" s="456"/>
      <c r="C42" s="457"/>
      <c r="D42" s="539"/>
      <c r="E42" s="457"/>
      <c r="F42" s="457"/>
      <c r="G42" s="459"/>
      <c r="H42" s="480">
        <v>7.1999999999999998E-3</v>
      </c>
      <c r="I42" s="457">
        <v>1534</v>
      </c>
      <c r="J42" s="842">
        <v>11.1159</v>
      </c>
      <c r="K42" s="842">
        <v>1</v>
      </c>
      <c r="L42" s="460">
        <v>20</v>
      </c>
      <c r="M42" s="457">
        <f t="shared" si="8"/>
        <v>2.2231799999999997</v>
      </c>
      <c r="N42" s="457">
        <f>ROUND(M42*0.2409,2)</f>
        <v>0.54</v>
      </c>
      <c r="O42" s="459">
        <f t="shared" si="7"/>
        <v>2.7631799999999997</v>
      </c>
      <c r="P42" s="456"/>
      <c r="Q42" s="457"/>
      <c r="R42" s="457"/>
      <c r="S42" s="457"/>
      <c r="T42" s="457"/>
      <c r="U42" s="459"/>
      <c r="V42" s="297"/>
      <c r="W42" s="28"/>
      <c r="X42" s="462"/>
      <c r="Y42"/>
      <c r="Z42"/>
    </row>
    <row r="43" spans="1:26" ht="17.25" customHeight="1" x14ac:dyDescent="0.25">
      <c r="A43" s="461" t="s">
        <v>945</v>
      </c>
      <c r="B43" s="456"/>
      <c r="C43" s="457">
        <v>1279</v>
      </c>
      <c r="D43" s="539">
        <v>0.02</v>
      </c>
      <c r="E43" s="457">
        <v>25.58</v>
      </c>
      <c r="F43" s="457">
        <v>6.16</v>
      </c>
      <c r="G43" s="459">
        <v>31.74</v>
      </c>
      <c r="H43" s="480"/>
      <c r="I43" s="457"/>
      <c r="J43" s="843"/>
      <c r="K43" s="843"/>
      <c r="L43" s="460"/>
      <c r="M43" s="457">
        <f t="shared" si="8"/>
        <v>0</v>
      </c>
      <c r="N43" s="457"/>
      <c r="O43" s="459"/>
      <c r="P43" s="456"/>
      <c r="Q43" s="457"/>
      <c r="R43" s="457"/>
      <c r="S43" s="457"/>
      <c r="T43" s="457"/>
      <c r="U43" s="459"/>
      <c r="V43" s="297"/>
      <c r="W43" s="28"/>
      <c r="X43" s="462"/>
      <c r="Y43"/>
      <c r="Z43"/>
    </row>
    <row r="44" spans="1:26" ht="17.25" customHeight="1" x14ac:dyDescent="0.25">
      <c r="A44" s="461" t="s">
        <v>945</v>
      </c>
      <c r="B44" s="456"/>
      <c r="C44" s="457">
        <v>1859</v>
      </c>
      <c r="D44" s="539">
        <v>0.02</v>
      </c>
      <c r="E44" s="457">
        <v>37.18</v>
      </c>
      <c r="F44" s="457">
        <v>8.9600000000000009</v>
      </c>
      <c r="G44" s="459">
        <v>46.14</v>
      </c>
      <c r="H44" s="480"/>
      <c r="I44" s="457"/>
      <c r="J44" s="843"/>
      <c r="K44" s="843"/>
      <c r="L44" s="460"/>
      <c r="M44" s="457">
        <f t="shared" si="8"/>
        <v>0</v>
      </c>
      <c r="N44" s="457"/>
      <c r="O44" s="459"/>
      <c r="P44" s="456"/>
      <c r="Q44" s="457"/>
      <c r="R44" s="457"/>
      <c r="S44" s="457"/>
      <c r="T44" s="457"/>
      <c r="U44" s="459"/>
      <c r="V44" s="297"/>
      <c r="W44" s="28"/>
      <c r="X44" s="462"/>
      <c r="Y44"/>
      <c r="Z44"/>
    </row>
    <row r="45" spans="1:26" ht="17.25" customHeight="1" x14ac:dyDescent="0.25">
      <c r="A45" s="461" t="s">
        <v>946</v>
      </c>
      <c r="B45" s="456"/>
      <c r="C45" s="457">
        <v>1821</v>
      </c>
      <c r="D45" s="539">
        <v>5.0000000000000001E-3</v>
      </c>
      <c r="E45" s="457">
        <v>9.11</v>
      </c>
      <c r="F45" s="457">
        <v>2.19</v>
      </c>
      <c r="G45" s="459">
        <v>11.299999999999999</v>
      </c>
      <c r="H45" s="480"/>
      <c r="I45" s="457"/>
      <c r="J45" s="843"/>
      <c r="K45" s="843"/>
      <c r="L45" s="460"/>
      <c r="M45" s="457">
        <f t="shared" si="8"/>
        <v>0</v>
      </c>
      <c r="N45" s="457"/>
      <c r="O45" s="459"/>
      <c r="P45" s="456"/>
      <c r="Q45" s="457"/>
      <c r="R45" s="457"/>
      <c r="S45" s="457"/>
      <c r="T45" s="457"/>
      <c r="U45" s="459"/>
      <c r="V45" s="297"/>
      <c r="W45" s="28"/>
      <c r="X45" s="462"/>
      <c r="Y45"/>
      <c r="Z45"/>
    </row>
    <row r="46" spans="1:26" ht="17.25" customHeight="1" x14ac:dyDescent="0.25">
      <c r="A46" s="461" t="s">
        <v>22</v>
      </c>
      <c r="B46" s="464"/>
      <c r="C46" s="465">
        <v>1482</v>
      </c>
      <c r="D46" s="465">
        <v>5.0000000000000001E-3</v>
      </c>
      <c r="E46" s="465">
        <v>7.41</v>
      </c>
      <c r="F46" s="457">
        <v>1.79</v>
      </c>
      <c r="G46" s="459">
        <v>9.1999999999999993</v>
      </c>
      <c r="H46" s="481">
        <v>2.8400000000000002E-2</v>
      </c>
      <c r="I46" s="465">
        <v>1482</v>
      </c>
      <c r="J46" s="842">
        <v>9.3796999999999997</v>
      </c>
      <c r="K46" s="842">
        <v>4.5</v>
      </c>
      <c r="L46" s="466">
        <v>20</v>
      </c>
      <c r="M46" s="457">
        <f t="shared" si="8"/>
        <v>8.4417299999999997</v>
      </c>
      <c r="N46" s="457">
        <f t="shared" si="6"/>
        <v>2.0299999999999998</v>
      </c>
      <c r="O46" s="459">
        <f t="shared" si="7"/>
        <v>10.471729999999999</v>
      </c>
      <c r="P46" s="456"/>
      <c r="Q46" s="457"/>
      <c r="R46" s="457"/>
      <c r="S46" s="457"/>
      <c r="T46" s="457"/>
      <c r="U46" s="459"/>
      <c r="V46" s="297"/>
      <c r="W46" s="28"/>
      <c r="X46" s="462"/>
      <c r="Y46"/>
      <c r="Z46"/>
    </row>
    <row r="47" spans="1:26" ht="17.25" customHeight="1" x14ac:dyDescent="0.25">
      <c r="A47" s="461" t="s">
        <v>22</v>
      </c>
      <c r="B47" s="464"/>
      <c r="C47" s="465">
        <v>1630.2</v>
      </c>
      <c r="D47" s="465">
        <v>0.04</v>
      </c>
      <c r="E47" s="465">
        <v>65.209999999999994</v>
      </c>
      <c r="F47" s="457">
        <v>15.71</v>
      </c>
      <c r="G47" s="459">
        <v>80.919999999999987</v>
      </c>
      <c r="H47" s="481">
        <v>6.3E-3</v>
      </c>
      <c r="I47" s="465">
        <v>1630.2</v>
      </c>
      <c r="J47" s="842">
        <v>10.3177</v>
      </c>
      <c r="K47" s="842">
        <v>1</v>
      </c>
      <c r="L47" s="466">
        <v>20</v>
      </c>
      <c r="M47" s="457">
        <f t="shared" si="8"/>
        <v>2.0635400000000002</v>
      </c>
      <c r="N47" s="457">
        <f t="shared" si="6"/>
        <v>0.5</v>
      </c>
      <c r="O47" s="459">
        <f t="shared" si="7"/>
        <v>2.5635400000000002</v>
      </c>
      <c r="P47" s="456"/>
      <c r="Q47" s="457"/>
      <c r="R47" s="457"/>
      <c r="S47" s="457"/>
      <c r="T47" s="457"/>
      <c r="U47" s="459"/>
      <c r="V47" s="297"/>
      <c r="W47" s="28"/>
      <c r="X47" s="462"/>
      <c r="Y47"/>
      <c r="Z47"/>
    </row>
    <row r="48" spans="1:26" ht="17.25" customHeight="1" x14ac:dyDescent="0.25">
      <c r="A48" s="461" t="s">
        <v>22</v>
      </c>
      <c r="B48" s="464"/>
      <c r="C48" s="465">
        <v>1482</v>
      </c>
      <c r="D48" s="465">
        <v>0.02</v>
      </c>
      <c r="E48" s="465">
        <v>29.64</v>
      </c>
      <c r="F48" s="457">
        <v>7.14</v>
      </c>
      <c r="G48" s="459">
        <v>36.78</v>
      </c>
      <c r="H48" s="481">
        <v>1.26E-2</v>
      </c>
      <c r="I48" s="465">
        <v>1482</v>
      </c>
      <c r="J48" s="842">
        <v>9.3796999999999997</v>
      </c>
      <c r="K48" s="842">
        <v>2</v>
      </c>
      <c r="L48" s="466">
        <v>20</v>
      </c>
      <c r="M48" s="457">
        <f t="shared" si="8"/>
        <v>3.7518799999999999</v>
      </c>
      <c r="N48" s="457">
        <f t="shared" si="6"/>
        <v>0.9</v>
      </c>
      <c r="O48" s="459">
        <f t="shared" si="7"/>
        <v>4.6518800000000002</v>
      </c>
      <c r="P48" s="456"/>
      <c r="Q48" s="457"/>
      <c r="R48" s="457"/>
      <c r="S48" s="457"/>
      <c r="T48" s="457"/>
      <c r="U48" s="459"/>
      <c r="V48" s="297"/>
      <c r="W48" s="28"/>
      <c r="X48" s="462"/>
      <c r="Y48"/>
      <c r="Z48"/>
    </row>
    <row r="49" spans="1:23" ht="47.25" x14ac:dyDescent="0.25">
      <c r="A49" s="450" t="s">
        <v>12</v>
      </c>
      <c r="B49" s="451"/>
      <c r="C49" s="453"/>
      <c r="D49" s="453"/>
      <c r="E49" s="453">
        <f>SUM(E50:E141)</f>
        <v>1029.9400000000003</v>
      </c>
      <c r="F49" s="453">
        <f t="shared" ref="F49:G49" si="9">SUM(F50:F141)</f>
        <v>248.12999999999997</v>
      </c>
      <c r="G49" s="453">
        <f t="shared" si="9"/>
        <v>1278.0699999999995</v>
      </c>
      <c r="H49" s="452">
        <f t="shared" ref="H49" si="10">SUM(H50:H141)</f>
        <v>8.5524999999999949</v>
      </c>
      <c r="I49" s="452"/>
      <c r="J49" s="845"/>
      <c r="K49" s="845"/>
      <c r="L49" s="452"/>
      <c r="M49" s="457">
        <f t="shared" si="8"/>
        <v>0</v>
      </c>
      <c r="N49" s="452">
        <f t="shared" ref="N49:O49" si="11">SUM(N50:N141)</f>
        <v>364.32</v>
      </c>
      <c r="O49" s="841">
        <f t="shared" si="11"/>
        <v>1876.7881900000007</v>
      </c>
      <c r="P49" s="451"/>
      <c r="Q49" s="457"/>
      <c r="R49" s="457"/>
      <c r="S49" s="457"/>
      <c r="T49" s="453"/>
      <c r="U49" s="454"/>
      <c r="V49" s="297"/>
      <c r="W49" s="28"/>
    </row>
    <row r="50" spans="1:23" x14ac:dyDescent="0.25">
      <c r="A50" s="461" t="s">
        <v>721</v>
      </c>
      <c r="B50" s="464"/>
      <c r="C50" s="457">
        <v>1080</v>
      </c>
      <c r="D50" s="465">
        <v>5.0000000000000001E-3</v>
      </c>
      <c r="E50" s="465">
        <v>5.4</v>
      </c>
      <c r="F50" s="457">
        <v>1.3</v>
      </c>
      <c r="G50" s="459">
        <v>6.7</v>
      </c>
      <c r="H50" s="481">
        <v>6.6400000000000001E-2</v>
      </c>
      <c r="I50" s="457">
        <v>1080</v>
      </c>
      <c r="J50" s="842">
        <v>6.4737</v>
      </c>
      <c r="K50" s="842">
        <v>10.5</v>
      </c>
      <c r="L50" s="466">
        <v>20</v>
      </c>
      <c r="M50" s="457">
        <f t="shared" si="8"/>
        <v>13.594769999999999</v>
      </c>
      <c r="N50" s="457">
        <f t="shared" si="6"/>
        <v>3.27</v>
      </c>
      <c r="O50" s="459">
        <f t="shared" ref="O50:O114" si="12">M50+N50</f>
        <v>16.86477</v>
      </c>
      <c r="P50" s="456"/>
      <c r="Q50" s="457"/>
      <c r="R50" s="457"/>
      <c r="S50" s="457"/>
      <c r="T50" s="457"/>
      <c r="U50" s="459"/>
      <c r="V50" s="297"/>
      <c r="W50" s="28"/>
    </row>
    <row r="51" spans="1:23" x14ac:dyDescent="0.25">
      <c r="A51" s="461" t="s">
        <v>721</v>
      </c>
      <c r="B51" s="464"/>
      <c r="C51" s="457">
        <v>1080</v>
      </c>
      <c r="D51" s="465">
        <v>0.02</v>
      </c>
      <c r="E51" s="465">
        <v>21.6</v>
      </c>
      <c r="F51" s="457">
        <v>5.2</v>
      </c>
      <c r="G51" s="459">
        <v>26.8</v>
      </c>
      <c r="H51" s="481">
        <v>3.4799999999999998E-2</v>
      </c>
      <c r="I51" s="457">
        <v>1080</v>
      </c>
      <c r="J51" s="842">
        <v>6.4737</v>
      </c>
      <c r="K51" s="842">
        <v>5.5</v>
      </c>
      <c r="L51" s="466">
        <v>20</v>
      </c>
      <c r="M51" s="457">
        <f t="shared" si="8"/>
        <v>7.1210699999999996</v>
      </c>
      <c r="N51" s="457">
        <f t="shared" si="6"/>
        <v>1.72</v>
      </c>
      <c r="O51" s="459">
        <f t="shared" si="12"/>
        <v>8.8410700000000002</v>
      </c>
      <c r="P51" s="456"/>
      <c r="Q51" s="457"/>
      <c r="R51" s="457"/>
      <c r="S51" s="457"/>
      <c r="T51" s="457"/>
      <c r="U51" s="459"/>
      <c r="V51" s="297"/>
      <c r="W51" s="28"/>
    </row>
    <row r="52" spans="1:23" x14ac:dyDescent="0.25">
      <c r="A52" s="461" t="s">
        <v>721</v>
      </c>
      <c r="B52" s="464"/>
      <c r="C52" s="457">
        <v>1030</v>
      </c>
      <c r="D52" s="465">
        <v>5.0000000000000001E-3</v>
      </c>
      <c r="E52" s="465">
        <v>5.15</v>
      </c>
      <c r="F52" s="457">
        <v>1.24</v>
      </c>
      <c r="G52" s="459">
        <v>6.3900000000000006</v>
      </c>
      <c r="H52" s="481">
        <v>4.4299999999999999E-2</v>
      </c>
      <c r="I52" s="457">
        <v>1080</v>
      </c>
      <c r="J52" s="842">
        <v>6.4737</v>
      </c>
      <c r="K52" s="842">
        <v>7</v>
      </c>
      <c r="L52" s="466">
        <v>20</v>
      </c>
      <c r="M52" s="457">
        <f t="shared" si="8"/>
        <v>9.0631799999999991</v>
      </c>
      <c r="N52" s="457">
        <f t="shared" si="6"/>
        <v>2.1800000000000002</v>
      </c>
      <c r="O52" s="459">
        <f t="shared" si="12"/>
        <v>11.243179999999999</v>
      </c>
      <c r="P52" s="456"/>
      <c r="Q52" s="457"/>
      <c r="R52" s="457"/>
      <c r="S52" s="457"/>
      <c r="T52" s="457"/>
      <c r="U52" s="459"/>
      <c r="V52" s="297"/>
      <c r="W52" s="28"/>
    </row>
    <row r="53" spans="1:23" x14ac:dyDescent="0.25">
      <c r="A53" s="461" t="s">
        <v>721</v>
      </c>
      <c r="B53" s="464"/>
      <c r="C53" s="457"/>
      <c r="D53" s="465"/>
      <c r="E53" s="465"/>
      <c r="F53" s="457"/>
      <c r="G53" s="459"/>
      <c r="H53" s="481">
        <v>3.2000000000000002E-3</v>
      </c>
      <c r="I53" s="457">
        <v>1080</v>
      </c>
      <c r="J53" s="842">
        <v>6.4737</v>
      </c>
      <c r="K53" s="842">
        <v>0.5</v>
      </c>
      <c r="L53" s="466">
        <v>20</v>
      </c>
      <c r="M53" s="457">
        <f t="shared" si="8"/>
        <v>0.64737</v>
      </c>
      <c r="N53" s="457">
        <f t="shared" si="6"/>
        <v>0.16</v>
      </c>
      <c r="O53" s="459">
        <f t="shared" si="12"/>
        <v>0.80737000000000003</v>
      </c>
      <c r="P53" s="456"/>
      <c r="Q53" s="457"/>
      <c r="R53" s="457"/>
      <c r="S53" s="457"/>
      <c r="T53" s="457"/>
      <c r="U53" s="459"/>
      <c r="V53" s="297"/>
      <c r="W53" s="28"/>
    </row>
    <row r="54" spans="1:23" x14ac:dyDescent="0.25">
      <c r="A54" s="461" t="s">
        <v>721</v>
      </c>
      <c r="B54" s="464"/>
      <c r="C54" s="457"/>
      <c r="D54" s="465"/>
      <c r="E54" s="465"/>
      <c r="F54" s="457"/>
      <c r="G54" s="459"/>
      <c r="H54" s="481">
        <v>0.1235</v>
      </c>
      <c r="I54" s="457">
        <v>1080</v>
      </c>
      <c r="J54" s="842">
        <v>6.4737</v>
      </c>
      <c r="K54" s="842">
        <v>19.5</v>
      </c>
      <c r="L54" s="466">
        <v>20</v>
      </c>
      <c r="M54" s="457">
        <f>J54*K54*L54/100</f>
        <v>25.247429999999998</v>
      </c>
      <c r="N54" s="457">
        <f t="shared" si="6"/>
        <v>6.08</v>
      </c>
      <c r="O54" s="459">
        <f t="shared" si="12"/>
        <v>31.32743</v>
      </c>
      <c r="P54" s="456"/>
      <c r="Q54" s="457"/>
      <c r="R54" s="457"/>
      <c r="S54" s="457"/>
      <c r="T54" s="457"/>
      <c r="U54" s="459"/>
      <c r="V54" s="297"/>
      <c r="W54" s="28"/>
    </row>
    <row r="55" spans="1:23" x14ac:dyDescent="0.25">
      <c r="A55" s="461" t="s">
        <v>721</v>
      </c>
      <c r="B55" s="464"/>
      <c r="C55" s="457"/>
      <c r="D55" s="465"/>
      <c r="E55" s="465"/>
      <c r="F55" s="457"/>
      <c r="G55" s="459"/>
      <c r="H55" s="481">
        <v>9.4999999999999998E-3</v>
      </c>
      <c r="I55" s="457">
        <v>1080</v>
      </c>
      <c r="J55" s="842">
        <v>6.4737</v>
      </c>
      <c r="K55" s="842">
        <v>1.5</v>
      </c>
      <c r="L55" s="466">
        <v>20</v>
      </c>
      <c r="M55" s="457">
        <f t="shared" si="8"/>
        <v>1.9421099999999998</v>
      </c>
      <c r="N55" s="457">
        <f t="shared" si="6"/>
        <v>0.47</v>
      </c>
      <c r="O55" s="459">
        <f t="shared" si="12"/>
        <v>2.4121099999999998</v>
      </c>
      <c r="P55" s="456"/>
      <c r="Q55" s="457"/>
      <c r="R55" s="457"/>
      <c r="S55" s="457"/>
      <c r="T55" s="457"/>
      <c r="U55" s="459"/>
      <c r="V55" s="297"/>
      <c r="W55" s="28"/>
    </row>
    <row r="56" spans="1:23" x14ac:dyDescent="0.25">
      <c r="A56" s="461" t="s">
        <v>721</v>
      </c>
      <c r="B56" s="464"/>
      <c r="C56" s="457"/>
      <c r="D56" s="465"/>
      <c r="E56" s="465"/>
      <c r="F56" s="457"/>
      <c r="G56" s="459"/>
      <c r="H56" s="481">
        <v>9.1700000000000004E-2</v>
      </c>
      <c r="I56" s="457">
        <v>1030</v>
      </c>
      <c r="J56" s="842">
        <v>6.1738999999999997</v>
      </c>
      <c r="K56" s="842">
        <v>14.5</v>
      </c>
      <c r="L56" s="466">
        <v>20</v>
      </c>
      <c r="M56" s="457">
        <f t="shared" si="8"/>
        <v>17.904309999999999</v>
      </c>
      <c r="N56" s="457">
        <f t="shared" si="6"/>
        <v>4.3099999999999996</v>
      </c>
      <c r="O56" s="459">
        <f t="shared" si="12"/>
        <v>22.214309999999998</v>
      </c>
      <c r="P56" s="456"/>
      <c r="Q56" s="457"/>
      <c r="R56" s="457"/>
      <c r="S56" s="457"/>
      <c r="T56" s="457"/>
      <c r="U56" s="459"/>
      <c r="V56" s="297"/>
      <c r="W56" s="28"/>
    </row>
    <row r="57" spans="1:23" x14ac:dyDescent="0.25">
      <c r="A57" s="461" t="s">
        <v>721</v>
      </c>
      <c r="B57" s="464"/>
      <c r="C57" s="457"/>
      <c r="D57" s="465"/>
      <c r="E57" s="465"/>
      <c r="F57" s="457"/>
      <c r="G57" s="459"/>
      <c r="H57" s="481">
        <v>1.26E-2</v>
      </c>
      <c r="I57" s="457">
        <v>1030</v>
      </c>
      <c r="J57" s="842">
        <v>6.1738999999999997</v>
      </c>
      <c r="K57" s="842">
        <v>2</v>
      </c>
      <c r="L57" s="466">
        <v>20</v>
      </c>
      <c r="M57" s="457">
        <f t="shared" si="8"/>
        <v>2.46956</v>
      </c>
      <c r="N57" s="457">
        <f t="shared" si="6"/>
        <v>0.59</v>
      </c>
      <c r="O57" s="459">
        <f t="shared" si="12"/>
        <v>3.0595599999999998</v>
      </c>
      <c r="P57" s="456"/>
      <c r="Q57" s="457"/>
      <c r="R57" s="457"/>
      <c r="S57" s="457"/>
      <c r="T57" s="457"/>
      <c r="U57" s="459"/>
      <c r="V57" s="297"/>
      <c r="W57" s="28"/>
    </row>
    <row r="58" spans="1:23" x14ac:dyDescent="0.25">
      <c r="A58" s="461" t="s">
        <v>721</v>
      </c>
      <c r="B58" s="464"/>
      <c r="C58" s="457"/>
      <c r="D58" s="465"/>
      <c r="E58" s="465"/>
      <c r="F58" s="457"/>
      <c r="G58" s="459"/>
      <c r="H58" s="481">
        <v>6.9699999999999998E-2</v>
      </c>
      <c r="I58" s="457">
        <v>1030</v>
      </c>
      <c r="J58" s="842">
        <v>6.1738999999999997</v>
      </c>
      <c r="K58" s="842">
        <v>11</v>
      </c>
      <c r="L58" s="466">
        <v>20</v>
      </c>
      <c r="M58" s="457">
        <f t="shared" si="8"/>
        <v>13.582579999999998</v>
      </c>
      <c r="N58" s="457">
        <f t="shared" si="6"/>
        <v>3.27</v>
      </c>
      <c r="O58" s="459">
        <f t="shared" si="12"/>
        <v>16.85258</v>
      </c>
      <c r="P58" s="456"/>
      <c r="Q58" s="457"/>
      <c r="R58" s="457"/>
      <c r="S58" s="457"/>
      <c r="T58" s="457"/>
      <c r="U58" s="459"/>
      <c r="V58" s="297"/>
      <c r="W58" s="28"/>
    </row>
    <row r="59" spans="1:23" x14ac:dyDescent="0.25">
      <c r="A59" s="461" t="s">
        <v>721</v>
      </c>
      <c r="B59" s="464"/>
      <c r="C59" s="457"/>
      <c r="D59" s="465"/>
      <c r="E59" s="465"/>
      <c r="F59" s="457"/>
      <c r="G59" s="459"/>
      <c r="H59" s="481">
        <v>3.2000000000000002E-3</v>
      </c>
      <c r="I59" s="457">
        <v>1030</v>
      </c>
      <c r="J59" s="842">
        <v>6.1738999999999997</v>
      </c>
      <c r="K59" s="842">
        <v>0.5</v>
      </c>
      <c r="L59" s="466">
        <v>20</v>
      </c>
      <c r="M59" s="457">
        <f t="shared" si="8"/>
        <v>0.61738999999999999</v>
      </c>
      <c r="N59" s="457">
        <f t="shared" si="6"/>
        <v>0.15</v>
      </c>
      <c r="O59" s="459">
        <f t="shared" si="12"/>
        <v>0.76739000000000002</v>
      </c>
      <c r="P59" s="456"/>
      <c r="Q59" s="457"/>
      <c r="R59" s="457"/>
      <c r="S59" s="457"/>
      <c r="T59" s="457"/>
      <c r="U59" s="459"/>
      <c r="V59" s="297"/>
      <c r="W59" s="28"/>
    </row>
    <row r="60" spans="1:23" x14ac:dyDescent="0.25">
      <c r="A60" s="461" t="s">
        <v>721</v>
      </c>
      <c r="B60" s="464"/>
      <c r="C60" s="457"/>
      <c r="D60" s="465"/>
      <c r="E60" s="465"/>
      <c r="F60" s="457"/>
      <c r="G60" s="459"/>
      <c r="H60" s="481">
        <v>3.2000000000000002E-3</v>
      </c>
      <c r="I60" s="457">
        <v>996</v>
      </c>
      <c r="J60" s="842">
        <v>6.3037999999999998</v>
      </c>
      <c r="K60" s="842">
        <v>0.5</v>
      </c>
      <c r="L60" s="466">
        <v>20</v>
      </c>
      <c r="M60" s="457">
        <f t="shared" si="8"/>
        <v>0.63037999999999994</v>
      </c>
      <c r="N60" s="457">
        <f t="shared" si="6"/>
        <v>0.15</v>
      </c>
      <c r="O60" s="459">
        <f t="shared" si="12"/>
        <v>0.78037999999999996</v>
      </c>
      <c r="P60" s="456"/>
      <c r="Q60" s="457"/>
      <c r="R60" s="457"/>
      <c r="S60" s="457"/>
      <c r="T60" s="457"/>
      <c r="U60" s="459"/>
      <c r="V60" s="297"/>
      <c r="W60" s="28"/>
    </row>
    <row r="61" spans="1:23" x14ac:dyDescent="0.25">
      <c r="A61" s="461" t="s">
        <v>721</v>
      </c>
      <c r="B61" s="464"/>
      <c r="C61" s="457"/>
      <c r="D61" s="465"/>
      <c r="E61" s="465"/>
      <c r="F61" s="457"/>
      <c r="G61" s="459"/>
      <c r="H61" s="481">
        <v>3.2000000000000002E-3</v>
      </c>
      <c r="I61" s="457">
        <v>996</v>
      </c>
      <c r="J61" s="842">
        <v>6.3037999999999998</v>
      </c>
      <c r="K61" s="842">
        <v>0.5</v>
      </c>
      <c r="L61" s="466">
        <v>20</v>
      </c>
      <c r="M61" s="457">
        <f t="shared" si="8"/>
        <v>0.63037999999999994</v>
      </c>
      <c r="N61" s="457">
        <f t="shared" si="6"/>
        <v>0.15</v>
      </c>
      <c r="O61" s="459">
        <f t="shared" si="12"/>
        <v>0.78037999999999996</v>
      </c>
      <c r="P61" s="456"/>
      <c r="Q61" s="457"/>
      <c r="R61" s="457"/>
      <c r="S61" s="457"/>
      <c r="T61" s="457"/>
      <c r="U61" s="459"/>
      <c r="V61" s="297"/>
      <c r="W61" s="28"/>
    </row>
    <row r="62" spans="1:23" x14ac:dyDescent="0.25">
      <c r="A62" s="461" t="s">
        <v>721</v>
      </c>
      <c r="B62" s="464"/>
      <c r="C62" s="457"/>
      <c r="D62" s="465"/>
      <c r="E62" s="465"/>
      <c r="F62" s="457"/>
      <c r="G62" s="459"/>
      <c r="H62" s="481">
        <v>4.4299999999999999E-2</v>
      </c>
      <c r="I62" s="457">
        <v>1030</v>
      </c>
      <c r="J62" s="842">
        <v>6.1738999999999997</v>
      </c>
      <c r="K62" s="842">
        <v>7</v>
      </c>
      <c r="L62" s="466">
        <v>20</v>
      </c>
      <c r="M62" s="457">
        <f t="shared" si="8"/>
        <v>8.6434599999999993</v>
      </c>
      <c r="N62" s="457">
        <f t="shared" si="6"/>
        <v>2.08</v>
      </c>
      <c r="O62" s="459">
        <f t="shared" si="12"/>
        <v>10.723459999999999</v>
      </c>
      <c r="P62" s="456"/>
      <c r="Q62" s="457"/>
      <c r="R62" s="457"/>
      <c r="S62" s="457"/>
      <c r="T62" s="457"/>
      <c r="U62" s="459"/>
      <c r="V62" s="297"/>
      <c r="W62" s="28"/>
    </row>
    <row r="63" spans="1:23" x14ac:dyDescent="0.25">
      <c r="A63" s="461" t="s">
        <v>721</v>
      </c>
      <c r="B63" s="464"/>
      <c r="C63" s="457"/>
      <c r="D63" s="465"/>
      <c r="E63" s="465"/>
      <c r="F63" s="457"/>
      <c r="G63" s="459"/>
      <c r="H63" s="481">
        <v>4.1099999999999998E-2</v>
      </c>
      <c r="I63" s="457">
        <v>1030</v>
      </c>
      <c r="J63" s="842">
        <v>6.1738999999999997</v>
      </c>
      <c r="K63" s="842">
        <v>6.5</v>
      </c>
      <c r="L63" s="466">
        <v>20</v>
      </c>
      <c r="M63" s="457">
        <f t="shared" si="8"/>
        <v>8.0260699999999989</v>
      </c>
      <c r="N63" s="457">
        <f t="shared" si="6"/>
        <v>1.93</v>
      </c>
      <c r="O63" s="459">
        <f t="shared" si="12"/>
        <v>9.9560699999999986</v>
      </c>
      <c r="P63" s="456"/>
      <c r="Q63" s="457"/>
      <c r="R63" s="457"/>
      <c r="S63" s="457"/>
      <c r="T63" s="457"/>
      <c r="U63" s="459"/>
      <c r="V63" s="297"/>
      <c r="W63" s="28"/>
    </row>
    <row r="64" spans="1:23" x14ac:dyDescent="0.25">
      <c r="A64" s="461" t="s">
        <v>721</v>
      </c>
      <c r="B64" s="464"/>
      <c r="C64" s="457"/>
      <c r="D64" s="465"/>
      <c r="E64" s="465"/>
      <c r="F64" s="457"/>
      <c r="G64" s="459"/>
      <c r="H64" s="481">
        <v>3.2000000000000002E-3</v>
      </c>
      <c r="I64" s="457">
        <v>1030</v>
      </c>
      <c r="J64" s="842">
        <v>6.1738999999999997</v>
      </c>
      <c r="K64" s="842">
        <v>0.5</v>
      </c>
      <c r="L64" s="466">
        <v>20</v>
      </c>
      <c r="M64" s="457">
        <f t="shared" si="8"/>
        <v>0.61738999999999999</v>
      </c>
      <c r="N64" s="457">
        <f t="shared" si="6"/>
        <v>0.15</v>
      </c>
      <c r="O64" s="459">
        <f t="shared" si="12"/>
        <v>0.76739000000000002</v>
      </c>
      <c r="P64" s="456"/>
      <c r="Q64" s="457"/>
      <c r="R64" s="457"/>
      <c r="S64" s="457"/>
      <c r="T64" s="457"/>
      <c r="U64" s="459"/>
      <c r="V64" s="297"/>
      <c r="W64" s="28"/>
    </row>
    <row r="65" spans="1:26" x14ac:dyDescent="0.25">
      <c r="A65" s="461" t="s">
        <v>721</v>
      </c>
      <c r="B65" s="464"/>
      <c r="C65" s="457"/>
      <c r="D65" s="465"/>
      <c r="E65" s="465"/>
      <c r="F65" s="457"/>
      <c r="G65" s="459"/>
      <c r="H65" s="481">
        <v>3.7999999999999999E-2</v>
      </c>
      <c r="I65" s="457">
        <v>1030</v>
      </c>
      <c r="J65" s="842">
        <v>6.1738999999999997</v>
      </c>
      <c r="K65" s="842">
        <v>6</v>
      </c>
      <c r="L65" s="466">
        <v>20</v>
      </c>
      <c r="M65" s="457">
        <f t="shared" si="8"/>
        <v>7.4086799999999995</v>
      </c>
      <c r="N65" s="457">
        <f t="shared" si="6"/>
        <v>1.78</v>
      </c>
      <c r="O65" s="459">
        <f t="shared" si="12"/>
        <v>9.1886799999999997</v>
      </c>
      <c r="P65" s="456"/>
      <c r="Q65" s="457"/>
      <c r="R65" s="457"/>
      <c r="S65" s="457"/>
      <c r="T65" s="457"/>
      <c r="U65" s="459"/>
      <c r="V65" s="297"/>
      <c r="W65" s="28"/>
    </row>
    <row r="66" spans="1:26" x14ac:dyDescent="0.25">
      <c r="A66" s="461" t="s">
        <v>721</v>
      </c>
      <c r="B66" s="464"/>
      <c r="C66" s="457"/>
      <c r="D66" s="465"/>
      <c r="E66" s="465"/>
      <c r="F66" s="457"/>
      <c r="G66" s="459"/>
      <c r="H66" s="481">
        <v>9.4999999999999998E-3</v>
      </c>
      <c r="I66" s="457">
        <v>1030</v>
      </c>
      <c r="J66" s="842">
        <v>6.1738999999999997</v>
      </c>
      <c r="K66" s="842">
        <v>1.5</v>
      </c>
      <c r="L66" s="466">
        <v>20</v>
      </c>
      <c r="M66" s="457">
        <f t="shared" si="8"/>
        <v>1.8521699999999999</v>
      </c>
      <c r="N66" s="457">
        <f t="shared" si="6"/>
        <v>0.45</v>
      </c>
      <c r="O66" s="459">
        <f t="shared" si="12"/>
        <v>2.3021699999999998</v>
      </c>
      <c r="P66" s="456"/>
      <c r="Q66" s="457"/>
      <c r="R66" s="457"/>
      <c r="S66" s="457"/>
      <c r="T66" s="457"/>
      <c r="U66" s="459"/>
      <c r="V66" s="297"/>
      <c r="W66" s="28"/>
    </row>
    <row r="67" spans="1:26" x14ac:dyDescent="0.25">
      <c r="A67" s="461" t="s">
        <v>721</v>
      </c>
      <c r="B67" s="464"/>
      <c r="C67" s="457"/>
      <c r="D67" s="465"/>
      <c r="E67" s="465"/>
      <c r="F67" s="457"/>
      <c r="G67" s="459"/>
      <c r="H67" s="481">
        <v>2.53E-2</v>
      </c>
      <c r="I67" s="457">
        <v>1080</v>
      </c>
      <c r="J67" s="842">
        <v>6.4737</v>
      </c>
      <c r="K67" s="842">
        <v>4</v>
      </c>
      <c r="L67" s="466">
        <v>20</v>
      </c>
      <c r="M67" s="457">
        <f t="shared" si="8"/>
        <v>5.17896</v>
      </c>
      <c r="N67" s="457">
        <f t="shared" si="6"/>
        <v>1.25</v>
      </c>
      <c r="O67" s="459">
        <f t="shared" si="12"/>
        <v>6.42896</v>
      </c>
      <c r="P67" s="456"/>
      <c r="Q67" s="457"/>
      <c r="R67" s="457"/>
      <c r="S67" s="457"/>
      <c r="T67" s="457"/>
      <c r="U67" s="459"/>
      <c r="V67" s="297"/>
      <c r="W67" s="28"/>
    </row>
    <row r="68" spans="1:26" x14ac:dyDescent="0.25">
      <c r="A68" s="461" t="s">
        <v>721</v>
      </c>
      <c r="B68" s="464"/>
      <c r="C68" s="457"/>
      <c r="D68" s="465"/>
      <c r="E68" s="465"/>
      <c r="F68" s="457"/>
      <c r="G68" s="459"/>
      <c r="H68" s="481">
        <v>9.4999999999999998E-3</v>
      </c>
      <c r="I68" s="457">
        <v>1080</v>
      </c>
      <c r="J68" s="842">
        <v>6.4737</v>
      </c>
      <c r="K68" s="842">
        <v>1.5</v>
      </c>
      <c r="L68" s="466">
        <v>20</v>
      </c>
      <c r="M68" s="457">
        <f t="shared" si="8"/>
        <v>1.9421099999999998</v>
      </c>
      <c r="N68" s="457">
        <f t="shared" si="6"/>
        <v>0.47</v>
      </c>
      <c r="O68" s="459">
        <f t="shared" si="12"/>
        <v>2.4121099999999998</v>
      </c>
      <c r="P68" s="456"/>
      <c r="Q68" s="457"/>
      <c r="R68" s="457"/>
      <c r="S68" s="457"/>
      <c r="T68" s="457"/>
      <c r="U68" s="459"/>
      <c r="V68" s="297"/>
      <c r="W68" s="28"/>
    </row>
    <row r="69" spans="1:26" x14ac:dyDescent="0.25">
      <c r="A69" s="461" t="s">
        <v>721</v>
      </c>
      <c r="B69" s="464"/>
      <c r="C69" s="457"/>
      <c r="D69" s="465"/>
      <c r="E69" s="465"/>
      <c r="F69" s="457"/>
      <c r="G69" s="459"/>
      <c r="H69" s="481">
        <v>8.2199999999999995E-2</v>
      </c>
      <c r="I69" s="457">
        <v>823</v>
      </c>
      <c r="J69" s="842">
        <v>4.9332000000000003</v>
      </c>
      <c r="K69" s="842">
        <v>13</v>
      </c>
      <c r="L69" s="466">
        <v>20</v>
      </c>
      <c r="M69" s="457">
        <f t="shared" si="8"/>
        <v>12.826320000000001</v>
      </c>
      <c r="N69" s="457">
        <f t="shared" si="6"/>
        <v>3.09</v>
      </c>
      <c r="O69" s="459">
        <f t="shared" si="12"/>
        <v>15.916320000000001</v>
      </c>
      <c r="P69" s="456"/>
      <c r="Q69" s="457"/>
      <c r="R69" s="457"/>
      <c r="S69" s="457"/>
      <c r="T69" s="457"/>
      <c r="U69" s="459"/>
      <c r="V69" s="297"/>
      <c r="W69" s="28"/>
    </row>
    <row r="70" spans="1:26" x14ac:dyDescent="0.25">
      <c r="A70" s="461" t="s">
        <v>721</v>
      </c>
      <c r="B70" s="464"/>
      <c r="C70" s="457"/>
      <c r="D70" s="465"/>
      <c r="E70" s="465"/>
      <c r="F70" s="457"/>
      <c r="G70" s="459"/>
      <c r="H70" s="481">
        <v>1.9E-2</v>
      </c>
      <c r="I70" s="457">
        <v>823</v>
      </c>
      <c r="J70" s="842">
        <v>4.9332000000000003</v>
      </c>
      <c r="K70" s="842">
        <v>3</v>
      </c>
      <c r="L70" s="466">
        <v>20</v>
      </c>
      <c r="M70" s="457">
        <f t="shared" si="8"/>
        <v>2.9599200000000003</v>
      </c>
      <c r="N70" s="457">
        <f t="shared" si="6"/>
        <v>0.71</v>
      </c>
      <c r="O70" s="459">
        <f t="shared" si="12"/>
        <v>3.6699200000000003</v>
      </c>
      <c r="P70" s="456"/>
      <c r="Q70" s="457"/>
      <c r="R70" s="457"/>
      <c r="S70" s="457"/>
      <c r="T70" s="457"/>
      <c r="U70" s="459"/>
      <c r="V70" s="297"/>
      <c r="W70" s="28"/>
      <c r="X70" s="468"/>
      <c r="Y70" s="468"/>
      <c r="Z70" s="468"/>
    </row>
    <row r="71" spans="1:26" x14ac:dyDescent="0.25">
      <c r="A71" s="469" t="s">
        <v>790</v>
      </c>
      <c r="B71" s="456"/>
      <c r="C71" s="457">
        <v>945</v>
      </c>
      <c r="D71" s="539">
        <v>0.04</v>
      </c>
      <c r="E71" s="457">
        <v>37.799999999999997</v>
      </c>
      <c r="F71" s="457">
        <v>9.11</v>
      </c>
      <c r="G71" s="459">
        <v>46.91</v>
      </c>
      <c r="H71" s="480">
        <v>0.13919999999999999</v>
      </c>
      <c r="I71" s="457">
        <v>945</v>
      </c>
      <c r="J71" s="842">
        <v>5.6643999999999997</v>
      </c>
      <c r="K71" s="842">
        <v>22</v>
      </c>
      <c r="L71" s="466">
        <v>20</v>
      </c>
      <c r="M71" s="457">
        <f t="shared" si="8"/>
        <v>24.923359999999999</v>
      </c>
      <c r="N71" s="457">
        <f t="shared" si="6"/>
        <v>6</v>
      </c>
      <c r="O71" s="459">
        <f t="shared" si="12"/>
        <v>30.923359999999999</v>
      </c>
      <c r="P71" s="456"/>
      <c r="Q71" s="457"/>
      <c r="R71" s="457"/>
      <c r="S71" s="457"/>
      <c r="T71" s="457"/>
      <c r="U71" s="459"/>
      <c r="V71" s="297"/>
      <c r="W71" s="28"/>
      <c r="X71" s="462"/>
      <c r="Y71">
        <f>I71*5%</f>
        <v>47.25</v>
      </c>
      <c r="Z71"/>
    </row>
    <row r="72" spans="1:26" x14ac:dyDescent="0.25">
      <c r="A72" s="469" t="s">
        <v>790</v>
      </c>
      <c r="B72" s="456"/>
      <c r="C72" s="457">
        <v>945</v>
      </c>
      <c r="D72" s="539">
        <v>0.02</v>
      </c>
      <c r="E72" s="457">
        <v>18.899999999999999</v>
      </c>
      <c r="F72" s="457">
        <v>4.55</v>
      </c>
      <c r="G72" s="459">
        <v>23.45</v>
      </c>
      <c r="H72" s="480">
        <v>0.1203</v>
      </c>
      <c r="I72" s="457">
        <v>888</v>
      </c>
      <c r="J72" s="842">
        <v>5.3228</v>
      </c>
      <c r="K72" s="842">
        <v>19</v>
      </c>
      <c r="L72" s="466">
        <v>20</v>
      </c>
      <c r="M72" s="457">
        <f t="shared" si="8"/>
        <v>20.22664</v>
      </c>
      <c r="N72" s="457">
        <f t="shared" si="6"/>
        <v>4.87</v>
      </c>
      <c r="O72" s="459">
        <f t="shared" si="12"/>
        <v>25.096640000000001</v>
      </c>
      <c r="P72" s="456"/>
      <c r="Q72" s="457"/>
      <c r="R72" s="457"/>
      <c r="S72" s="457"/>
      <c r="T72" s="457"/>
      <c r="U72" s="459"/>
      <c r="V72" s="297"/>
      <c r="W72" s="28"/>
      <c r="X72" s="462"/>
      <c r="Y72"/>
      <c r="Z72"/>
    </row>
    <row r="73" spans="1:26" x14ac:dyDescent="0.25">
      <c r="A73" s="469" t="s">
        <v>790</v>
      </c>
      <c r="B73" s="456"/>
      <c r="C73" s="457">
        <v>945</v>
      </c>
      <c r="D73" s="539">
        <v>0.06</v>
      </c>
      <c r="E73" s="457">
        <v>56.7</v>
      </c>
      <c r="F73" s="457">
        <v>13.66</v>
      </c>
      <c r="G73" s="459">
        <v>70.36</v>
      </c>
      <c r="H73" s="480">
        <v>3.2000000000000002E-3</v>
      </c>
      <c r="I73" s="457">
        <v>888</v>
      </c>
      <c r="J73" s="842">
        <v>5.3228</v>
      </c>
      <c r="K73" s="842">
        <v>0.5</v>
      </c>
      <c r="L73" s="466">
        <v>20</v>
      </c>
      <c r="M73" s="457">
        <f t="shared" si="8"/>
        <v>0.53227999999999998</v>
      </c>
      <c r="N73" s="457">
        <f t="shared" si="6"/>
        <v>0.13</v>
      </c>
      <c r="O73" s="459">
        <f t="shared" si="12"/>
        <v>0.66227999999999998</v>
      </c>
      <c r="P73" s="456"/>
      <c r="Q73" s="457"/>
      <c r="R73" s="457"/>
      <c r="S73" s="457"/>
      <c r="T73" s="457"/>
      <c r="U73" s="459"/>
      <c r="V73" s="297"/>
      <c r="W73" s="28"/>
      <c r="X73" s="462"/>
      <c r="Y73"/>
      <c r="Z73"/>
    </row>
    <row r="74" spans="1:26" x14ac:dyDescent="0.25">
      <c r="A74" s="469" t="s">
        <v>790</v>
      </c>
      <c r="B74" s="456"/>
      <c r="C74" s="457">
        <v>888</v>
      </c>
      <c r="D74" s="539">
        <v>0.08</v>
      </c>
      <c r="E74" s="457">
        <v>71.040000000000006</v>
      </c>
      <c r="F74" s="457">
        <v>17.11</v>
      </c>
      <c r="G74" s="459">
        <v>88.15</v>
      </c>
      <c r="H74" s="480">
        <v>6.0100000000000001E-2</v>
      </c>
      <c r="I74" s="457">
        <v>945</v>
      </c>
      <c r="J74" s="842">
        <v>5.6643999999999997</v>
      </c>
      <c r="K74" s="842">
        <v>9.5</v>
      </c>
      <c r="L74" s="466">
        <v>20</v>
      </c>
      <c r="M74" s="457">
        <f t="shared" si="8"/>
        <v>10.762359999999999</v>
      </c>
      <c r="N74" s="457">
        <f t="shared" si="6"/>
        <v>2.59</v>
      </c>
      <c r="O74" s="459">
        <f t="shared" si="12"/>
        <v>13.352359999999999</v>
      </c>
      <c r="P74" s="456"/>
      <c r="Q74" s="457"/>
      <c r="R74" s="457"/>
      <c r="S74" s="457"/>
      <c r="T74" s="457"/>
      <c r="U74" s="459"/>
      <c r="V74" s="297"/>
      <c r="W74" s="28"/>
      <c r="X74" s="462"/>
      <c r="Y74"/>
      <c r="Z74"/>
    </row>
    <row r="75" spans="1:26" x14ac:dyDescent="0.25">
      <c r="A75" s="469" t="s">
        <v>790</v>
      </c>
      <c r="B75" s="456"/>
      <c r="C75" s="457">
        <v>945</v>
      </c>
      <c r="D75" s="539">
        <v>0.02</v>
      </c>
      <c r="E75" s="457">
        <v>18.899999999999999</v>
      </c>
      <c r="F75" s="457">
        <v>4.55</v>
      </c>
      <c r="G75" s="459">
        <v>23.45</v>
      </c>
      <c r="H75" s="480">
        <v>4.7500000000000001E-2</v>
      </c>
      <c r="I75" s="457">
        <v>945</v>
      </c>
      <c r="J75" s="842">
        <v>5.6643999999999997</v>
      </c>
      <c r="K75" s="842">
        <v>7.5</v>
      </c>
      <c r="L75" s="466">
        <v>20</v>
      </c>
      <c r="M75" s="457">
        <f t="shared" si="8"/>
        <v>8.496599999999999</v>
      </c>
      <c r="N75" s="457">
        <f t="shared" si="6"/>
        <v>2.0499999999999998</v>
      </c>
      <c r="O75" s="459">
        <f t="shared" si="12"/>
        <v>10.546599999999998</v>
      </c>
      <c r="P75" s="456"/>
      <c r="Q75" s="457"/>
      <c r="R75" s="457"/>
      <c r="S75" s="457"/>
      <c r="T75" s="457"/>
      <c r="U75" s="459"/>
      <c r="V75" s="297"/>
      <c r="W75" s="28"/>
      <c r="X75" s="462"/>
      <c r="Y75"/>
      <c r="Z75"/>
    </row>
    <row r="76" spans="1:26" x14ac:dyDescent="0.25">
      <c r="A76" s="469" t="s">
        <v>790</v>
      </c>
      <c r="B76" s="456"/>
      <c r="C76" s="457">
        <v>888</v>
      </c>
      <c r="D76" s="539">
        <v>0.06</v>
      </c>
      <c r="E76" s="457">
        <v>53.28</v>
      </c>
      <c r="F76" s="457">
        <v>12.84</v>
      </c>
      <c r="G76" s="459">
        <v>66.12</v>
      </c>
      <c r="H76" s="480">
        <v>6.3299999999999995E-2</v>
      </c>
      <c r="I76" s="457">
        <v>888</v>
      </c>
      <c r="J76" s="842">
        <v>5.3228</v>
      </c>
      <c r="K76" s="842">
        <v>10</v>
      </c>
      <c r="L76" s="466">
        <v>20</v>
      </c>
      <c r="M76" s="457">
        <f t="shared" ref="M76:M139" si="13">J76*K76*L76/100</f>
        <v>10.6456</v>
      </c>
      <c r="N76" s="457">
        <f t="shared" si="6"/>
        <v>2.56</v>
      </c>
      <c r="O76" s="459">
        <f t="shared" si="12"/>
        <v>13.2056</v>
      </c>
      <c r="P76" s="456"/>
      <c r="Q76" s="457"/>
      <c r="R76" s="457"/>
      <c r="S76" s="457"/>
      <c r="T76" s="457"/>
      <c r="U76" s="459"/>
      <c r="V76" s="297"/>
      <c r="W76" s="28"/>
      <c r="X76" s="462"/>
      <c r="Y76"/>
      <c r="Z76"/>
    </row>
    <row r="77" spans="1:26" x14ac:dyDescent="0.25">
      <c r="A77" s="469" t="s">
        <v>790</v>
      </c>
      <c r="B77" s="456"/>
      <c r="C77" s="457">
        <v>888</v>
      </c>
      <c r="D77" s="539">
        <v>0.08</v>
      </c>
      <c r="E77" s="457">
        <v>71.040000000000006</v>
      </c>
      <c r="F77" s="457">
        <v>17.11</v>
      </c>
      <c r="G77" s="459">
        <v>88.15</v>
      </c>
      <c r="H77" s="480">
        <v>6.3299999999999995E-2</v>
      </c>
      <c r="I77" s="457">
        <v>888</v>
      </c>
      <c r="J77" s="842">
        <v>5.3228</v>
      </c>
      <c r="K77" s="842">
        <v>10</v>
      </c>
      <c r="L77" s="466">
        <v>20</v>
      </c>
      <c r="M77" s="457">
        <f t="shared" si="13"/>
        <v>10.6456</v>
      </c>
      <c r="N77" s="457">
        <f t="shared" si="6"/>
        <v>2.56</v>
      </c>
      <c r="O77" s="459">
        <f t="shared" si="12"/>
        <v>13.2056</v>
      </c>
      <c r="P77" s="456"/>
      <c r="Q77" s="457"/>
      <c r="R77" s="457"/>
      <c r="S77" s="457"/>
      <c r="T77" s="457"/>
      <c r="U77" s="459"/>
      <c r="V77" s="297"/>
      <c r="W77" s="28"/>
      <c r="X77" s="462"/>
      <c r="Y77"/>
      <c r="Z77"/>
    </row>
    <row r="78" spans="1:26" x14ac:dyDescent="0.25">
      <c r="A78" s="469" t="s">
        <v>790</v>
      </c>
      <c r="B78" s="456"/>
      <c r="C78" s="457">
        <v>945</v>
      </c>
      <c r="D78" s="539">
        <v>0.02</v>
      </c>
      <c r="E78" s="457">
        <v>18.899999999999999</v>
      </c>
      <c r="F78" s="457">
        <v>4.55</v>
      </c>
      <c r="G78" s="459">
        <v>23.45</v>
      </c>
      <c r="H78" s="480">
        <v>0.1076</v>
      </c>
      <c r="I78" s="457">
        <v>888</v>
      </c>
      <c r="J78" s="842">
        <v>5.3228</v>
      </c>
      <c r="K78" s="842">
        <v>17</v>
      </c>
      <c r="L78" s="466">
        <v>20</v>
      </c>
      <c r="M78" s="457">
        <f t="shared" si="13"/>
        <v>18.097519999999999</v>
      </c>
      <c r="N78" s="457">
        <f t="shared" si="6"/>
        <v>4.3600000000000003</v>
      </c>
      <c r="O78" s="459">
        <f t="shared" si="12"/>
        <v>22.457519999999999</v>
      </c>
      <c r="P78" s="456"/>
      <c r="Q78" s="457"/>
      <c r="R78" s="457"/>
      <c r="S78" s="457"/>
      <c r="T78" s="457"/>
      <c r="U78" s="459"/>
      <c r="V78" s="297"/>
      <c r="W78" s="28"/>
      <c r="X78" s="462"/>
      <c r="Y78"/>
      <c r="Z78"/>
    </row>
    <row r="79" spans="1:26" x14ac:dyDescent="0.25">
      <c r="A79" s="469" t="s">
        <v>790</v>
      </c>
      <c r="B79" s="456"/>
      <c r="C79" s="457">
        <v>945</v>
      </c>
      <c r="D79" s="539">
        <v>0.02</v>
      </c>
      <c r="E79" s="457">
        <v>18.899999999999999</v>
      </c>
      <c r="F79" s="457">
        <v>4.55</v>
      </c>
      <c r="G79" s="459">
        <v>23.45</v>
      </c>
      <c r="H79" s="480">
        <v>2.8500000000000001E-2</v>
      </c>
      <c r="I79" s="457">
        <v>888</v>
      </c>
      <c r="J79" s="842">
        <v>5.3228</v>
      </c>
      <c r="K79" s="842">
        <v>4.5</v>
      </c>
      <c r="L79" s="466">
        <v>20</v>
      </c>
      <c r="M79" s="457">
        <f t="shared" si="13"/>
        <v>4.7905199999999999</v>
      </c>
      <c r="N79" s="457">
        <f t="shared" si="6"/>
        <v>1.1499999999999999</v>
      </c>
      <c r="O79" s="459">
        <f t="shared" si="12"/>
        <v>5.9405199999999994</v>
      </c>
      <c r="P79" s="456"/>
      <c r="Q79" s="457"/>
      <c r="R79" s="457"/>
      <c r="S79" s="457"/>
      <c r="T79" s="457"/>
      <c r="U79" s="459"/>
      <c r="V79" s="297"/>
      <c r="W79" s="28"/>
      <c r="X79" s="462"/>
      <c r="Y79"/>
      <c r="Z79"/>
    </row>
    <row r="80" spans="1:26" x14ac:dyDescent="0.25">
      <c r="A80" s="469" t="s">
        <v>790</v>
      </c>
      <c r="B80" s="456"/>
      <c r="C80" s="457">
        <v>888</v>
      </c>
      <c r="D80" s="539">
        <v>0.02</v>
      </c>
      <c r="E80" s="457">
        <v>17.760000000000002</v>
      </c>
      <c r="F80" s="457">
        <v>4.28</v>
      </c>
      <c r="G80" s="459">
        <v>22.040000000000003</v>
      </c>
      <c r="H80" s="480"/>
      <c r="I80" s="457"/>
      <c r="J80" s="843"/>
      <c r="K80" s="843"/>
      <c r="L80" s="466"/>
      <c r="M80" s="457">
        <f t="shared" si="13"/>
        <v>0</v>
      </c>
      <c r="N80" s="457"/>
      <c r="O80" s="459"/>
      <c r="P80" s="456"/>
      <c r="Q80" s="457"/>
      <c r="R80" s="457"/>
      <c r="S80" s="457"/>
      <c r="T80" s="457"/>
      <c r="U80" s="459"/>
      <c r="V80" s="297"/>
      <c r="W80" s="28"/>
      <c r="X80" s="462"/>
      <c r="Y80"/>
      <c r="Z80"/>
    </row>
    <row r="81" spans="1:26" x14ac:dyDescent="0.25">
      <c r="A81" s="461" t="s">
        <v>660</v>
      </c>
      <c r="B81" s="456"/>
      <c r="C81" s="457"/>
      <c r="D81" s="463"/>
      <c r="E81" s="457"/>
      <c r="F81" s="457"/>
      <c r="G81" s="459"/>
      <c r="H81" s="480">
        <v>6.4000000000000003E-3</v>
      </c>
      <c r="I81" s="457">
        <v>945</v>
      </c>
      <c r="J81" s="842">
        <v>5.9809999999999999</v>
      </c>
      <c r="K81" s="842">
        <v>1</v>
      </c>
      <c r="L81" s="466">
        <v>20</v>
      </c>
      <c r="M81" s="457">
        <f t="shared" si="13"/>
        <v>1.1962000000000002</v>
      </c>
      <c r="N81" s="457">
        <f t="shared" si="6"/>
        <v>0.28999999999999998</v>
      </c>
      <c r="O81" s="459">
        <f t="shared" si="12"/>
        <v>1.4862000000000002</v>
      </c>
      <c r="P81" s="456"/>
      <c r="Q81" s="457"/>
      <c r="R81" s="457"/>
      <c r="S81" s="457"/>
      <c r="T81" s="457"/>
      <c r="U81" s="459"/>
      <c r="V81" s="297"/>
      <c r="W81" s="28"/>
      <c r="X81" s="462"/>
      <c r="Y81"/>
      <c r="Z81"/>
    </row>
    <row r="82" spans="1:26" x14ac:dyDescent="0.25">
      <c r="A82" s="461" t="s">
        <v>660</v>
      </c>
      <c r="B82" s="456"/>
      <c r="C82" s="457"/>
      <c r="D82" s="463"/>
      <c r="E82" s="457"/>
      <c r="F82" s="457"/>
      <c r="G82" s="459"/>
      <c r="H82" s="480">
        <v>3.2000000000000002E-3</v>
      </c>
      <c r="I82" s="457">
        <v>945</v>
      </c>
      <c r="J82" s="842">
        <v>5.9809999999999999</v>
      </c>
      <c r="K82" s="842">
        <v>0.5</v>
      </c>
      <c r="L82" s="466">
        <v>20</v>
      </c>
      <c r="M82" s="457">
        <f t="shared" si="13"/>
        <v>0.59810000000000008</v>
      </c>
      <c r="N82" s="457">
        <f t="shared" si="6"/>
        <v>0.14000000000000001</v>
      </c>
      <c r="O82" s="459">
        <f t="shared" si="12"/>
        <v>0.73810000000000009</v>
      </c>
      <c r="P82" s="456"/>
      <c r="Q82" s="457"/>
      <c r="R82" s="457"/>
      <c r="S82" s="457"/>
      <c r="T82" s="457"/>
      <c r="U82" s="459"/>
      <c r="V82" s="297"/>
      <c r="W82" s="28"/>
      <c r="X82" s="462"/>
      <c r="Y82"/>
      <c r="Z82"/>
    </row>
    <row r="83" spans="1:26" x14ac:dyDescent="0.25">
      <c r="A83" s="461" t="s">
        <v>660</v>
      </c>
      <c r="B83" s="456"/>
      <c r="C83" s="457"/>
      <c r="D83" s="463"/>
      <c r="E83" s="457"/>
      <c r="F83" s="457"/>
      <c r="G83" s="459"/>
      <c r="H83" s="480">
        <v>3.2000000000000002E-3</v>
      </c>
      <c r="I83" s="457">
        <v>945</v>
      </c>
      <c r="J83" s="842">
        <v>6.8478000000000003</v>
      </c>
      <c r="K83" s="842">
        <v>0.5</v>
      </c>
      <c r="L83" s="466">
        <v>20</v>
      </c>
      <c r="M83" s="457">
        <f t="shared" si="13"/>
        <v>0.68478000000000006</v>
      </c>
      <c r="N83" s="457">
        <f t="shared" ref="N83:N149" si="14">ROUND(M83*0.2409,2)</f>
        <v>0.16</v>
      </c>
      <c r="O83" s="459">
        <f t="shared" si="12"/>
        <v>0.84478000000000009</v>
      </c>
      <c r="P83" s="456"/>
      <c r="Q83" s="457"/>
      <c r="R83" s="457"/>
      <c r="S83" s="457"/>
      <c r="T83" s="457"/>
      <c r="U83" s="459"/>
      <c r="V83" s="297"/>
      <c r="W83" s="28"/>
      <c r="X83" s="462"/>
      <c r="Y83"/>
      <c r="Z83"/>
    </row>
    <row r="84" spans="1:26" x14ac:dyDescent="0.25">
      <c r="A84" s="461" t="s">
        <v>660</v>
      </c>
      <c r="B84" s="456"/>
      <c r="C84" s="457"/>
      <c r="D84" s="463"/>
      <c r="E84" s="457"/>
      <c r="F84" s="457"/>
      <c r="G84" s="459"/>
      <c r="H84" s="480">
        <v>6.4000000000000003E-3</v>
      </c>
      <c r="I84" s="457">
        <v>945</v>
      </c>
      <c r="J84" s="842">
        <v>5.9809999999999999</v>
      </c>
      <c r="K84" s="842">
        <v>1</v>
      </c>
      <c r="L84" s="466">
        <v>20</v>
      </c>
      <c r="M84" s="457">
        <f t="shared" si="13"/>
        <v>1.1962000000000002</v>
      </c>
      <c r="N84" s="457">
        <f t="shared" si="14"/>
        <v>0.28999999999999998</v>
      </c>
      <c r="O84" s="459">
        <f t="shared" si="12"/>
        <v>1.4862000000000002</v>
      </c>
      <c r="P84" s="456"/>
      <c r="Q84" s="457"/>
      <c r="R84" s="457"/>
      <c r="S84" s="457"/>
      <c r="T84" s="457"/>
      <c r="U84" s="459"/>
      <c r="V84" s="297"/>
      <c r="W84" s="28"/>
      <c r="X84" s="462"/>
      <c r="Y84"/>
      <c r="Z84"/>
    </row>
    <row r="85" spans="1:26" x14ac:dyDescent="0.25">
      <c r="A85" s="461" t="s">
        <v>660</v>
      </c>
      <c r="B85" s="456"/>
      <c r="C85" s="457"/>
      <c r="D85" s="463"/>
      <c r="E85" s="457"/>
      <c r="F85" s="457"/>
      <c r="G85" s="459"/>
      <c r="H85" s="480">
        <v>6.3E-3</v>
      </c>
      <c r="I85" s="457">
        <v>945</v>
      </c>
      <c r="J85" s="842">
        <v>5.9809999999999999</v>
      </c>
      <c r="K85" s="842">
        <v>1</v>
      </c>
      <c r="L85" s="466">
        <v>20</v>
      </c>
      <c r="M85" s="457">
        <f t="shared" si="13"/>
        <v>1.1962000000000002</v>
      </c>
      <c r="N85" s="457">
        <f t="shared" si="14"/>
        <v>0.28999999999999998</v>
      </c>
      <c r="O85" s="459">
        <f t="shared" si="12"/>
        <v>1.4862000000000002</v>
      </c>
      <c r="P85" s="456"/>
      <c r="Q85" s="457"/>
      <c r="R85" s="457"/>
      <c r="S85" s="457"/>
      <c r="T85" s="457"/>
      <c r="U85" s="459"/>
      <c r="V85" s="297"/>
      <c r="W85" s="28"/>
      <c r="X85" s="462"/>
      <c r="Y85"/>
      <c r="Z85"/>
    </row>
    <row r="86" spans="1:26" x14ac:dyDescent="0.25">
      <c r="A86" s="461" t="s">
        <v>791</v>
      </c>
      <c r="B86" s="456"/>
      <c r="C86" s="457">
        <v>945</v>
      </c>
      <c r="D86" s="539">
        <v>5.0000000000000001E-3</v>
      </c>
      <c r="E86" s="457">
        <v>4.7300000000000004</v>
      </c>
      <c r="F86" s="457">
        <v>1.1399999999999999</v>
      </c>
      <c r="G86" s="459">
        <v>5.87</v>
      </c>
      <c r="H86" s="480">
        <v>6.3E-3</v>
      </c>
      <c r="I86" s="457">
        <v>945</v>
      </c>
      <c r="J86" s="842">
        <v>5.6643999999999997</v>
      </c>
      <c r="K86" s="842">
        <v>1</v>
      </c>
      <c r="L86" s="466">
        <v>20</v>
      </c>
      <c r="M86" s="457">
        <f t="shared" si="13"/>
        <v>1.1328799999999999</v>
      </c>
      <c r="N86" s="457">
        <f t="shared" si="14"/>
        <v>0.27</v>
      </c>
      <c r="O86" s="459">
        <f t="shared" si="12"/>
        <v>1.4028799999999999</v>
      </c>
      <c r="P86" s="456"/>
      <c r="Q86" s="457"/>
      <c r="R86" s="457"/>
      <c r="S86" s="457"/>
      <c r="T86" s="457"/>
      <c r="U86" s="459"/>
      <c r="V86" s="297"/>
      <c r="W86" s="28"/>
      <c r="X86" s="462"/>
      <c r="Y86"/>
      <c r="Z86"/>
    </row>
    <row r="87" spans="1:26" x14ac:dyDescent="0.25">
      <c r="A87" s="461" t="s">
        <v>791</v>
      </c>
      <c r="B87" s="456"/>
      <c r="C87" s="457">
        <v>945</v>
      </c>
      <c r="D87" s="539">
        <v>5.0000000000000001E-3</v>
      </c>
      <c r="E87" s="457">
        <v>4.7300000000000004</v>
      </c>
      <c r="F87" s="457">
        <v>1.1399999999999999</v>
      </c>
      <c r="G87" s="459">
        <v>5.87</v>
      </c>
      <c r="H87" s="480">
        <v>6.3E-3</v>
      </c>
      <c r="I87" s="457">
        <v>945</v>
      </c>
      <c r="J87" s="842">
        <v>5.6643999999999997</v>
      </c>
      <c r="K87" s="842">
        <v>1</v>
      </c>
      <c r="L87" s="466">
        <v>20</v>
      </c>
      <c r="M87" s="457">
        <f t="shared" si="13"/>
        <v>1.1328799999999999</v>
      </c>
      <c r="N87" s="457">
        <f t="shared" si="14"/>
        <v>0.27</v>
      </c>
      <c r="O87" s="459">
        <f t="shared" si="12"/>
        <v>1.4028799999999999</v>
      </c>
      <c r="P87" s="456"/>
      <c r="Q87" s="457"/>
      <c r="R87" s="457"/>
      <c r="S87" s="457"/>
      <c r="T87" s="457"/>
      <c r="U87" s="459"/>
      <c r="V87" s="297"/>
      <c r="W87" s="28"/>
      <c r="X87" s="462"/>
      <c r="Y87"/>
      <c r="Z87"/>
    </row>
    <row r="88" spans="1:26" x14ac:dyDescent="0.25">
      <c r="A88" s="461" t="s">
        <v>792</v>
      </c>
      <c r="B88" s="456"/>
      <c r="C88" s="457">
        <v>945</v>
      </c>
      <c r="D88" s="539">
        <v>0.04</v>
      </c>
      <c r="E88" s="457">
        <v>37.799999999999997</v>
      </c>
      <c r="F88" s="457">
        <v>9.11</v>
      </c>
      <c r="G88" s="459">
        <v>46.91</v>
      </c>
      <c r="H88" s="480">
        <v>0.31329999999999997</v>
      </c>
      <c r="I88" s="457">
        <v>945</v>
      </c>
      <c r="J88" s="842">
        <v>5.6643999999999997</v>
      </c>
      <c r="K88" s="842">
        <v>49.5</v>
      </c>
      <c r="L88" s="466">
        <v>20</v>
      </c>
      <c r="M88" s="457">
        <f t="shared" si="13"/>
        <v>56.077559999999991</v>
      </c>
      <c r="N88" s="457">
        <f t="shared" si="14"/>
        <v>13.51</v>
      </c>
      <c r="O88" s="459">
        <f t="shared" si="12"/>
        <v>69.587559999999996</v>
      </c>
      <c r="P88" s="456"/>
      <c r="Q88" s="457"/>
      <c r="R88" s="457"/>
      <c r="S88" s="457"/>
      <c r="T88" s="457"/>
      <c r="U88" s="459"/>
      <c r="V88" s="297"/>
      <c r="W88" s="28"/>
      <c r="X88" s="462"/>
      <c r="Y88"/>
      <c r="Z88"/>
    </row>
    <row r="89" spans="1:26" x14ac:dyDescent="0.25">
      <c r="A89" s="461" t="s">
        <v>792</v>
      </c>
      <c r="B89" s="456"/>
      <c r="C89" s="457">
        <v>945</v>
      </c>
      <c r="D89" s="539">
        <v>0.02</v>
      </c>
      <c r="E89" s="457">
        <v>18.899999999999999</v>
      </c>
      <c r="F89" s="457">
        <v>4.55</v>
      </c>
      <c r="G89" s="459">
        <v>23.45</v>
      </c>
      <c r="H89" s="480">
        <v>6.9599999999999995E-2</v>
      </c>
      <c r="I89" s="457">
        <v>945</v>
      </c>
      <c r="J89" s="842">
        <v>5.6643999999999997</v>
      </c>
      <c r="K89" s="842">
        <v>11</v>
      </c>
      <c r="L89" s="466">
        <v>20</v>
      </c>
      <c r="M89" s="457">
        <f t="shared" si="13"/>
        <v>12.461679999999999</v>
      </c>
      <c r="N89" s="457">
        <f t="shared" si="14"/>
        <v>3</v>
      </c>
      <c r="O89" s="459">
        <f t="shared" si="12"/>
        <v>15.461679999999999</v>
      </c>
      <c r="P89" s="456"/>
      <c r="Q89" s="457"/>
      <c r="R89" s="457"/>
      <c r="S89" s="457"/>
      <c r="T89" s="457"/>
      <c r="U89" s="459"/>
      <c r="V89" s="297"/>
      <c r="W89" s="28"/>
      <c r="X89" s="462"/>
      <c r="Y89"/>
      <c r="Z89"/>
    </row>
    <row r="90" spans="1:26" s="214" customFormat="1" x14ac:dyDescent="0.25">
      <c r="A90" s="461" t="s">
        <v>792</v>
      </c>
      <c r="B90" s="456"/>
      <c r="C90" s="457">
        <v>945</v>
      </c>
      <c r="D90" s="539">
        <v>0.04</v>
      </c>
      <c r="E90" s="457">
        <v>37.799999999999997</v>
      </c>
      <c r="F90" s="457">
        <v>9.11</v>
      </c>
      <c r="G90" s="459">
        <v>46.91</v>
      </c>
      <c r="H90" s="480">
        <v>0.64870000000000005</v>
      </c>
      <c r="I90" s="457">
        <v>945</v>
      </c>
      <c r="J90" s="842">
        <v>5.6643999999999997</v>
      </c>
      <c r="K90" s="842">
        <v>102.5</v>
      </c>
      <c r="L90" s="466">
        <v>20</v>
      </c>
      <c r="M90" s="457">
        <f t="shared" si="13"/>
        <v>116.12020000000001</v>
      </c>
      <c r="N90" s="457">
        <f t="shared" si="14"/>
        <v>27.97</v>
      </c>
      <c r="O90" s="459">
        <f t="shared" si="12"/>
        <v>144.09020000000001</v>
      </c>
      <c r="P90" s="456"/>
      <c r="Q90" s="457"/>
      <c r="R90" s="457"/>
      <c r="S90" s="457"/>
      <c r="T90" s="457"/>
      <c r="U90" s="459"/>
      <c r="V90" s="765"/>
      <c r="W90" s="766"/>
      <c r="X90" s="767">
        <f>I90*H90</f>
        <v>613.02150000000006</v>
      </c>
      <c r="Y90" s="768"/>
      <c r="Z90" s="768"/>
    </row>
    <row r="91" spans="1:26" x14ac:dyDescent="0.25">
      <c r="A91" s="461" t="s">
        <v>792</v>
      </c>
      <c r="B91" s="456"/>
      <c r="C91" s="457">
        <v>945</v>
      </c>
      <c r="D91" s="539">
        <v>5.0000000000000001E-3</v>
      </c>
      <c r="E91" s="457">
        <v>4.7300000000000004</v>
      </c>
      <c r="F91" s="457">
        <v>1.1399999999999999</v>
      </c>
      <c r="G91" s="459">
        <v>5.87</v>
      </c>
      <c r="H91" s="480">
        <v>0.17400000000000002</v>
      </c>
      <c r="I91" s="457">
        <v>945</v>
      </c>
      <c r="J91" s="842">
        <v>5.6643999999999997</v>
      </c>
      <c r="K91" s="842">
        <v>27.5</v>
      </c>
      <c r="L91" s="466">
        <v>20</v>
      </c>
      <c r="M91" s="457">
        <f t="shared" si="13"/>
        <v>31.154199999999996</v>
      </c>
      <c r="N91" s="457">
        <f t="shared" si="14"/>
        <v>7.51</v>
      </c>
      <c r="O91" s="459">
        <f t="shared" si="12"/>
        <v>38.664199999999994</v>
      </c>
      <c r="P91" s="456"/>
      <c r="Q91" s="457"/>
      <c r="R91" s="457"/>
      <c r="S91" s="457"/>
      <c r="T91" s="457"/>
      <c r="U91" s="459"/>
      <c r="V91" s="297"/>
      <c r="W91" s="28"/>
      <c r="X91" s="462">
        <f>M90*100/X90</f>
        <v>18.94227200840427</v>
      </c>
      <c r="Y91"/>
      <c r="Z91"/>
    </row>
    <row r="92" spans="1:26" x14ac:dyDescent="0.25">
      <c r="A92" s="461" t="s">
        <v>792</v>
      </c>
      <c r="B92" s="456"/>
      <c r="C92" s="457">
        <v>945</v>
      </c>
      <c r="D92" s="539">
        <v>0.06</v>
      </c>
      <c r="E92" s="457">
        <v>56.7</v>
      </c>
      <c r="F92" s="457">
        <v>13.66</v>
      </c>
      <c r="G92" s="459">
        <v>70.36</v>
      </c>
      <c r="H92" s="480">
        <v>0.60129999999999995</v>
      </c>
      <c r="I92" s="457">
        <v>945</v>
      </c>
      <c r="J92" s="842">
        <v>5.6643999999999997</v>
      </c>
      <c r="K92" s="842">
        <v>95</v>
      </c>
      <c r="L92" s="466">
        <v>20</v>
      </c>
      <c r="M92" s="457">
        <f t="shared" si="13"/>
        <v>107.62359999999998</v>
      </c>
      <c r="N92" s="457">
        <f t="shared" si="14"/>
        <v>25.93</v>
      </c>
      <c r="O92" s="459">
        <f t="shared" si="12"/>
        <v>133.55359999999999</v>
      </c>
      <c r="P92" s="456"/>
      <c r="Q92" s="457"/>
      <c r="R92" s="457"/>
      <c r="S92" s="457"/>
      <c r="T92" s="457"/>
      <c r="U92" s="459"/>
      <c r="V92" s="297"/>
      <c r="W92" s="28"/>
      <c r="X92" s="462"/>
      <c r="Y92"/>
      <c r="Z92"/>
    </row>
    <row r="93" spans="1:26" x14ac:dyDescent="0.25">
      <c r="A93" s="461" t="s">
        <v>792</v>
      </c>
      <c r="B93" s="456"/>
      <c r="C93" s="457">
        <v>945</v>
      </c>
      <c r="D93" s="539">
        <v>0.02</v>
      </c>
      <c r="E93" s="457">
        <v>18.899999999999999</v>
      </c>
      <c r="F93" s="457">
        <v>4.55</v>
      </c>
      <c r="G93" s="459">
        <v>23.45</v>
      </c>
      <c r="H93" s="480">
        <v>9.4899999999999998E-2</v>
      </c>
      <c r="I93" s="457">
        <v>945</v>
      </c>
      <c r="J93" s="842">
        <v>5.6643999999999997</v>
      </c>
      <c r="K93" s="842">
        <v>15</v>
      </c>
      <c r="L93" s="466">
        <v>20</v>
      </c>
      <c r="M93" s="457">
        <f t="shared" si="13"/>
        <v>16.993199999999998</v>
      </c>
      <c r="N93" s="457">
        <f t="shared" si="14"/>
        <v>4.09</v>
      </c>
      <c r="O93" s="459">
        <f t="shared" si="12"/>
        <v>21.083199999999998</v>
      </c>
      <c r="P93" s="456"/>
      <c r="Q93" s="457"/>
      <c r="R93" s="457"/>
      <c r="S93" s="457"/>
      <c r="T93" s="457"/>
      <c r="U93" s="459"/>
      <c r="V93" s="297"/>
      <c r="W93" s="28"/>
      <c r="X93" s="462"/>
      <c r="Y93"/>
      <c r="Z93"/>
    </row>
    <row r="94" spans="1:26" x14ac:dyDescent="0.25">
      <c r="A94" s="461" t="s">
        <v>792</v>
      </c>
      <c r="B94" s="456"/>
      <c r="C94" s="457">
        <v>945</v>
      </c>
      <c r="D94" s="539">
        <v>0.06</v>
      </c>
      <c r="E94" s="457">
        <v>56.7</v>
      </c>
      <c r="F94" s="457">
        <v>13.66</v>
      </c>
      <c r="G94" s="459">
        <v>70.36</v>
      </c>
      <c r="H94" s="480">
        <v>0.1709</v>
      </c>
      <c r="I94" s="457">
        <v>945</v>
      </c>
      <c r="J94" s="842">
        <v>5.6643999999999997</v>
      </c>
      <c r="K94" s="842">
        <v>27</v>
      </c>
      <c r="L94" s="466">
        <v>20</v>
      </c>
      <c r="M94" s="457">
        <f t="shared" si="13"/>
        <v>30.587759999999999</v>
      </c>
      <c r="N94" s="457">
        <f t="shared" si="14"/>
        <v>7.37</v>
      </c>
      <c r="O94" s="459">
        <f t="shared" si="12"/>
        <v>37.95776</v>
      </c>
      <c r="P94" s="456"/>
      <c r="Q94" s="457"/>
      <c r="R94" s="457"/>
      <c r="S94" s="457"/>
      <c r="T94" s="457"/>
      <c r="U94" s="459"/>
      <c r="V94" s="297"/>
      <c r="W94" s="28"/>
      <c r="X94" s="462"/>
      <c r="Y94"/>
      <c r="Z94"/>
    </row>
    <row r="95" spans="1:26" x14ac:dyDescent="0.25">
      <c r="A95" s="461" t="s">
        <v>792</v>
      </c>
      <c r="B95" s="456"/>
      <c r="C95" s="457">
        <v>888</v>
      </c>
      <c r="D95" s="539">
        <v>0.04</v>
      </c>
      <c r="E95" s="457">
        <v>35.520000000000003</v>
      </c>
      <c r="F95" s="457">
        <v>8.56</v>
      </c>
      <c r="G95" s="459">
        <v>44.080000000000005</v>
      </c>
      <c r="H95" s="480">
        <v>1.9E-2</v>
      </c>
      <c r="I95" s="457">
        <v>945</v>
      </c>
      <c r="J95" s="842">
        <v>5.6643999999999997</v>
      </c>
      <c r="K95" s="842">
        <v>3</v>
      </c>
      <c r="L95" s="466">
        <v>20</v>
      </c>
      <c r="M95" s="457">
        <f t="shared" si="13"/>
        <v>3.3986399999999999</v>
      </c>
      <c r="N95" s="457">
        <f t="shared" si="14"/>
        <v>0.82</v>
      </c>
      <c r="O95" s="459">
        <f t="shared" si="12"/>
        <v>4.2186399999999997</v>
      </c>
      <c r="P95" s="456"/>
      <c r="Q95" s="457"/>
      <c r="R95" s="457"/>
      <c r="S95" s="457"/>
      <c r="T95" s="457"/>
      <c r="U95" s="459"/>
      <c r="V95" s="297"/>
      <c r="W95" s="28"/>
      <c r="X95" s="462"/>
      <c r="Y95"/>
      <c r="Z95"/>
    </row>
    <row r="96" spans="1:26" x14ac:dyDescent="0.25">
      <c r="A96" s="461" t="s">
        <v>792</v>
      </c>
      <c r="B96" s="456"/>
      <c r="C96" s="457">
        <v>888</v>
      </c>
      <c r="D96" s="539">
        <v>0.04</v>
      </c>
      <c r="E96" s="457">
        <v>35.520000000000003</v>
      </c>
      <c r="F96" s="457">
        <v>8.56</v>
      </c>
      <c r="G96" s="459">
        <v>44.080000000000005</v>
      </c>
      <c r="H96" s="480">
        <v>0.3987</v>
      </c>
      <c r="I96" s="457">
        <v>945</v>
      </c>
      <c r="J96" s="842">
        <v>5.6643999999999997</v>
      </c>
      <c r="K96" s="842">
        <v>63</v>
      </c>
      <c r="L96" s="466">
        <v>20</v>
      </c>
      <c r="M96" s="457">
        <f t="shared" si="13"/>
        <v>71.371439999999993</v>
      </c>
      <c r="N96" s="457">
        <f t="shared" si="14"/>
        <v>17.190000000000001</v>
      </c>
      <c r="O96" s="459">
        <f t="shared" si="12"/>
        <v>88.56143999999999</v>
      </c>
      <c r="P96" s="456"/>
      <c r="Q96" s="457"/>
      <c r="R96" s="457"/>
      <c r="S96" s="457"/>
      <c r="T96" s="457"/>
      <c r="U96" s="459"/>
      <c r="V96" s="297"/>
      <c r="W96" s="28"/>
      <c r="X96" s="462"/>
      <c r="Y96"/>
      <c r="Z96"/>
    </row>
    <row r="97" spans="1:26" x14ac:dyDescent="0.25">
      <c r="A97" s="461" t="s">
        <v>792</v>
      </c>
      <c r="B97" s="456"/>
      <c r="C97" s="457">
        <v>945</v>
      </c>
      <c r="D97" s="539">
        <v>0.06</v>
      </c>
      <c r="E97" s="457">
        <v>56.7</v>
      </c>
      <c r="F97" s="457">
        <v>13.66</v>
      </c>
      <c r="G97" s="459">
        <v>70.36</v>
      </c>
      <c r="H97" s="480">
        <v>0.13300000000000001</v>
      </c>
      <c r="I97" s="457">
        <v>945</v>
      </c>
      <c r="J97" s="842">
        <v>5.6643999999999997</v>
      </c>
      <c r="K97" s="842">
        <v>21</v>
      </c>
      <c r="L97" s="466">
        <v>20</v>
      </c>
      <c r="M97" s="457">
        <f t="shared" si="13"/>
        <v>23.790479999999999</v>
      </c>
      <c r="N97" s="457">
        <f t="shared" si="14"/>
        <v>5.73</v>
      </c>
      <c r="O97" s="459">
        <f t="shared" si="12"/>
        <v>29.520479999999999</v>
      </c>
      <c r="P97" s="456"/>
      <c r="Q97" s="457"/>
      <c r="R97" s="457"/>
      <c r="S97" s="457"/>
      <c r="T97" s="457"/>
      <c r="U97" s="459"/>
      <c r="V97" s="297"/>
      <c r="W97" s="28"/>
      <c r="X97" s="462"/>
      <c r="Y97"/>
      <c r="Z97"/>
    </row>
    <row r="98" spans="1:26" x14ac:dyDescent="0.25">
      <c r="A98" s="461" t="s">
        <v>792</v>
      </c>
      <c r="B98" s="456"/>
      <c r="C98" s="457">
        <v>888</v>
      </c>
      <c r="D98" s="539">
        <v>0.04</v>
      </c>
      <c r="E98" s="457">
        <v>35.520000000000003</v>
      </c>
      <c r="F98" s="457">
        <v>8.56</v>
      </c>
      <c r="G98" s="459">
        <v>44.080000000000005</v>
      </c>
      <c r="H98" s="480">
        <v>0.52849999999999997</v>
      </c>
      <c r="I98" s="457">
        <v>945</v>
      </c>
      <c r="J98" s="842">
        <v>5.6643999999999997</v>
      </c>
      <c r="K98" s="842">
        <v>83.5</v>
      </c>
      <c r="L98" s="466">
        <v>20</v>
      </c>
      <c r="M98" s="457">
        <f t="shared" si="13"/>
        <v>94.595479999999995</v>
      </c>
      <c r="N98" s="457">
        <f t="shared" si="14"/>
        <v>22.79</v>
      </c>
      <c r="O98" s="459">
        <f t="shared" si="12"/>
        <v>117.38548</v>
      </c>
      <c r="P98" s="456"/>
      <c r="Q98" s="457"/>
      <c r="R98" s="457"/>
      <c r="S98" s="457"/>
      <c r="T98" s="457"/>
      <c r="U98" s="459"/>
      <c r="V98" s="297"/>
      <c r="W98" s="28"/>
      <c r="X98" s="462"/>
      <c r="Y98"/>
      <c r="Z98"/>
    </row>
    <row r="99" spans="1:26" x14ac:dyDescent="0.25">
      <c r="A99" s="461" t="s">
        <v>792</v>
      </c>
      <c r="B99" s="456"/>
      <c r="C99" s="457">
        <v>888</v>
      </c>
      <c r="D99" s="539">
        <v>0.06</v>
      </c>
      <c r="E99" s="457">
        <v>53.28</v>
      </c>
      <c r="F99" s="457">
        <v>12.84</v>
      </c>
      <c r="G99" s="459">
        <v>66.12</v>
      </c>
      <c r="H99" s="480">
        <v>6.3300000000000009E-2</v>
      </c>
      <c r="I99" s="457">
        <v>945</v>
      </c>
      <c r="J99" s="842">
        <v>5.6643999999999997</v>
      </c>
      <c r="K99" s="842">
        <v>10</v>
      </c>
      <c r="L99" s="466">
        <v>20</v>
      </c>
      <c r="M99" s="457">
        <f t="shared" si="13"/>
        <v>11.328799999999999</v>
      </c>
      <c r="N99" s="457">
        <f t="shared" si="14"/>
        <v>2.73</v>
      </c>
      <c r="O99" s="459">
        <f t="shared" si="12"/>
        <v>14.0588</v>
      </c>
      <c r="P99" s="456"/>
      <c r="Q99" s="457"/>
      <c r="R99" s="457"/>
      <c r="S99" s="457"/>
      <c r="T99" s="457"/>
      <c r="U99" s="459"/>
      <c r="V99" s="297"/>
      <c r="W99" s="28"/>
      <c r="X99" s="462"/>
      <c r="Y99"/>
      <c r="Z99"/>
    </row>
    <row r="100" spans="1:26" x14ac:dyDescent="0.25">
      <c r="A100" s="461" t="s">
        <v>792</v>
      </c>
      <c r="B100" s="456"/>
      <c r="C100" s="457">
        <v>945</v>
      </c>
      <c r="D100" s="539">
        <v>0.04</v>
      </c>
      <c r="E100" s="457">
        <v>37.799999999999997</v>
      </c>
      <c r="F100" s="457">
        <v>9.11</v>
      </c>
      <c r="G100" s="459">
        <v>46.91</v>
      </c>
      <c r="H100" s="480">
        <v>0.1487</v>
      </c>
      <c r="I100" s="457">
        <v>945</v>
      </c>
      <c r="J100" s="842">
        <v>5.6643999999999997</v>
      </c>
      <c r="K100" s="842">
        <v>23.5</v>
      </c>
      <c r="L100" s="466">
        <v>20</v>
      </c>
      <c r="M100" s="457">
        <f t="shared" si="13"/>
        <v>26.622679999999995</v>
      </c>
      <c r="N100" s="457">
        <f t="shared" si="14"/>
        <v>6.41</v>
      </c>
      <c r="O100" s="459">
        <f t="shared" si="12"/>
        <v>33.032679999999999</v>
      </c>
      <c r="P100" s="456"/>
      <c r="Q100" s="457"/>
      <c r="R100" s="457"/>
      <c r="S100" s="457"/>
      <c r="T100" s="457"/>
      <c r="U100" s="459"/>
      <c r="V100" s="297"/>
      <c r="W100" s="28"/>
      <c r="X100" s="462"/>
      <c r="Y100"/>
      <c r="Z100"/>
    </row>
    <row r="101" spans="1:26" x14ac:dyDescent="0.25">
      <c r="A101" s="461" t="s">
        <v>792</v>
      </c>
      <c r="B101" s="456"/>
      <c r="C101" s="457">
        <v>888</v>
      </c>
      <c r="D101" s="539">
        <v>0.02</v>
      </c>
      <c r="E101" s="457">
        <v>17.760000000000002</v>
      </c>
      <c r="F101" s="457">
        <v>4.28</v>
      </c>
      <c r="G101" s="459">
        <v>22.040000000000003</v>
      </c>
      <c r="H101" s="480">
        <v>3.2000000000000002E-3</v>
      </c>
      <c r="I101" s="457">
        <v>945</v>
      </c>
      <c r="J101" s="842">
        <v>5.6643999999999997</v>
      </c>
      <c r="K101" s="842">
        <v>0.5</v>
      </c>
      <c r="L101" s="466">
        <v>20</v>
      </c>
      <c r="M101" s="457">
        <f t="shared" si="13"/>
        <v>0.56643999999999994</v>
      </c>
      <c r="N101" s="457">
        <f t="shared" si="14"/>
        <v>0.14000000000000001</v>
      </c>
      <c r="O101" s="459">
        <f t="shared" si="12"/>
        <v>0.70643999999999996</v>
      </c>
      <c r="P101" s="456"/>
      <c r="Q101" s="457"/>
      <c r="R101" s="457"/>
      <c r="S101" s="457"/>
      <c r="T101" s="457"/>
      <c r="U101" s="459"/>
      <c r="V101" s="297"/>
      <c r="W101" s="28"/>
      <c r="X101" s="462"/>
      <c r="Y101"/>
      <c r="Z101"/>
    </row>
    <row r="102" spans="1:26" x14ac:dyDescent="0.25">
      <c r="A102" s="461" t="s">
        <v>792</v>
      </c>
      <c r="B102" s="456"/>
      <c r="C102" s="457"/>
      <c r="D102" s="463"/>
      <c r="E102" s="457"/>
      <c r="F102" s="457"/>
      <c r="G102" s="459"/>
      <c r="H102" s="480">
        <v>0.40820000000000001</v>
      </c>
      <c r="I102" s="457">
        <v>888</v>
      </c>
      <c r="J102" s="842">
        <v>5.3228</v>
      </c>
      <c r="K102" s="842">
        <v>64.5</v>
      </c>
      <c r="L102" s="466">
        <v>20</v>
      </c>
      <c r="M102" s="457">
        <f t="shared" si="13"/>
        <v>68.664119999999997</v>
      </c>
      <c r="N102" s="457">
        <f t="shared" si="14"/>
        <v>16.54</v>
      </c>
      <c r="O102" s="459">
        <f t="shared" si="12"/>
        <v>85.204119999999989</v>
      </c>
      <c r="P102" s="456"/>
      <c r="Q102" s="457"/>
      <c r="R102" s="457"/>
      <c r="S102" s="457"/>
      <c r="T102" s="457"/>
      <c r="U102" s="459"/>
      <c r="V102" s="297"/>
      <c r="W102" s="28"/>
      <c r="X102" s="462"/>
      <c r="Y102"/>
      <c r="Z102"/>
    </row>
    <row r="103" spans="1:26" x14ac:dyDescent="0.25">
      <c r="A103" s="461" t="s">
        <v>792</v>
      </c>
      <c r="B103" s="456"/>
      <c r="C103" s="457"/>
      <c r="D103" s="463"/>
      <c r="E103" s="457"/>
      <c r="F103" s="457"/>
      <c r="G103" s="459"/>
      <c r="H103" s="480">
        <v>7.2800000000000004E-2</v>
      </c>
      <c r="I103" s="457">
        <v>888</v>
      </c>
      <c r="J103" s="842">
        <v>5.3228</v>
      </c>
      <c r="K103" s="842">
        <v>11.5</v>
      </c>
      <c r="L103" s="466">
        <v>20</v>
      </c>
      <c r="M103" s="457">
        <f t="shared" si="13"/>
        <v>12.242440000000002</v>
      </c>
      <c r="N103" s="457">
        <f t="shared" si="14"/>
        <v>2.95</v>
      </c>
      <c r="O103" s="459">
        <f t="shared" si="12"/>
        <v>15.192440000000001</v>
      </c>
      <c r="P103" s="456"/>
      <c r="Q103" s="457"/>
      <c r="R103" s="457"/>
      <c r="S103" s="457"/>
      <c r="T103" s="457"/>
      <c r="U103" s="459"/>
      <c r="V103" s="297"/>
      <c r="W103" s="28"/>
      <c r="X103" s="462"/>
      <c r="Y103"/>
      <c r="Z103"/>
    </row>
    <row r="104" spans="1:26" x14ac:dyDescent="0.25">
      <c r="A104" s="461" t="s">
        <v>792</v>
      </c>
      <c r="B104" s="456"/>
      <c r="C104" s="457"/>
      <c r="D104" s="463"/>
      <c r="E104" s="457"/>
      <c r="F104" s="457"/>
      <c r="G104" s="459"/>
      <c r="H104" s="480">
        <v>0.38279999999999997</v>
      </c>
      <c r="I104" s="457">
        <v>888</v>
      </c>
      <c r="J104" s="842">
        <v>5.3228</v>
      </c>
      <c r="K104" s="842">
        <v>60.5</v>
      </c>
      <c r="L104" s="466">
        <v>20</v>
      </c>
      <c r="M104" s="457">
        <f t="shared" si="13"/>
        <v>64.405879999999996</v>
      </c>
      <c r="N104" s="457">
        <f t="shared" si="14"/>
        <v>15.52</v>
      </c>
      <c r="O104" s="459">
        <f t="shared" si="12"/>
        <v>79.925879999999992</v>
      </c>
      <c r="P104" s="456"/>
      <c r="Q104" s="457"/>
      <c r="R104" s="457"/>
      <c r="S104" s="457"/>
      <c r="T104" s="457"/>
      <c r="U104" s="459"/>
      <c r="V104" s="297"/>
      <c r="W104" s="28"/>
      <c r="X104" s="462"/>
      <c r="Y104"/>
      <c r="Z104"/>
    </row>
    <row r="105" spans="1:26" x14ac:dyDescent="0.25">
      <c r="A105" s="461" t="s">
        <v>792</v>
      </c>
      <c r="B105" s="456"/>
      <c r="C105" s="457"/>
      <c r="D105" s="463"/>
      <c r="E105" s="457"/>
      <c r="F105" s="457"/>
      <c r="G105" s="459"/>
      <c r="H105" s="480">
        <v>6.0000000000000005E-2</v>
      </c>
      <c r="I105" s="457">
        <v>888</v>
      </c>
      <c r="J105" s="842">
        <v>5.3228</v>
      </c>
      <c r="K105" s="842">
        <v>9.5</v>
      </c>
      <c r="L105" s="466">
        <v>20</v>
      </c>
      <c r="M105" s="457">
        <f t="shared" si="13"/>
        <v>10.11332</v>
      </c>
      <c r="N105" s="457">
        <f t="shared" si="14"/>
        <v>2.44</v>
      </c>
      <c r="O105" s="459">
        <f t="shared" si="12"/>
        <v>12.553319999999999</v>
      </c>
      <c r="P105" s="456"/>
      <c r="Q105" s="457"/>
      <c r="R105" s="457"/>
      <c r="S105" s="457"/>
      <c r="T105" s="457"/>
      <c r="U105" s="459"/>
      <c r="V105" s="297"/>
      <c r="W105" s="28"/>
      <c r="X105" s="462"/>
      <c r="Y105"/>
      <c r="Z105"/>
    </row>
    <row r="106" spans="1:26" x14ac:dyDescent="0.25">
      <c r="A106" s="461" t="s">
        <v>792</v>
      </c>
      <c r="B106" s="456"/>
      <c r="C106" s="457"/>
      <c r="D106" s="463"/>
      <c r="E106" s="457"/>
      <c r="F106" s="457"/>
      <c r="G106" s="459"/>
      <c r="H106" s="480">
        <v>0.2215</v>
      </c>
      <c r="I106" s="457">
        <v>945</v>
      </c>
      <c r="J106" s="842">
        <v>5.6643999999999997</v>
      </c>
      <c r="K106" s="842">
        <v>35</v>
      </c>
      <c r="L106" s="466">
        <v>20</v>
      </c>
      <c r="M106" s="457">
        <f t="shared" si="13"/>
        <v>39.650799999999997</v>
      </c>
      <c r="N106" s="457">
        <f t="shared" si="14"/>
        <v>9.5500000000000007</v>
      </c>
      <c r="O106" s="459">
        <f t="shared" si="12"/>
        <v>49.200800000000001</v>
      </c>
      <c r="P106" s="456"/>
      <c r="Q106" s="457"/>
      <c r="R106" s="457"/>
      <c r="S106" s="457"/>
      <c r="T106" s="457"/>
      <c r="U106" s="459"/>
      <c r="V106" s="297"/>
      <c r="W106" s="28"/>
      <c r="X106" s="462"/>
      <c r="Y106"/>
      <c r="Z106"/>
    </row>
    <row r="107" spans="1:26" x14ac:dyDescent="0.25">
      <c r="A107" s="461" t="s">
        <v>792</v>
      </c>
      <c r="B107" s="456"/>
      <c r="C107" s="457"/>
      <c r="D107" s="463"/>
      <c r="E107" s="457"/>
      <c r="F107" s="457"/>
      <c r="G107" s="459"/>
      <c r="H107" s="480">
        <v>5.3800000000000001E-2</v>
      </c>
      <c r="I107" s="457">
        <v>945</v>
      </c>
      <c r="J107" s="842">
        <v>5.6643999999999997</v>
      </c>
      <c r="K107" s="842">
        <v>8.5</v>
      </c>
      <c r="L107" s="466">
        <v>20</v>
      </c>
      <c r="M107" s="457">
        <f t="shared" si="13"/>
        <v>9.6294799999999992</v>
      </c>
      <c r="N107" s="457">
        <f t="shared" si="14"/>
        <v>2.3199999999999998</v>
      </c>
      <c r="O107" s="459">
        <f t="shared" si="12"/>
        <v>11.949479999999999</v>
      </c>
      <c r="P107" s="456"/>
      <c r="Q107" s="457"/>
      <c r="R107" s="457"/>
      <c r="S107" s="457"/>
      <c r="T107" s="457"/>
      <c r="U107" s="459"/>
      <c r="V107" s="297"/>
      <c r="W107" s="28"/>
      <c r="X107" s="462"/>
      <c r="Y107"/>
      <c r="Z107"/>
    </row>
    <row r="108" spans="1:26" x14ac:dyDescent="0.25">
      <c r="A108" s="461" t="s">
        <v>792</v>
      </c>
      <c r="B108" s="456"/>
      <c r="C108" s="457"/>
      <c r="D108" s="463"/>
      <c r="E108" s="457"/>
      <c r="F108" s="457"/>
      <c r="G108" s="459"/>
      <c r="H108" s="480">
        <v>0.59810000000000008</v>
      </c>
      <c r="I108" s="457">
        <v>888</v>
      </c>
      <c r="J108" s="842">
        <v>5.3228</v>
      </c>
      <c r="K108" s="842">
        <v>94.5</v>
      </c>
      <c r="L108" s="466">
        <v>20</v>
      </c>
      <c r="M108" s="457">
        <f t="shared" si="13"/>
        <v>100.60092</v>
      </c>
      <c r="N108" s="457">
        <f t="shared" si="14"/>
        <v>24.23</v>
      </c>
      <c r="O108" s="459">
        <f t="shared" si="12"/>
        <v>124.83092000000001</v>
      </c>
      <c r="P108" s="456"/>
      <c r="Q108" s="457"/>
      <c r="R108" s="457"/>
      <c r="S108" s="457"/>
      <c r="T108" s="457"/>
      <c r="U108" s="459"/>
      <c r="V108" s="297"/>
      <c r="W108" s="28"/>
      <c r="X108" s="462"/>
      <c r="Y108"/>
      <c r="Z108"/>
    </row>
    <row r="109" spans="1:26" x14ac:dyDescent="0.25">
      <c r="A109" s="461" t="s">
        <v>792</v>
      </c>
      <c r="B109" s="456"/>
      <c r="C109" s="457"/>
      <c r="D109" s="463"/>
      <c r="E109" s="457"/>
      <c r="F109" s="457"/>
      <c r="G109" s="459"/>
      <c r="H109" s="480">
        <v>8.5500000000000007E-2</v>
      </c>
      <c r="I109" s="457">
        <v>888</v>
      </c>
      <c r="J109" s="842">
        <v>5.3228</v>
      </c>
      <c r="K109" s="842">
        <v>13.5</v>
      </c>
      <c r="L109" s="466">
        <v>20</v>
      </c>
      <c r="M109" s="457">
        <f t="shared" si="13"/>
        <v>14.371559999999999</v>
      </c>
      <c r="N109" s="457">
        <f t="shared" si="14"/>
        <v>3.46</v>
      </c>
      <c r="O109" s="459">
        <f t="shared" si="12"/>
        <v>17.83156</v>
      </c>
      <c r="P109" s="456"/>
      <c r="Q109" s="457"/>
      <c r="R109" s="457"/>
      <c r="S109" s="457"/>
      <c r="T109" s="457"/>
      <c r="U109" s="459"/>
      <c r="V109" s="297"/>
      <c r="W109" s="28"/>
      <c r="X109" s="462"/>
      <c r="Y109"/>
      <c r="Z109"/>
    </row>
    <row r="110" spans="1:26" x14ac:dyDescent="0.25">
      <c r="A110" s="461" t="s">
        <v>792</v>
      </c>
      <c r="B110" s="456"/>
      <c r="C110" s="457"/>
      <c r="D110" s="463"/>
      <c r="E110" s="457"/>
      <c r="F110" s="457"/>
      <c r="G110" s="459"/>
      <c r="H110" s="480">
        <v>0.25950000000000001</v>
      </c>
      <c r="I110" s="457">
        <v>888</v>
      </c>
      <c r="J110" s="842">
        <v>5.3228</v>
      </c>
      <c r="K110" s="842">
        <v>41</v>
      </c>
      <c r="L110" s="466">
        <v>20</v>
      </c>
      <c r="M110" s="457">
        <f t="shared" si="13"/>
        <v>43.64696</v>
      </c>
      <c r="N110" s="457">
        <f t="shared" si="14"/>
        <v>10.51</v>
      </c>
      <c r="O110" s="459">
        <f t="shared" si="12"/>
        <v>54.156959999999998</v>
      </c>
      <c r="P110" s="456"/>
      <c r="Q110" s="457"/>
      <c r="R110" s="457"/>
      <c r="S110" s="457"/>
      <c r="T110" s="457"/>
      <c r="U110" s="459"/>
      <c r="V110" s="297"/>
      <c r="W110" s="28"/>
      <c r="X110" s="462"/>
      <c r="Y110"/>
      <c r="Z110"/>
    </row>
    <row r="111" spans="1:26" x14ac:dyDescent="0.25">
      <c r="A111" s="461" t="s">
        <v>792</v>
      </c>
      <c r="B111" s="456"/>
      <c r="C111" s="457"/>
      <c r="D111" s="463"/>
      <c r="E111" s="457"/>
      <c r="F111" s="457"/>
      <c r="G111" s="459"/>
      <c r="H111" s="480">
        <v>4.4300000000000006E-2</v>
      </c>
      <c r="I111" s="457">
        <v>888</v>
      </c>
      <c r="J111" s="842">
        <v>5.3228</v>
      </c>
      <c r="K111" s="842">
        <v>7</v>
      </c>
      <c r="L111" s="466">
        <v>20</v>
      </c>
      <c r="M111" s="457">
        <f t="shared" si="13"/>
        <v>7.4519200000000003</v>
      </c>
      <c r="N111" s="457">
        <f t="shared" si="14"/>
        <v>1.8</v>
      </c>
      <c r="O111" s="459">
        <f t="shared" si="12"/>
        <v>9.2519200000000001</v>
      </c>
      <c r="P111" s="456"/>
      <c r="Q111" s="457"/>
      <c r="R111" s="457"/>
      <c r="S111" s="457"/>
      <c r="T111" s="457"/>
      <c r="U111" s="459"/>
      <c r="V111" s="297"/>
      <c r="W111" s="28"/>
      <c r="X111" s="462"/>
      <c r="Y111"/>
      <c r="Z111"/>
    </row>
    <row r="112" spans="1:26" x14ac:dyDescent="0.25">
      <c r="A112" s="461" t="s">
        <v>792</v>
      </c>
      <c r="B112" s="456"/>
      <c r="C112" s="457"/>
      <c r="D112" s="463"/>
      <c r="E112" s="457"/>
      <c r="F112" s="457"/>
      <c r="G112" s="459"/>
      <c r="H112" s="480">
        <v>0.46200000000000002</v>
      </c>
      <c r="I112" s="457">
        <v>945</v>
      </c>
      <c r="J112" s="842">
        <v>5.6643999999999997</v>
      </c>
      <c r="K112" s="842">
        <v>73</v>
      </c>
      <c r="L112" s="466">
        <v>20</v>
      </c>
      <c r="M112" s="457">
        <f t="shared" si="13"/>
        <v>82.700239999999994</v>
      </c>
      <c r="N112" s="457">
        <f t="shared" si="14"/>
        <v>19.920000000000002</v>
      </c>
      <c r="O112" s="459">
        <f t="shared" si="12"/>
        <v>102.62024</v>
      </c>
      <c r="P112" s="456"/>
      <c r="Q112" s="457"/>
      <c r="R112" s="457"/>
      <c r="S112" s="457"/>
      <c r="T112" s="457"/>
      <c r="U112" s="459"/>
      <c r="V112" s="297"/>
      <c r="W112" s="28"/>
      <c r="X112" s="462"/>
      <c r="Y112"/>
      <c r="Z112"/>
    </row>
    <row r="113" spans="1:26" x14ac:dyDescent="0.25">
      <c r="A113" s="461" t="s">
        <v>792</v>
      </c>
      <c r="B113" s="456"/>
      <c r="C113" s="457"/>
      <c r="D113" s="463"/>
      <c r="E113" s="457"/>
      <c r="F113" s="457"/>
      <c r="G113" s="459"/>
      <c r="H113" s="480">
        <v>8.2299999999999998E-2</v>
      </c>
      <c r="I113" s="457">
        <v>945</v>
      </c>
      <c r="J113" s="842">
        <v>5.6643999999999997</v>
      </c>
      <c r="K113" s="842">
        <v>13</v>
      </c>
      <c r="L113" s="466">
        <v>20</v>
      </c>
      <c r="M113" s="457">
        <f t="shared" si="13"/>
        <v>14.72744</v>
      </c>
      <c r="N113" s="457">
        <f t="shared" si="14"/>
        <v>3.55</v>
      </c>
      <c r="O113" s="459">
        <f t="shared" si="12"/>
        <v>18.277439999999999</v>
      </c>
      <c r="P113" s="456"/>
      <c r="Q113" s="457"/>
      <c r="R113" s="457"/>
      <c r="S113" s="457"/>
      <c r="T113" s="457"/>
      <c r="U113" s="459"/>
      <c r="V113" s="297"/>
      <c r="W113" s="28"/>
      <c r="X113" s="462"/>
      <c r="Y113"/>
      <c r="Z113"/>
    </row>
    <row r="114" spans="1:26" x14ac:dyDescent="0.25">
      <c r="A114" s="461" t="s">
        <v>792</v>
      </c>
      <c r="B114" s="456"/>
      <c r="C114" s="457"/>
      <c r="D114" s="463"/>
      <c r="E114" s="457"/>
      <c r="F114" s="457"/>
      <c r="G114" s="459"/>
      <c r="H114" s="480">
        <v>0.26579999999999998</v>
      </c>
      <c r="I114" s="457">
        <v>888</v>
      </c>
      <c r="J114" s="842">
        <v>5.3228</v>
      </c>
      <c r="K114" s="842">
        <v>42</v>
      </c>
      <c r="L114" s="466">
        <v>20</v>
      </c>
      <c r="M114" s="457">
        <f t="shared" si="13"/>
        <v>44.71152</v>
      </c>
      <c r="N114" s="457">
        <f t="shared" si="14"/>
        <v>10.77</v>
      </c>
      <c r="O114" s="459">
        <f t="shared" si="12"/>
        <v>55.481520000000003</v>
      </c>
      <c r="P114" s="456"/>
      <c r="Q114" s="457"/>
      <c r="R114" s="457"/>
      <c r="S114" s="457"/>
      <c r="T114" s="457"/>
      <c r="U114" s="459"/>
      <c r="V114" s="297"/>
      <c r="W114" s="28"/>
      <c r="X114" s="462"/>
      <c r="Y114"/>
      <c r="Z114"/>
    </row>
    <row r="115" spans="1:26" x14ac:dyDescent="0.25">
      <c r="A115" s="461" t="s">
        <v>792</v>
      </c>
      <c r="B115" s="456"/>
      <c r="C115" s="457"/>
      <c r="D115" s="463"/>
      <c r="E115" s="457"/>
      <c r="F115" s="457"/>
      <c r="G115" s="459"/>
      <c r="H115" s="480">
        <v>7.5999999999999998E-2</v>
      </c>
      <c r="I115" s="457">
        <v>888</v>
      </c>
      <c r="J115" s="842">
        <v>5.3228</v>
      </c>
      <c r="K115" s="842">
        <v>12</v>
      </c>
      <c r="L115" s="466">
        <v>20</v>
      </c>
      <c r="M115" s="457">
        <f t="shared" si="13"/>
        <v>12.77472</v>
      </c>
      <c r="N115" s="457">
        <f t="shared" si="14"/>
        <v>3.08</v>
      </c>
      <c r="O115" s="459">
        <f t="shared" ref="O115:O141" si="15">M115+N115</f>
        <v>15.85472</v>
      </c>
      <c r="P115" s="456"/>
      <c r="Q115" s="457"/>
      <c r="R115" s="457"/>
      <c r="S115" s="457"/>
      <c r="T115" s="457"/>
      <c r="U115" s="459"/>
      <c r="V115" s="297"/>
      <c r="W115" s="28"/>
      <c r="X115" s="462"/>
      <c r="Y115"/>
      <c r="Z115"/>
    </row>
    <row r="116" spans="1:26" x14ac:dyDescent="0.25">
      <c r="A116" s="461" t="s">
        <v>792</v>
      </c>
      <c r="B116" s="456"/>
      <c r="C116" s="457"/>
      <c r="D116" s="463"/>
      <c r="E116" s="457"/>
      <c r="F116" s="457"/>
      <c r="G116" s="459"/>
      <c r="H116" s="480">
        <v>9.1799999999999993E-2</v>
      </c>
      <c r="I116" s="457">
        <v>888</v>
      </c>
      <c r="J116" s="842">
        <v>5.3228</v>
      </c>
      <c r="K116" s="842">
        <v>14.5</v>
      </c>
      <c r="L116" s="466">
        <v>20</v>
      </c>
      <c r="M116" s="457">
        <f t="shared" si="13"/>
        <v>15.436120000000001</v>
      </c>
      <c r="N116" s="457">
        <f t="shared" si="14"/>
        <v>3.72</v>
      </c>
      <c r="O116" s="459">
        <f t="shared" si="15"/>
        <v>19.156120000000001</v>
      </c>
      <c r="P116" s="456"/>
      <c r="Q116" s="457"/>
      <c r="R116" s="457"/>
      <c r="S116" s="457"/>
      <c r="T116" s="457"/>
      <c r="U116" s="459"/>
      <c r="V116" s="297"/>
      <c r="W116" s="28"/>
      <c r="X116" s="462"/>
      <c r="Y116"/>
      <c r="Z116"/>
    </row>
    <row r="117" spans="1:26" x14ac:dyDescent="0.25">
      <c r="A117" s="461" t="s">
        <v>792</v>
      </c>
      <c r="B117" s="456"/>
      <c r="C117" s="457"/>
      <c r="D117" s="463"/>
      <c r="E117" s="457"/>
      <c r="F117" s="457"/>
      <c r="G117" s="459"/>
      <c r="H117" s="480">
        <v>4.4300000000000006E-2</v>
      </c>
      <c r="I117" s="457">
        <v>888</v>
      </c>
      <c r="J117" s="842">
        <v>5.3228</v>
      </c>
      <c r="K117" s="842">
        <v>7</v>
      </c>
      <c r="L117" s="466">
        <v>20</v>
      </c>
      <c r="M117" s="457">
        <f t="shared" si="13"/>
        <v>7.4519200000000003</v>
      </c>
      <c r="N117" s="457">
        <f t="shared" si="14"/>
        <v>1.8</v>
      </c>
      <c r="O117" s="459">
        <f t="shared" si="15"/>
        <v>9.2519200000000001</v>
      </c>
      <c r="P117" s="456"/>
      <c r="Q117" s="457"/>
      <c r="R117" s="457"/>
      <c r="S117" s="457"/>
      <c r="T117" s="457"/>
      <c r="U117" s="459"/>
      <c r="V117" s="297"/>
      <c r="W117" s="28"/>
      <c r="X117" s="462"/>
      <c r="Y117"/>
      <c r="Z117"/>
    </row>
    <row r="118" spans="1:26" x14ac:dyDescent="0.25">
      <c r="A118" s="461" t="s">
        <v>793</v>
      </c>
      <c r="B118" s="456"/>
      <c r="C118" s="457">
        <v>974</v>
      </c>
      <c r="D118" s="539">
        <v>0.02</v>
      </c>
      <c r="E118" s="457">
        <v>19.48</v>
      </c>
      <c r="F118" s="457">
        <v>4.6900000000000004</v>
      </c>
      <c r="G118" s="459">
        <v>24.17</v>
      </c>
      <c r="H118" s="480">
        <v>9.4999999999999998E-3</v>
      </c>
      <c r="I118" s="457">
        <v>974</v>
      </c>
      <c r="J118" s="842">
        <v>5.8383000000000003</v>
      </c>
      <c r="K118" s="842">
        <v>1.5</v>
      </c>
      <c r="L118" s="466">
        <v>20</v>
      </c>
      <c r="M118" s="457">
        <f t="shared" si="13"/>
        <v>1.75149</v>
      </c>
      <c r="N118" s="457">
        <f t="shared" si="14"/>
        <v>0.42</v>
      </c>
      <c r="O118" s="459">
        <f t="shared" si="15"/>
        <v>2.1714899999999999</v>
      </c>
      <c r="P118" s="456"/>
      <c r="Q118" s="457"/>
      <c r="R118" s="457"/>
      <c r="S118" s="457"/>
      <c r="T118" s="457"/>
      <c r="U118" s="459"/>
      <c r="V118" s="297"/>
      <c r="W118" s="28"/>
      <c r="X118" s="462"/>
      <c r="Y118"/>
      <c r="Z118"/>
    </row>
    <row r="119" spans="1:26" x14ac:dyDescent="0.25">
      <c r="A119" s="461" t="s">
        <v>680</v>
      </c>
      <c r="B119" s="456"/>
      <c r="C119" s="457"/>
      <c r="D119" s="539"/>
      <c r="E119" s="457"/>
      <c r="F119" s="457"/>
      <c r="G119" s="459"/>
      <c r="H119" s="480">
        <v>6.3E-3</v>
      </c>
      <c r="I119" s="457">
        <v>945</v>
      </c>
      <c r="J119" s="842">
        <v>5.6643999999999997</v>
      </c>
      <c r="K119" s="842">
        <v>1</v>
      </c>
      <c r="L119" s="466">
        <v>20</v>
      </c>
      <c r="M119" s="457">
        <f t="shared" si="13"/>
        <v>1.1328799999999999</v>
      </c>
      <c r="N119" s="457">
        <f t="shared" si="14"/>
        <v>0.27</v>
      </c>
      <c r="O119" s="459">
        <f t="shared" si="15"/>
        <v>1.4028799999999999</v>
      </c>
      <c r="P119" s="456"/>
      <c r="Q119" s="457"/>
      <c r="R119" s="457"/>
      <c r="S119" s="457"/>
      <c r="T119" s="457"/>
      <c r="U119" s="459"/>
      <c r="V119" s="297"/>
      <c r="W119" s="28"/>
      <c r="X119" s="462"/>
      <c r="Y119"/>
      <c r="Z119"/>
    </row>
    <row r="120" spans="1:26" x14ac:dyDescent="0.25">
      <c r="A120" s="461" t="s">
        <v>794</v>
      </c>
      <c r="B120" s="456"/>
      <c r="C120" s="457">
        <v>917</v>
      </c>
      <c r="D120" s="539">
        <v>5.0000000000000001E-3</v>
      </c>
      <c r="E120" s="457">
        <v>4.59</v>
      </c>
      <c r="F120" s="457">
        <v>1.1100000000000001</v>
      </c>
      <c r="G120" s="459">
        <v>5.7</v>
      </c>
      <c r="H120" s="480">
        <v>2.2200000000000001E-2</v>
      </c>
      <c r="I120" s="457">
        <v>974</v>
      </c>
      <c r="J120" s="842">
        <v>5.8383000000000003</v>
      </c>
      <c r="K120" s="842">
        <v>3.5</v>
      </c>
      <c r="L120" s="466">
        <v>20</v>
      </c>
      <c r="M120" s="457">
        <f t="shared" si="13"/>
        <v>4.0868099999999998</v>
      </c>
      <c r="N120" s="457">
        <f t="shared" si="14"/>
        <v>0.98</v>
      </c>
      <c r="O120" s="459">
        <f t="shared" si="15"/>
        <v>5.0668100000000003</v>
      </c>
      <c r="P120" s="456"/>
      <c r="Q120" s="457"/>
      <c r="R120" s="457"/>
      <c r="S120" s="457"/>
      <c r="T120" s="457"/>
      <c r="U120" s="459"/>
      <c r="V120" s="297"/>
      <c r="W120" s="28"/>
      <c r="X120" s="462"/>
      <c r="Y120"/>
      <c r="Z120"/>
    </row>
    <row r="121" spans="1:26" x14ac:dyDescent="0.25">
      <c r="A121" s="461" t="s">
        <v>794</v>
      </c>
      <c r="B121" s="456"/>
      <c r="C121" s="457">
        <v>974</v>
      </c>
      <c r="D121" s="539">
        <v>5.0000000000000001E-3</v>
      </c>
      <c r="E121" s="457">
        <v>4.87</v>
      </c>
      <c r="F121" s="457">
        <v>1.17</v>
      </c>
      <c r="G121" s="459">
        <v>6.04</v>
      </c>
      <c r="H121" s="480">
        <v>6.4000000000000003E-3</v>
      </c>
      <c r="I121" s="457">
        <v>974</v>
      </c>
      <c r="J121" s="842">
        <v>5.8383000000000003</v>
      </c>
      <c r="K121" s="842">
        <v>1</v>
      </c>
      <c r="L121" s="466">
        <v>20</v>
      </c>
      <c r="M121" s="457">
        <f t="shared" si="13"/>
        <v>1.1676600000000001</v>
      </c>
      <c r="N121" s="457">
        <f t="shared" si="14"/>
        <v>0.28000000000000003</v>
      </c>
      <c r="O121" s="459">
        <f t="shared" si="15"/>
        <v>1.4476600000000002</v>
      </c>
      <c r="P121" s="456"/>
      <c r="Q121" s="457"/>
      <c r="R121" s="457"/>
      <c r="S121" s="457"/>
      <c r="T121" s="457"/>
      <c r="U121" s="459"/>
      <c r="V121" s="297"/>
      <c r="W121" s="28"/>
      <c r="X121" s="462"/>
      <c r="Y121"/>
      <c r="Z121"/>
    </row>
    <row r="122" spans="1:26" x14ac:dyDescent="0.25">
      <c r="A122" s="461" t="s">
        <v>794</v>
      </c>
      <c r="B122" s="456"/>
      <c r="C122" s="457"/>
      <c r="D122" s="463"/>
      <c r="E122" s="457"/>
      <c r="F122" s="457"/>
      <c r="G122" s="459"/>
      <c r="H122" s="480">
        <v>4.7500000000000001E-2</v>
      </c>
      <c r="I122" s="457">
        <v>917</v>
      </c>
      <c r="J122" s="842">
        <v>5.4965999999999999</v>
      </c>
      <c r="K122" s="842">
        <v>7.5</v>
      </c>
      <c r="L122" s="466">
        <v>20</v>
      </c>
      <c r="M122" s="457">
        <f t="shared" si="13"/>
        <v>8.2448999999999995</v>
      </c>
      <c r="N122" s="457">
        <f t="shared" si="14"/>
        <v>1.99</v>
      </c>
      <c r="O122" s="459">
        <f t="shared" si="15"/>
        <v>10.2349</v>
      </c>
      <c r="P122" s="456"/>
      <c r="Q122" s="457"/>
      <c r="R122" s="457"/>
      <c r="S122" s="457"/>
      <c r="T122" s="457"/>
      <c r="U122" s="459"/>
      <c r="V122" s="297"/>
      <c r="W122" s="28"/>
      <c r="X122" s="462"/>
      <c r="Y122"/>
      <c r="Z122"/>
    </row>
    <row r="123" spans="1:26" x14ac:dyDescent="0.25">
      <c r="A123" s="461" t="s">
        <v>794</v>
      </c>
      <c r="B123" s="456"/>
      <c r="C123" s="457"/>
      <c r="D123" s="463"/>
      <c r="E123" s="457"/>
      <c r="F123" s="457"/>
      <c r="G123" s="459"/>
      <c r="H123" s="480">
        <v>9.4999999999999998E-3</v>
      </c>
      <c r="I123" s="457">
        <v>917</v>
      </c>
      <c r="J123" s="842">
        <v>5.4965999999999999</v>
      </c>
      <c r="K123" s="842">
        <v>1.5</v>
      </c>
      <c r="L123" s="466">
        <v>20</v>
      </c>
      <c r="M123" s="457">
        <f t="shared" si="13"/>
        <v>1.6489799999999999</v>
      </c>
      <c r="N123" s="457">
        <f t="shared" si="14"/>
        <v>0.4</v>
      </c>
      <c r="O123" s="459">
        <f t="shared" si="15"/>
        <v>2.0489799999999998</v>
      </c>
      <c r="P123" s="456"/>
      <c r="Q123" s="457"/>
      <c r="R123" s="457"/>
      <c r="S123" s="457"/>
      <c r="T123" s="457"/>
      <c r="U123" s="459"/>
      <c r="V123" s="297"/>
      <c r="W123" s="28"/>
      <c r="X123" s="462"/>
      <c r="Y123"/>
      <c r="Z123"/>
    </row>
    <row r="124" spans="1:26" x14ac:dyDescent="0.25">
      <c r="A124" s="461" t="s">
        <v>794</v>
      </c>
      <c r="B124" s="456"/>
      <c r="C124" s="457"/>
      <c r="D124" s="463"/>
      <c r="E124" s="457"/>
      <c r="F124" s="457"/>
      <c r="G124" s="459"/>
      <c r="H124" s="480">
        <v>7.6000000000000012E-2</v>
      </c>
      <c r="I124" s="457">
        <v>917</v>
      </c>
      <c r="J124" s="842">
        <v>5.4965999999999999</v>
      </c>
      <c r="K124" s="842">
        <v>12</v>
      </c>
      <c r="L124" s="466">
        <v>20</v>
      </c>
      <c r="M124" s="457">
        <f t="shared" si="13"/>
        <v>13.191839999999999</v>
      </c>
      <c r="N124" s="457">
        <f t="shared" si="14"/>
        <v>3.18</v>
      </c>
      <c r="O124" s="459">
        <f t="shared" si="15"/>
        <v>16.371839999999999</v>
      </c>
      <c r="P124" s="456"/>
      <c r="Q124" s="457"/>
      <c r="R124" s="457"/>
      <c r="S124" s="457"/>
      <c r="T124" s="457"/>
      <c r="U124" s="459"/>
      <c r="V124" s="297"/>
      <c r="W124" s="28"/>
      <c r="X124" s="462"/>
      <c r="Y124"/>
      <c r="Z124"/>
    </row>
    <row r="125" spans="1:26" x14ac:dyDescent="0.25">
      <c r="A125" s="461" t="s">
        <v>794</v>
      </c>
      <c r="B125" s="456"/>
      <c r="C125" s="457"/>
      <c r="D125" s="463"/>
      <c r="E125" s="457"/>
      <c r="F125" s="457"/>
      <c r="G125" s="459"/>
      <c r="H125" s="480">
        <v>2.2200000000000001E-2</v>
      </c>
      <c r="I125" s="457">
        <v>917</v>
      </c>
      <c r="J125" s="842">
        <v>5.4965999999999999</v>
      </c>
      <c r="K125" s="842">
        <v>3.5</v>
      </c>
      <c r="L125" s="466">
        <v>20</v>
      </c>
      <c r="M125" s="457">
        <f t="shared" si="13"/>
        <v>3.84762</v>
      </c>
      <c r="N125" s="457">
        <f t="shared" si="14"/>
        <v>0.93</v>
      </c>
      <c r="O125" s="459">
        <f t="shared" si="15"/>
        <v>4.7776199999999998</v>
      </c>
      <c r="P125" s="456"/>
      <c r="Q125" s="457"/>
      <c r="R125" s="457"/>
      <c r="S125" s="457"/>
      <c r="T125" s="457"/>
      <c r="U125" s="459"/>
      <c r="V125" s="297"/>
      <c r="W125" s="28"/>
      <c r="X125" s="462"/>
      <c r="Y125"/>
      <c r="Z125"/>
    </row>
    <row r="126" spans="1:26" x14ac:dyDescent="0.25">
      <c r="A126" s="461" t="s">
        <v>794</v>
      </c>
      <c r="B126" s="456"/>
      <c r="C126" s="457"/>
      <c r="D126" s="463"/>
      <c r="E126" s="457"/>
      <c r="F126" s="457"/>
      <c r="G126" s="459"/>
      <c r="H126" s="480">
        <v>9.8199999999999996E-2</v>
      </c>
      <c r="I126" s="457">
        <v>974</v>
      </c>
      <c r="J126" s="842">
        <v>5.8383000000000003</v>
      </c>
      <c r="K126" s="842">
        <v>15.5</v>
      </c>
      <c r="L126" s="466">
        <v>20</v>
      </c>
      <c r="M126" s="457">
        <f t="shared" si="13"/>
        <v>18.09873</v>
      </c>
      <c r="N126" s="457">
        <f t="shared" si="14"/>
        <v>4.3600000000000003</v>
      </c>
      <c r="O126" s="459">
        <f t="shared" si="15"/>
        <v>22.458729999999999</v>
      </c>
      <c r="P126" s="456"/>
      <c r="Q126" s="457"/>
      <c r="R126" s="457"/>
      <c r="S126" s="457"/>
      <c r="T126" s="457"/>
      <c r="U126" s="459"/>
      <c r="V126" s="297"/>
      <c r="W126" s="28"/>
      <c r="X126" s="462"/>
      <c r="Y126"/>
      <c r="Z126"/>
    </row>
    <row r="127" spans="1:26" x14ac:dyDescent="0.25">
      <c r="A127" s="461" t="s">
        <v>794</v>
      </c>
      <c r="B127" s="456"/>
      <c r="C127" s="457"/>
      <c r="D127" s="463"/>
      <c r="E127" s="457"/>
      <c r="F127" s="457"/>
      <c r="G127" s="459"/>
      <c r="H127" s="480">
        <v>2.8500000000000001E-2</v>
      </c>
      <c r="I127" s="457">
        <v>974</v>
      </c>
      <c r="J127" s="842">
        <v>5.8383000000000003</v>
      </c>
      <c r="K127" s="842">
        <v>4.5</v>
      </c>
      <c r="L127" s="466">
        <v>20</v>
      </c>
      <c r="M127" s="457">
        <f t="shared" si="13"/>
        <v>5.2544700000000013</v>
      </c>
      <c r="N127" s="457">
        <f t="shared" si="14"/>
        <v>1.27</v>
      </c>
      <c r="O127" s="459">
        <f t="shared" si="15"/>
        <v>6.5244700000000009</v>
      </c>
      <c r="P127" s="456"/>
      <c r="Q127" s="457"/>
      <c r="R127" s="457"/>
      <c r="S127" s="457"/>
      <c r="T127" s="457"/>
      <c r="U127" s="459"/>
      <c r="V127" s="297"/>
      <c r="W127" s="28"/>
      <c r="X127" s="462"/>
      <c r="Y127"/>
      <c r="Z127"/>
    </row>
    <row r="128" spans="1:26" x14ac:dyDescent="0.25">
      <c r="A128" s="461" t="s">
        <v>794</v>
      </c>
      <c r="B128" s="456"/>
      <c r="C128" s="457"/>
      <c r="D128" s="463"/>
      <c r="E128" s="457"/>
      <c r="F128" s="457"/>
      <c r="G128" s="459"/>
      <c r="H128" s="480">
        <v>4.1099999999999998E-2</v>
      </c>
      <c r="I128" s="457">
        <v>974</v>
      </c>
      <c r="J128" s="842">
        <v>5.8383000000000003</v>
      </c>
      <c r="K128" s="842">
        <v>6.5</v>
      </c>
      <c r="L128" s="466">
        <v>20</v>
      </c>
      <c r="M128" s="457">
        <f t="shared" si="13"/>
        <v>7.5897900000000007</v>
      </c>
      <c r="N128" s="457">
        <f t="shared" si="14"/>
        <v>1.83</v>
      </c>
      <c r="O128" s="459">
        <f t="shared" si="15"/>
        <v>9.4197900000000008</v>
      </c>
      <c r="P128" s="456"/>
      <c r="Q128" s="457"/>
      <c r="R128" s="457"/>
      <c r="S128" s="457"/>
      <c r="T128" s="457"/>
      <c r="U128" s="459"/>
      <c r="V128" s="297"/>
      <c r="W128" s="28"/>
      <c r="X128" s="462"/>
      <c r="Y128"/>
      <c r="Z128"/>
    </row>
    <row r="129" spans="1:26" x14ac:dyDescent="0.25">
      <c r="A129" s="461" t="s">
        <v>794</v>
      </c>
      <c r="B129" s="456"/>
      <c r="C129" s="457"/>
      <c r="D129" s="463"/>
      <c r="E129" s="457"/>
      <c r="F129" s="457"/>
      <c r="G129" s="459"/>
      <c r="H129" s="480">
        <v>3.2000000000000002E-3</v>
      </c>
      <c r="I129" s="457">
        <v>974</v>
      </c>
      <c r="J129" s="842">
        <v>5.8383000000000003</v>
      </c>
      <c r="K129" s="842">
        <v>0.5</v>
      </c>
      <c r="L129" s="466">
        <v>20</v>
      </c>
      <c r="M129" s="457">
        <f t="shared" si="13"/>
        <v>0.58383000000000007</v>
      </c>
      <c r="N129" s="457">
        <f t="shared" si="14"/>
        <v>0.14000000000000001</v>
      </c>
      <c r="O129" s="459">
        <f t="shared" si="15"/>
        <v>0.72383000000000008</v>
      </c>
      <c r="P129" s="456"/>
      <c r="Q129" s="457"/>
      <c r="R129" s="457"/>
      <c r="S129" s="457"/>
      <c r="T129" s="457"/>
      <c r="U129" s="459"/>
      <c r="V129" s="297"/>
      <c r="W129" s="28"/>
      <c r="X129" s="462"/>
      <c r="Y129"/>
      <c r="Z129"/>
    </row>
    <row r="130" spans="1:26" x14ac:dyDescent="0.25">
      <c r="A130" s="461" t="s">
        <v>794</v>
      </c>
      <c r="B130" s="456"/>
      <c r="C130" s="457"/>
      <c r="D130" s="463"/>
      <c r="E130" s="457"/>
      <c r="F130" s="457"/>
      <c r="G130" s="459"/>
      <c r="H130" s="480">
        <v>7.5900000000000009E-2</v>
      </c>
      <c r="I130" s="457">
        <v>917</v>
      </c>
      <c r="J130" s="842">
        <v>5.4965999999999999</v>
      </c>
      <c r="K130" s="842">
        <v>12</v>
      </c>
      <c r="L130" s="466">
        <v>20</v>
      </c>
      <c r="M130" s="457">
        <f t="shared" si="13"/>
        <v>13.191839999999999</v>
      </c>
      <c r="N130" s="457">
        <f t="shared" si="14"/>
        <v>3.18</v>
      </c>
      <c r="O130" s="459">
        <f t="shared" si="15"/>
        <v>16.371839999999999</v>
      </c>
      <c r="P130" s="456"/>
      <c r="Q130" s="457"/>
      <c r="R130" s="457"/>
      <c r="S130" s="457"/>
      <c r="T130" s="457"/>
      <c r="U130" s="459"/>
      <c r="V130" s="297"/>
      <c r="W130" s="28"/>
      <c r="X130" s="462"/>
      <c r="Y130"/>
      <c r="Z130"/>
    </row>
    <row r="131" spans="1:26" x14ac:dyDescent="0.25">
      <c r="A131" s="461" t="s">
        <v>794</v>
      </c>
      <c r="B131" s="456"/>
      <c r="C131" s="457"/>
      <c r="D131" s="463"/>
      <c r="E131" s="457"/>
      <c r="F131" s="457"/>
      <c r="G131" s="459"/>
      <c r="H131" s="480">
        <v>2.5300000000000003E-2</v>
      </c>
      <c r="I131" s="457">
        <v>917</v>
      </c>
      <c r="J131" s="842">
        <v>5.4965999999999999</v>
      </c>
      <c r="K131" s="842">
        <v>4</v>
      </c>
      <c r="L131" s="466">
        <v>20</v>
      </c>
      <c r="M131" s="457">
        <f t="shared" si="13"/>
        <v>4.3972800000000003</v>
      </c>
      <c r="N131" s="457">
        <f t="shared" si="14"/>
        <v>1.06</v>
      </c>
      <c r="O131" s="459">
        <f t="shared" si="15"/>
        <v>5.4572800000000008</v>
      </c>
      <c r="P131" s="456"/>
      <c r="Q131" s="457"/>
      <c r="R131" s="457"/>
      <c r="S131" s="457"/>
      <c r="T131" s="457"/>
      <c r="U131" s="459"/>
      <c r="V131" s="297"/>
      <c r="W131" s="28"/>
      <c r="X131" s="462"/>
      <c r="Y131"/>
      <c r="Z131"/>
    </row>
    <row r="132" spans="1:26" x14ac:dyDescent="0.25">
      <c r="A132" s="461" t="s">
        <v>795</v>
      </c>
      <c r="B132" s="464"/>
      <c r="C132" s="465"/>
      <c r="D132" s="465"/>
      <c r="E132" s="465"/>
      <c r="F132" s="457"/>
      <c r="G132" s="459"/>
      <c r="H132" s="481">
        <v>6.3E-3</v>
      </c>
      <c r="I132" s="465">
        <v>945</v>
      </c>
      <c r="J132" s="842">
        <v>5.6643999999999997</v>
      </c>
      <c r="K132" s="842">
        <v>1</v>
      </c>
      <c r="L132" s="466">
        <v>20</v>
      </c>
      <c r="M132" s="457">
        <f t="shared" si="13"/>
        <v>1.1328799999999999</v>
      </c>
      <c r="N132" s="457">
        <f t="shared" si="14"/>
        <v>0.27</v>
      </c>
      <c r="O132" s="459">
        <f t="shared" si="15"/>
        <v>1.4028799999999999</v>
      </c>
      <c r="P132" s="456"/>
      <c r="Q132" s="457"/>
      <c r="R132" s="457"/>
      <c r="S132" s="457"/>
      <c r="T132" s="457"/>
      <c r="U132" s="459"/>
      <c r="V132" s="297"/>
      <c r="W132" s="28"/>
      <c r="X132" s="462"/>
      <c r="Y132"/>
      <c r="Z132"/>
    </row>
    <row r="133" spans="1:26" x14ac:dyDescent="0.25">
      <c r="A133" s="461" t="s">
        <v>231</v>
      </c>
      <c r="B133" s="464"/>
      <c r="C133" s="465">
        <v>945</v>
      </c>
      <c r="D133" s="465">
        <v>5.0000000000000001E-3</v>
      </c>
      <c r="E133" s="465">
        <v>4.7300000000000004</v>
      </c>
      <c r="F133" s="457">
        <v>1.1399999999999999</v>
      </c>
      <c r="G133" s="459">
        <v>5.87</v>
      </c>
      <c r="H133" s="481">
        <v>1.0800000000000001E-2</v>
      </c>
      <c r="I133" s="465">
        <v>945</v>
      </c>
      <c r="J133" s="842">
        <v>6.4762000000000004</v>
      </c>
      <c r="K133" s="842">
        <v>1.5</v>
      </c>
      <c r="L133" s="466">
        <v>20</v>
      </c>
      <c r="M133" s="457">
        <f t="shared" si="13"/>
        <v>1.9428600000000003</v>
      </c>
      <c r="N133" s="457">
        <f t="shared" si="14"/>
        <v>0.47</v>
      </c>
      <c r="O133" s="459">
        <f t="shared" si="15"/>
        <v>2.4128600000000002</v>
      </c>
      <c r="P133" s="456"/>
      <c r="Q133" s="457"/>
      <c r="R133" s="457"/>
      <c r="S133" s="457"/>
      <c r="T133" s="457"/>
      <c r="U133" s="459"/>
      <c r="V133" s="297"/>
      <c r="W133" s="28"/>
      <c r="X133" s="462"/>
      <c r="Y133"/>
      <c r="Z133"/>
    </row>
    <row r="134" spans="1:26" x14ac:dyDescent="0.25">
      <c r="A134" s="461" t="s">
        <v>231</v>
      </c>
      <c r="B134" s="464"/>
      <c r="C134" s="465">
        <v>945</v>
      </c>
      <c r="D134" s="465">
        <v>0.02</v>
      </c>
      <c r="E134" s="465">
        <v>18.899999999999999</v>
      </c>
      <c r="F134" s="457">
        <v>4.55</v>
      </c>
      <c r="G134" s="459">
        <v>23.45</v>
      </c>
      <c r="H134" s="481"/>
      <c r="I134" s="465"/>
      <c r="J134" s="844"/>
      <c r="K134" s="844"/>
      <c r="L134" s="466"/>
      <c r="M134" s="457">
        <f t="shared" si="13"/>
        <v>0</v>
      </c>
      <c r="N134" s="457"/>
      <c r="O134" s="459"/>
      <c r="P134" s="456"/>
      <c r="Q134" s="457"/>
      <c r="R134" s="457"/>
      <c r="S134" s="457"/>
      <c r="T134" s="457"/>
      <c r="U134" s="459"/>
      <c r="V134" s="297"/>
      <c r="W134" s="28"/>
      <c r="X134" s="462"/>
      <c r="Y134"/>
      <c r="Z134"/>
    </row>
    <row r="135" spans="1:26" x14ac:dyDescent="0.25">
      <c r="A135" s="461" t="s">
        <v>231</v>
      </c>
      <c r="B135" s="464"/>
      <c r="C135" s="465">
        <v>945</v>
      </c>
      <c r="D135" s="465">
        <v>5.0000000000000001E-3</v>
      </c>
      <c r="E135" s="465">
        <v>4.7300000000000004</v>
      </c>
      <c r="F135" s="457">
        <v>1.1399999999999999</v>
      </c>
      <c r="G135" s="459">
        <v>5.87</v>
      </c>
      <c r="H135" s="481"/>
      <c r="I135" s="465"/>
      <c r="J135" s="844"/>
      <c r="K135" s="844"/>
      <c r="L135" s="466"/>
      <c r="M135" s="457">
        <f t="shared" si="13"/>
        <v>0</v>
      </c>
      <c r="N135" s="457"/>
      <c r="O135" s="459"/>
      <c r="P135" s="456"/>
      <c r="Q135" s="457"/>
      <c r="R135" s="457"/>
      <c r="S135" s="457"/>
      <c r="T135" s="457"/>
      <c r="U135" s="459"/>
      <c r="V135" s="297"/>
      <c r="W135" s="28"/>
      <c r="X135" s="462"/>
      <c r="Y135"/>
      <c r="Z135"/>
    </row>
    <row r="136" spans="1:26" x14ac:dyDescent="0.25">
      <c r="A136" s="461" t="s">
        <v>231</v>
      </c>
      <c r="B136" s="464"/>
      <c r="C136" s="465">
        <v>945</v>
      </c>
      <c r="D136" s="465">
        <v>5.0000000000000001E-3</v>
      </c>
      <c r="E136" s="465">
        <v>4.7300000000000004</v>
      </c>
      <c r="F136" s="457">
        <v>1.1399999999999999</v>
      </c>
      <c r="G136" s="459">
        <v>5.87</v>
      </c>
      <c r="H136" s="481"/>
      <c r="I136" s="465"/>
      <c r="J136" s="844"/>
      <c r="K136" s="844"/>
      <c r="L136" s="466"/>
      <c r="M136" s="457">
        <f t="shared" si="13"/>
        <v>0</v>
      </c>
      <c r="N136" s="457"/>
      <c r="O136" s="459"/>
      <c r="P136" s="456"/>
      <c r="Q136" s="457"/>
      <c r="R136" s="457"/>
      <c r="S136" s="457"/>
      <c r="T136" s="457"/>
      <c r="U136" s="459"/>
      <c r="V136" s="297"/>
      <c r="W136" s="28"/>
      <c r="X136" s="462"/>
      <c r="Y136"/>
      <c r="Z136"/>
    </row>
    <row r="137" spans="1:26" x14ac:dyDescent="0.25">
      <c r="A137" s="461" t="s">
        <v>231</v>
      </c>
      <c r="B137" s="464"/>
      <c r="C137" s="465">
        <v>945</v>
      </c>
      <c r="D137" s="465">
        <v>5.0000000000000001E-3</v>
      </c>
      <c r="E137" s="465">
        <v>4.7300000000000004</v>
      </c>
      <c r="F137" s="457">
        <v>1.1399999999999999</v>
      </c>
      <c r="G137" s="459">
        <v>5.87</v>
      </c>
      <c r="H137" s="481">
        <v>1.0800000000000001E-2</v>
      </c>
      <c r="I137" s="465">
        <v>945</v>
      </c>
      <c r="J137" s="842">
        <v>6.8478000000000003</v>
      </c>
      <c r="K137" s="842">
        <v>1.5</v>
      </c>
      <c r="L137" s="466">
        <v>20</v>
      </c>
      <c r="M137" s="457">
        <f t="shared" si="13"/>
        <v>2.0543400000000003</v>
      </c>
      <c r="N137" s="457">
        <f t="shared" si="14"/>
        <v>0.49</v>
      </c>
      <c r="O137" s="459">
        <f t="shared" si="15"/>
        <v>2.54434</v>
      </c>
      <c r="P137" s="456"/>
      <c r="Q137" s="457"/>
      <c r="R137" s="457"/>
      <c r="S137" s="457"/>
      <c r="T137" s="457"/>
      <c r="U137" s="459"/>
      <c r="V137" s="297"/>
      <c r="W137" s="28"/>
      <c r="X137" s="462"/>
      <c r="Y137"/>
      <c r="Z137"/>
    </row>
    <row r="138" spans="1:26" x14ac:dyDescent="0.25">
      <c r="A138" s="461" t="s">
        <v>231</v>
      </c>
      <c r="B138" s="464"/>
      <c r="C138" s="465">
        <v>945</v>
      </c>
      <c r="D138" s="465">
        <v>5.0000000000000001E-3</v>
      </c>
      <c r="E138" s="465">
        <v>4.7300000000000004</v>
      </c>
      <c r="F138" s="457">
        <v>1.1399999999999999</v>
      </c>
      <c r="G138" s="459">
        <v>5.87</v>
      </c>
      <c r="H138" s="481">
        <v>1.44E-2</v>
      </c>
      <c r="I138" s="465">
        <v>945</v>
      </c>
      <c r="J138" s="842">
        <v>6.4762000000000004</v>
      </c>
      <c r="K138" s="842">
        <v>2</v>
      </c>
      <c r="L138" s="466">
        <v>20</v>
      </c>
      <c r="M138" s="457">
        <f t="shared" si="13"/>
        <v>2.5904799999999999</v>
      </c>
      <c r="N138" s="457">
        <f t="shared" si="14"/>
        <v>0.62</v>
      </c>
      <c r="O138" s="459">
        <f t="shared" si="15"/>
        <v>3.21048</v>
      </c>
      <c r="P138" s="456"/>
      <c r="Q138" s="457"/>
      <c r="R138" s="457"/>
      <c r="S138" s="457"/>
      <c r="T138" s="457"/>
      <c r="U138" s="459"/>
      <c r="V138" s="297"/>
      <c r="W138" s="28"/>
      <c r="X138" s="462"/>
      <c r="Y138"/>
      <c r="Z138"/>
    </row>
    <row r="139" spans="1:26" x14ac:dyDescent="0.25">
      <c r="A139" s="461" t="s">
        <v>231</v>
      </c>
      <c r="B139" s="464"/>
      <c r="C139" s="465">
        <v>888</v>
      </c>
      <c r="D139" s="465">
        <v>5.0000000000000001E-3</v>
      </c>
      <c r="E139" s="465">
        <v>4.4400000000000004</v>
      </c>
      <c r="F139" s="457">
        <v>1.07</v>
      </c>
      <c r="G139" s="459">
        <v>5.5100000000000007</v>
      </c>
      <c r="H139" s="481">
        <v>2.52E-2</v>
      </c>
      <c r="I139" s="465">
        <v>945</v>
      </c>
      <c r="J139" s="842">
        <v>6.4762000000000004</v>
      </c>
      <c r="K139" s="842">
        <v>3.5</v>
      </c>
      <c r="L139" s="466">
        <v>20</v>
      </c>
      <c r="M139" s="457">
        <f t="shared" si="13"/>
        <v>4.5333400000000008</v>
      </c>
      <c r="N139" s="457">
        <f t="shared" si="14"/>
        <v>1.0900000000000001</v>
      </c>
      <c r="O139" s="459">
        <f t="shared" si="15"/>
        <v>5.6233400000000007</v>
      </c>
      <c r="P139" s="456"/>
      <c r="Q139" s="457"/>
      <c r="R139" s="457"/>
      <c r="S139" s="457"/>
      <c r="T139" s="457"/>
      <c r="U139" s="459"/>
      <c r="V139" s="297"/>
      <c r="W139" s="28"/>
      <c r="X139" s="462"/>
      <c r="Y139"/>
      <c r="Z139"/>
    </row>
    <row r="140" spans="1:26" x14ac:dyDescent="0.25">
      <c r="A140" s="461" t="s">
        <v>231</v>
      </c>
      <c r="B140" s="464"/>
      <c r="C140" s="465">
        <v>945</v>
      </c>
      <c r="D140" s="465">
        <v>5.0000000000000001E-3</v>
      </c>
      <c r="E140" s="465">
        <v>4.7300000000000004</v>
      </c>
      <c r="F140" s="457">
        <v>1.1399999999999999</v>
      </c>
      <c r="G140" s="459">
        <v>5.87</v>
      </c>
      <c r="H140" s="481">
        <v>1.44E-2</v>
      </c>
      <c r="I140" s="465">
        <v>888</v>
      </c>
      <c r="J140" s="842">
        <v>6.4348000000000001</v>
      </c>
      <c r="K140" s="842">
        <v>2</v>
      </c>
      <c r="L140" s="466">
        <v>20</v>
      </c>
      <c r="M140" s="457">
        <f t="shared" ref="M140:M203" si="16">J140*K140*L140/100</f>
        <v>2.5739199999999998</v>
      </c>
      <c r="N140" s="457">
        <f t="shared" si="14"/>
        <v>0.62</v>
      </c>
      <c r="O140" s="459">
        <f t="shared" si="15"/>
        <v>3.1939199999999999</v>
      </c>
      <c r="P140" s="456"/>
      <c r="Q140" s="457"/>
      <c r="R140" s="457"/>
      <c r="S140" s="457"/>
      <c r="T140" s="457"/>
      <c r="U140" s="459"/>
      <c r="V140" s="297"/>
      <c r="W140" s="28"/>
      <c r="X140" s="462"/>
      <c r="Y140"/>
      <c r="Z140"/>
    </row>
    <row r="141" spans="1:26" x14ac:dyDescent="0.25">
      <c r="A141" s="461" t="s">
        <v>796</v>
      </c>
      <c r="B141" s="464"/>
      <c r="C141" s="465">
        <v>1041</v>
      </c>
      <c r="D141" s="465">
        <v>0.02</v>
      </c>
      <c r="E141" s="465">
        <v>20.82</v>
      </c>
      <c r="F141" s="457">
        <v>5.0199999999999996</v>
      </c>
      <c r="G141" s="459">
        <v>25.84</v>
      </c>
      <c r="H141" s="481">
        <v>1.4499999999999999E-2</v>
      </c>
      <c r="I141" s="465">
        <v>1041</v>
      </c>
      <c r="J141" s="842">
        <v>7.5434999999999999</v>
      </c>
      <c r="K141" s="842">
        <v>2</v>
      </c>
      <c r="L141" s="466">
        <v>20</v>
      </c>
      <c r="M141" s="457">
        <f t="shared" si="16"/>
        <v>3.0174000000000003</v>
      </c>
      <c r="N141" s="457">
        <f t="shared" si="14"/>
        <v>0.73</v>
      </c>
      <c r="O141" s="459">
        <f t="shared" si="15"/>
        <v>3.7474000000000003</v>
      </c>
      <c r="P141" s="456"/>
      <c r="Q141" s="457"/>
      <c r="R141" s="457"/>
      <c r="S141" s="457"/>
      <c r="T141" s="457"/>
      <c r="U141" s="459"/>
      <c r="V141" s="297"/>
      <c r="W141" s="28"/>
      <c r="X141" s="462"/>
      <c r="Y141"/>
      <c r="Z141"/>
    </row>
    <row r="142" spans="1:26" ht="47.25" x14ac:dyDescent="0.25">
      <c r="A142" s="450" t="s">
        <v>13</v>
      </c>
      <c r="B142" s="451"/>
      <c r="C142" s="453"/>
      <c r="D142" s="453"/>
      <c r="E142" s="453">
        <f>SUM(E143:E170)</f>
        <v>205.11</v>
      </c>
      <c r="F142" s="453">
        <f t="shared" ref="F142:G142" si="17">SUM(F143:F170)</f>
        <v>49.419999999999995</v>
      </c>
      <c r="G142" s="453">
        <f t="shared" si="17"/>
        <v>254.53000000000006</v>
      </c>
      <c r="H142" s="452">
        <f t="shared" ref="H142" si="18">SUM(H143:H170)</f>
        <v>5.6147000000000009</v>
      </c>
      <c r="I142" s="452"/>
      <c r="J142" s="845"/>
      <c r="K142" s="845"/>
      <c r="L142" s="452"/>
      <c r="M142" s="457">
        <f t="shared" si="16"/>
        <v>0</v>
      </c>
      <c r="N142" s="452">
        <f t="shared" ref="N142:O142" si="19">SUM(N143:N170)</f>
        <v>198.26999999999995</v>
      </c>
      <c r="O142" s="841">
        <f t="shared" si="19"/>
        <v>1021.3173000000002</v>
      </c>
      <c r="P142" s="451"/>
      <c r="Q142" s="457"/>
      <c r="R142" s="457"/>
      <c r="S142" s="457"/>
      <c r="T142" s="452"/>
      <c r="U142" s="467"/>
      <c r="V142" s="297"/>
      <c r="W142" s="28"/>
    </row>
    <row r="143" spans="1:26" x14ac:dyDescent="0.25">
      <c r="A143" s="461" t="s">
        <v>156</v>
      </c>
      <c r="B143" s="456"/>
      <c r="C143" s="457">
        <v>774</v>
      </c>
      <c r="D143" s="539">
        <v>0.06</v>
      </c>
      <c r="E143" s="457">
        <v>46.44</v>
      </c>
      <c r="F143" s="457">
        <v>11.19</v>
      </c>
      <c r="G143" s="459">
        <v>57.629999999999995</v>
      </c>
      <c r="H143" s="480">
        <v>0.12969999999999998</v>
      </c>
      <c r="I143" s="457">
        <v>774</v>
      </c>
      <c r="J143" s="842">
        <v>4.6395</v>
      </c>
      <c r="K143" s="842">
        <v>20.5</v>
      </c>
      <c r="L143" s="460">
        <v>20</v>
      </c>
      <c r="M143" s="457">
        <f t="shared" si="16"/>
        <v>19.02195</v>
      </c>
      <c r="N143" s="457">
        <f t="shared" si="14"/>
        <v>4.58</v>
      </c>
      <c r="O143" s="459">
        <f t="shared" ref="O143:O170" si="20">M143+N143</f>
        <v>23.601950000000002</v>
      </c>
      <c r="P143" s="456"/>
      <c r="Q143" s="457"/>
      <c r="R143" s="457"/>
      <c r="S143" s="457"/>
      <c r="T143" s="470"/>
      <c r="U143" s="471"/>
      <c r="V143" s="297"/>
      <c r="W143" s="28"/>
      <c r="X143" s="462"/>
      <c r="Y143"/>
      <c r="Z143"/>
    </row>
    <row r="144" spans="1:26" x14ac:dyDescent="0.25">
      <c r="A144" s="461" t="s">
        <v>156</v>
      </c>
      <c r="B144" s="456"/>
      <c r="C144" s="457">
        <v>774</v>
      </c>
      <c r="D144" s="539">
        <v>0.04</v>
      </c>
      <c r="E144" s="457">
        <v>30.96</v>
      </c>
      <c r="F144" s="457">
        <v>7.46</v>
      </c>
      <c r="G144" s="459">
        <v>38.42</v>
      </c>
      <c r="H144" s="480">
        <v>2.86E-2</v>
      </c>
      <c r="I144" s="457">
        <v>774</v>
      </c>
      <c r="J144" s="842">
        <v>4.6395</v>
      </c>
      <c r="K144" s="842">
        <v>4.5</v>
      </c>
      <c r="L144" s="460">
        <v>20</v>
      </c>
      <c r="M144" s="457">
        <f t="shared" si="16"/>
        <v>4.1755499999999994</v>
      </c>
      <c r="N144" s="457">
        <f t="shared" si="14"/>
        <v>1.01</v>
      </c>
      <c r="O144" s="459">
        <f t="shared" si="20"/>
        <v>5.1855499999999992</v>
      </c>
      <c r="P144" s="456"/>
      <c r="Q144" s="457"/>
      <c r="R144" s="457"/>
      <c r="S144" s="457"/>
      <c r="T144" s="470"/>
      <c r="U144" s="471"/>
      <c r="V144" s="297"/>
      <c r="W144" s="28"/>
      <c r="X144" s="462"/>
      <c r="Y144"/>
      <c r="Z144"/>
    </row>
    <row r="145" spans="1:26" x14ac:dyDescent="0.25">
      <c r="A145" s="461" t="s">
        <v>156</v>
      </c>
      <c r="B145" s="456"/>
      <c r="C145" s="457">
        <v>774</v>
      </c>
      <c r="D145" s="539">
        <v>0.04</v>
      </c>
      <c r="E145" s="457">
        <v>30.96</v>
      </c>
      <c r="F145" s="457">
        <v>7.46</v>
      </c>
      <c r="G145" s="459">
        <v>38.42</v>
      </c>
      <c r="H145" s="480">
        <v>0.13919999999999999</v>
      </c>
      <c r="I145" s="457">
        <v>774</v>
      </c>
      <c r="J145" s="842">
        <v>4.6395</v>
      </c>
      <c r="K145" s="842">
        <v>22</v>
      </c>
      <c r="L145" s="460">
        <v>20</v>
      </c>
      <c r="M145" s="457">
        <f t="shared" si="16"/>
        <v>20.413800000000002</v>
      </c>
      <c r="N145" s="457">
        <f t="shared" si="14"/>
        <v>4.92</v>
      </c>
      <c r="O145" s="459">
        <f t="shared" si="20"/>
        <v>25.333800000000004</v>
      </c>
      <c r="P145" s="456"/>
      <c r="Q145" s="457"/>
      <c r="R145" s="457"/>
      <c r="S145" s="457"/>
      <c r="T145" s="470"/>
      <c r="U145" s="471"/>
      <c r="V145" s="297"/>
      <c r="W145" s="28"/>
      <c r="X145" s="462"/>
      <c r="Y145"/>
      <c r="Z145"/>
    </row>
    <row r="146" spans="1:26" x14ac:dyDescent="0.25">
      <c r="A146" s="461" t="s">
        <v>156</v>
      </c>
      <c r="B146" s="456"/>
      <c r="C146" s="457">
        <v>774</v>
      </c>
      <c r="D146" s="539">
        <v>0.02</v>
      </c>
      <c r="E146" s="457">
        <v>15.48</v>
      </c>
      <c r="F146" s="457">
        <v>3.73</v>
      </c>
      <c r="G146" s="459">
        <v>19.21</v>
      </c>
      <c r="H146" s="480">
        <v>0.4526</v>
      </c>
      <c r="I146" s="457">
        <v>774</v>
      </c>
      <c r="J146" s="842">
        <v>4.6395</v>
      </c>
      <c r="K146" s="842">
        <v>71.5</v>
      </c>
      <c r="L146" s="460">
        <v>20</v>
      </c>
      <c r="M146" s="457">
        <f t="shared" si="16"/>
        <v>66.344849999999994</v>
      </c>
      <c r="N146" s="457">
        <f t="shared" si="14"/>
        <v>15.98</v>
      </c>
      <c r="O146" s="459">
        <f t="shared" si="20"/>
        <v>82.324849999999998</v>
      </c>
      <c r="P146" s="456"/>
      <c r="Q146" s="457"/>
      <c r="R146" s="457"/>
      <c r="S146" s="457"/>
      <c r="T146" s="470"/>
      <c r="U146" s="471"/>
      <c r="V146" s="297"/>
      <c r="W146" s="28"/>
      <c r="X146" s="462"/>
      <c r="Y146"/>
      <c r="Z146"/>
    </row>
    <row r="147" spans="1:26" x14ac:dyDescent="0.25">
      <c r="A147" s="461" t="s">
        <v>156</v>
      </c>
      <c r="B147" s="456"/>
      <c r="C147" s="457">
        <v>774</v>
      </c>
      <c r="D147" s="539">
        <v>0.04</v>
      </c>
      <c r="E147" s="457">
        <v>30.96</v>
      </c>
      <c r="F147" s="457">
        <v>7.46</v>
      </c>
      <c r="G147" s="459">
        <v>38.42</v>
      </c>
      <c r="H147" s="480">
        <v>7.279999999999999E-2</v>
      </c>
      <c r="I147" s="457">
        <v>774</v>
      </c>
      <c r="J147" s="842">
        <v>4.6395</v>
      </c>
      <c r="K147" s="842">
        <v>11.5</v>
      </c>
      <c r="L147" s="460">
        <v>20</v>
      </c>
      <c r="M147" s="457">
        <f t="shared" si="16"/>
        <v>10.67085</v>
      </c>
      <c r="N147" s="457">
        <f t="shared" si="14"/>
        <v>2.57</v>
      </c>
      <c r="O147" s="459">
        <f t="shared" si="20"/>
        <v>13.24085</v>
      </c>
      <c r="P147" s="456"/>
      <c r="Q147" s="457"/>
      <c r="R147" s="457"/>
      <c r="S147" s="457"/>
      <c r="T147" s="470"/>
      <c r="U147" s="471"/>
      <c r="V147" s="297"/>
      <c r="W147" s="28"/>
      <c r="X147" s="462"/>
      <c r="Y147"/>
      <c r="Z147"/>
    </row>
    <row r="148" spans="1:26" x14ac:dyDescent="0.25">
      <c r="A148" s="461" t="s">
        <v>156</v>
      </c>
      <c r="B148" s="456"/>
      <c r="C148" s="457">
        <v>774</v>
      </c>
      <c r="D148" s="539">
        <v>0.04</v>
      </c>
      <c r="E148" s="457">
        <v>30.96</v>
      </c>
      <c r="F148" s="457">
        <v>7.46</v>
      </c>
      <c r="G148" s="459">
        <v>38.42</v>
      </c>
      <c r="H148" s="480">
        <v>0.37030000000000002</v>
      </c>
      <c r="I148" s="457">
        <v>774</v>
      </c>
      <c r="J148" s="842">
        <v>4.6395</v>
      </c>
      <c r="K148" s="842">
        <v>58.5</v>
      </c>
      <c r="L148" s="460">
        <v>20</v>
      </c>
      <c r="M148" s="457">
        <f t="shared" si="16"/>
        <v>54.282150000000001</v>
      </c>
      <c r="N148" s="457">
        <f t="shared" si="14"/>
        <v>13.08</v>
      </c>
      <c r="O148" s="459">
        <f t="shared" si="20"/>
        <v>67.36215</v>
      </c>
      <c r="P148" s="456"/>
      <c r="Q148" s="457"/>
      <c r="R148" s="457"/>
      <c r="S148" s="457"/>
      <c r="T148" s="470"/>
      <c r="U148" s="471"/>
      <c r="V148" s="297"/>
      <c r="W148" s="28"/>
      <c r="X148" s="462"/>
      <c r="Y148"/>
      <c r="Z148"/>
    </row>
    <row r="149" spans="1:26" x14ac:dyDescent="0.25">
      <c r="A149" s="461" t="s">
        <v>156</v>
      </c>
      <c r="B149" s="456"/>
      <c r="C149" s="457">
        <v>774</v>
      </c>
      <c r="D149" s="539">
        <v>0.02</v>
      </c>
      <c r="E149" s="457">
        <v>15.48</v>
      </c>
      <c r="F149" s="457">
        <v>3.73</v>
      </c>
      <c r="G149" s="459">
        <v>19.21</v>
      </c>
      <c r="H149" s="480">
        <v>7.5899999999999995E-2</v>
      </c>
      <c r="I149" s="457">
        <v>774</v>
      </c>
      <c r="J149" s="842">
        <v>4.6395</v>
      </c>
      <c r="K149" s="842">
        <v>12</v>
      </c>
      <c r="L149" s="460">
        <v>20</v>
      </c>
      <c r="M149" s="457">
        <f t="shared" si="16"/>
        <v>11.1348</v>
      </c>
      <c r="N149" s="457">
        <f t="shared" si="14"/>
        <v>2.68</v>
      </c>
      <c r="O149" s="459">
        <f t="shared" si="20"/>
        <v>13.8148</v>
      </c>
      <c r="P149" s="456"/>
      <c r="Q149" s="457"/>
      <c r="R149" s="457"/>
      <c r="S149" s="457"/>
      <c r="T149" s="470"/>
      <c r="U149" s="471"/>
      <c r="V149" s="297"/>
      <c r="W149" s="28"/>
      <c r="X149" s="462"/>
      <c r="Y149"/>
      <c r="Z149"/>
    </row>
    <row r="150" spans="1:26" x14ac:dyDescent="0.25">
      <c r="A150" s="461" t="s">
        <v>156</v>
      </c>
      <c r="B150" s="456"/>
      <c r="C150" s="457">
        <v>774</v>
      </c>
      <c r="D150" s="539">
        <v>5.0000000000000001E-3</v>
      </c>
      <c r="E150" s="457">
        <v>3.87</v>
      </c>
      <c r="F150" s="457">
        <v>0.93</v>
      </c>
      <c r="G150" s="459">
        <v>4.8</v>
      </c>
      <c r="H150" s="480">
        <v>0.1298</v>
      </c>
      <c r="I150" s="457">
        <v>774</v>
      </c>
      <c r="J150" s="842">
        <v>4.6395</v>
      </c>
      <c r="K150" s="842">
        <v>20.5</v>
      </c>
      <c r="L150" s="460">
        <v>20</v>
      </c>
      <c r="M150" s="457">
        <f t="shared" si="16"/>
        <v>19.02195</v>
      </c>
      <c r="N150" s="457">
        <f t="shared" ref="N150:N213" si="21">ROUND(M150*0.2409,2)</f>
        <v>4.58</v>
      </c>
      <c r="O150" s="459">
        <f t="shared" si="20"/>
        <v>23.601950000000002</v>
      </c>
      <c r="P150" s="456"/>
      <c r="Q150" s="457"/>
      <c r="R150" s="457"/>
      <c r="S150" s="457"/>
      <c r="T150" s="470"/>
      <c r="U150" s="471"/>
      <c r="V150" s="297"/>
      <c r="W150" s="28"/>
      <c r="X150" s="462"/>
      <c r="Y150"/>
      <c r="Z150"/>
    </row>
    <row r="151" spans="1:26" x14ac:dyDescent="0.25">
      <c r="A151" s="461" t="s">
        <v>156</v>
      </c>
      <c r="B151" s="456"/>
      <c r="C151" s="457"/>
      <c r="D151" s="463"/>
      <c r="E151" s="457"/>
      <c r="F151" s="457"/>
      <c r="G151" s="459"/>
      <c r="H151" s="480">
        <v>6.3E-3</v>
      </c>
      <c r="I151" s="457">
        <v>774</v>
      </c>
      <c r="J151" s="842">
        <v>4.6395</v>
      </c>
      <c r="K151" s="842">
        <v>1</v>
      </c>
      <c r="L151" s="460">
        <v>20</v>
      </c>
      <c r="M151" s="457">
        <f t="shared" si="16"/>
        <v>0.92789999999999995</v>
      </c>
      <c r="N151" s="457">
        <f t="shared" si="21"/>
        <v>0.22</v>
      </c>
      <c r="O151" s="459">
        <f t="shared" si="20"/>
        <v>1.1478999999999999</v>
      </c>
      <c r="P151" s="456"/>
      <c r="Q151" s="457"/>
      <c r="R151" s="457"/>
      <c r="S151" s="457"/>
      <c r="T151" s="470"/>
      <c r="U151" s="471"/>
      <c r="V151" s="297"/>
      <c r="W151" s="28"/>
      <c r="X151" s="462"/>
      <c r="Y151"/>
      <c r="Z151"/>
    </row>
    <row r="152" spans="1:26" x14ac:dyDescent="0.25">
      <c r="A152" s="461" t="s">
        <v>156</v>
      </c>
      <c r="B152" s="456"/>
      <c r="C152" s="457"/>
      <c r="D152" s="463"/>
      <c r="E152" s="457"/>
      <c r="F152" s="457"/>
      <c r="G152" s="459"/>
      <c r="H152" s="480">
        <v>0.64240000000000008</v>
      </c>
      <c r="I152" s="457">
        <v>774</v>
      </c>
      <c r="J152" s="842">
        <v>4.6395</v>
      </c>
      <c r="K152" s="842">
        <v>101.5</v>
      </c>
      <c r="L152" s="460">
        <v>20</v>
      </c>
      <c r="M152" s="457">
        <f t="shared" si="16"/>
        <v>94.181849999999997</v>
      </c>
      <c r="N152" s="457">
        <f t="shared" si="21"/>
        <v>22.69</v>
      </c>
      <c r="O152" s="459">
        <f t="shared" si="20"/>
        <v>116.87184999999999</v>
      </c>
      <c r="P152" s="456"/>
      <c r="Q152" s="457"/>
      <c r="R152" s="457"/>
      <c r="S152" s="457"/>
      <c r="T152" s="470"/>
      <c r="U152" s="471"/>
      <c r="V152" s="297"/>
      <c r="W152" s="28"/>
      <c r="X152" s="462"/>
      <c r="Y152"/>
      <c r="Z152"/>
    </row>
    <row r="153" spans="1:26" x14ac:dyDescent="0.25">
      <c r="A153" s="461" t="s">
        <v>156</v>
      </c>
      <c r="B153" s="456"/>
      <c r="C153" s="457"/>
      <c r="D153" s="463"/>
      <c r="E153" s="457"/>
      <c r="F153" s="457"/>
      <c r="G153" s="459"/>
      <c r="H153" s="480">
        <v>7.2700000000000015E-2</v>
      </c>
      <c r="I153" s="457">
        <v>774</v>
      </c>
      <c r="J153" s="842">
        <v>4.6395</v>
      </c>
      <c r="K153" s="842">
        <v>11.5</v>
      </c>
      <c r="L153" s="460">
        <v>20</v>
      </c>
      <c r="M153" s="457">
        <f t="shared" si="16"/>
        <v>10.67085</v>
      </c>
      <c r="N153" s="457">
        <f t="shared" si="21"/>
        <v>2.57</v>
      </c>
      <c r="O153" s="459">
        <f t="shared" si="20"/>
        <v>13.24085</v>
      </c>
      <c r="P153" s="456"/>
      <c r="Q153" s="457"/>
      <c r="R153" s="457"/>
      <c r="S153" s="457"/>
      <c r="T153" s="470"/>
      <c r="U153" s="471"/>
      <c r="V153" s="297"/>
      <c r="W153" s="28"/>
      <c r="X153" s="462"/>
      <c r="Y153"/>
      <c r="Z153"/>
    </row>
    <row r="154" spans="1:26" x14ac:dyDescent="0.25">
      <c r="A154" s="461" t="s">
        <v>156</v>
      </c>
      <c r="B154" s="456"/>
      <c r="C154" s="457"/>
      <c r="D154" s="463"/>
      <c r="E154" s="457"/>
      <c r="F154" s="457"/>
      <c r="G154" s="459"/>
      <c r="H154" s="480">
        <v>0.56329999999999991</v>
      </c>
      <c r="I154" s="457">
        <v>774</v>
      </c>
      <c r="J154" s="842">
        <v>4.6395</v>
      </c>
      <c r="K154" s="842">
        <v>89</v>
      </c>
      <c r="L154" s="460">
        <v>20</v>
      </c>
      <c r="M154" s="457">
        <f t="shared" si="16"/>
        <v>82.583100000000002</v>
      </c>
      <c r="N154" s="457">
        <f t="shared" si="21"/>
        <v>19.89</v>
      </c>
      <c r="O154" s="459">
        <f t="shared" si="20"/>
        <v>102.4731</v>
      </c>
      <c r="P154" s="456"/>
      <c r="Q154" s="457"/>
      <c r="R154" s="457"/>
      <c r="S154" s="457"/>
      <c r="T154" s="470"/>
      <c r="U154" s="471"/>
      <c r="V154" s="297"/>
      <c r="W154" s="28"/>
      <c r="X154" s="462"/>
      <c r="Y154"/>
      <c r="Z154"/>
    </row>
    <row r="155" spans="1:26" x14ac:dyDescent="0.25">
      <c r="A155" s="461" t="s">
        <v>156</v>
      </c>
      <c r="B155" s="456"/>
      <c r="C155" s="457"/>
      <c r="D155" s="463"/>
      <c r="E155" s="457"/>
      <c r="F155" s="457"/>
      <c r="G155" s="459"/>
      <c r="H155" s="480">
        <v>9.5000000000000001E-2</v>
      </c>
      <c r="I155" s="457">
        <v>774</v>
      </c>
      <c r="J155" s="842">
        <v>4.6395</v>
      </c>
      <c r="K155" s="842">
        <v>15</v>
      </c>
      <c r="L155" s="460">
        <v>20</v>
      </c>
      <c r="M155" s="457">
        <f t="shared" si="16"/>
        <v>13.9185</v>
      </c>
      <c r="N155" s="457">
        <f t="shared" si="21"/>
        <v>3.35</v>
      </c>
      <c r="O155" s="459">
        <f t="shared" si="20"/>
        <v>17.2685</v>
      </c>
      <c r="P155" s="456"/>
      <c r="Q155" s="457"/>
      <c r="R155" s="457"/>
      <c r="S155" s="457"/>
      <c r="T155" s="470"/>
      <c r="U155" s="471"/>
      <c r="V155" s="297"/>
      <c r="W155" s="28"/>
      <c r="X155" s="462"/>
      <c r="Y155"/>
      <c r="Z155"/>
    </row>
    <row r="156" spans="1:26" x14ac:dyDescent="0.25">
      <c r="A156" s="461" t="s">
        <v>156</v>
      </c>
      <c r="B156" s="456"/>
      <c r="C156" s="457"/>
      <c r="D156" s="463"/>
      <c r="E156" s="457"/>
      <c r="F156" s="457"/>
      <c r="G156" s="459"/>
      <c r="H156" s="480">
        <v>0.24070000000000003</v>
      </c>
      <c r="I156" s="457">
        <v>774</v>
      </c>
      <c r="J156" s="842">
        <v>4.6395</v>
      </c>
      <c r="K156" s="842">
        <v>38</v>
      </c>
      <c r="L156" s="460">
        <v>20</v>
      </c>
      <c r="M156" s="457">
        <f t="shared" si="16"/>
        <v>35.260199999999998</v>
      </c>
      <c r="N156" s="457">
        <f t="shared" si="21"/>
        <v>8.49</v>
      </c>
      <c r="O156" s="459">
        <f t="shared" si="20"/>
        <v>43.7502</v>
      </c>
      <c r="P156" s="456"/>
      <c r="Q156" s="457"/>
      <c r="R156" s="457"/>
      <c r="S156" s="457"/>
      <c r="T156" s="470"/>
      <c r="U156" s="471"/>
      <c r="V156" s="297"/>
      <c r="W156" s="28"/>
      <c r="X156" s="462"/>
      <c r="Y156"/>
      <c r="Z156"/>
    </row>
    <row r="157" spans="1:26" x14ac:dyDescent="0.25">
      <c r="A157" s="461" t="s">
        <v>156</v>
      </c>
      <c r="B157" s="456"/>
      <c r="C157" s="457"/>
      <c r="D157" s="463"/>
      <c r="E157" s="457"/>
      <c r="F157" s="457"/>
      <c r="G157" s="459"/>
      <c r="H157" s="480">
        <v>0.40200000000000002</v>
      </c>
      <c r="I157" s="457">
        <v>774</v>
      </c>
      <c r="J157" s="842">
        <v>4.6395</v>
      </c>
      <c r="K157" s="842">
        <v>63.5</v>
      </c>
      <c r="L157" s="460">
        <v>20</v>
      </c>
      <c r="M157" s="457">
        <f t="shared" si="16"/>
        <v>58.92165</v>
      </c>
      <c r="N157" s="457">
        <f t="shared" si="21"/>
        <v>14.19</v>
      </c>
      <c r="O157" s="459">
        <f t="shared" si="20"/>
        <v>73.111649999999997</v>
      </c>
      <c r="P157" s="456"/>
      <c r="Q157" s="457"/>
      <c r="R157" s="457"/>
      <c r="S157" s="457"/>
      <c r="T157" s="470"/>
      <c r="U157" s="471"/>
      <c r="V157" s="297"/>
      <c r="W157" s="28"/>
      <c r="X157" s="462"/>
      <c r="Y157"/>
      <c r="Z157"/>
    </row>
    <row r="158" spans="1:26" x14ac:dyDescent="0.25">
      <c r="A158" s="461" t="s">
        <v>156</v>
      </c>
      <c r="B158" s="456"/>
      <c r="C158" s="457"/>
      <c r="D158" s="463"/>
      <c r="E158" s="457"/>
      <c r="F158" s="457"/>
      <c r="G158" s="459"/>
      <c r="H158" s="480">
        <v>4.4300000000000006E-2</v>
      </c>
      <c r="I158" s="457">
        <v>774</v>
      </c>
      <c r="J158" s="842">
        <v>4.6395</v>
      </c>
      <c r="K158" s="842">
        <v>7</v>
      </c>
      <c r="L158" s="460">
        <v>20</v>
      </c>
      <c r="M158" s="457">
        <f t="shared" si="16"/>
        <v>6.4952999999999994</v>
      </c>
      <c r="N158" s="457">
        <f t="shared" si="21"/>
        <v>1.56</v>
      </c>
      <c r="O158" s="459">
        <f t="shared" si="20"/>
        <v>8.055299999999999</v>
      </c>
      <c r="P158" s="456"/>
      <c r="Q158" s="457"/>
      <c r="R158" s="457"/>
      <c r="S158" s="457"/>
      <c r="T158" s="470"/>
      <c r="U158" s="471"/>
      <c r="V158" s="297"/>
      <c r="W158" s="28"/>
      <c r="X158" s="462"/>
      <c r="Y158"/>
      <c r="Z158"/>
    </row>
    <row r="159" spans="1:26" x14ac:dyDescent="0.25">
      <c r="A159" s="461" t="s">
        <v>156</v>
      </c>
      <c r="B159" s="456"/>
      <c r="C159" s="457"/>
      <c r="D159" s="463"/>
      <c r="E159" s="457"/>
      <c r="F159" s="457"/>
      <c r="G159" s="459"/>
      <c r="H159" s="480">
        <v>0.24359999999999998</v>
      </c>
      <c r="I159" s="457">
        <v>774</v>
      </c>
      <c r="J159" s="842">
        <v>4.6395</v>
      </c>
      <c r="K159" s="842">
        <v>38.5</v>
      </c>
      <c r="L159" s="460">
        <v>20</v>
      </c>
      <c r="M159" s="457">
        <f t="shared" si="16"/>
        <v>35.724150000000002</v>
      </c>
      <c r="N159" s="457">
        <f t="shared" si="21"/>
        <v>8.61</v>
      </c>
      <c r="O159" s="459">
        <f t="shared" si="20"/>
        <v>44.334150000000001</v>
      </c>
      <c r="P159" s="456"/>
      <c r="Q159" s="457"/>
      <c r="R159" s="457"/>
      <c r="S159" s="457"/>
      <c r="T159" s="470"/>
      <c r="U159" s="471"/>
      <c r="V159" s="297"/>
      <c r="W159" s="28"/>
      <c r="X159" s="462"/>
      <c r="Y159"/>
      <c r="Z159"/>
    </row>
    <row r="160" spans="1:26" x14ac:dyDescent="0.25">
      <c r="A160" s="461" t="s">
        <v>156</v>
      </c>
      <c r="B160" s="456"/>
      <c r="C160" s="457"/>
      <c r="D160" s="463"/>
      <c r="E160" s="457"/>
      <c r="F160" s="457"/>
      <c r="G160" s="459"/>
      <c r="H160" s="480">
        <v>2.8499999999999998E-2</v>
      </c>
      <c r="I160" s="457">
        <v>774</v>
      </c>
      <c r="J160" s="842">
        <v>4.6395</v>
      </c>
      <c r="K160" s="842">
        <v>4.5</v>
      </c>
      <c r="L160" s="460">
        <v>20</v>
      </c>
      <c r="M160" s="457">
        <f t="shared" si="16"/>
        <v>4.1755499999999994</v>
      </c>
      <c r="N160" s="457">
        <f t="shared" si="21"/>
        <v>1.01</v>
      </c>
      <c r="O160" s="459">
        <f t="shared" si="20"/>
        <v>5.1855499999999992</v>
      </c>
      <c r="P160" s="456"/>
      <c r="Q160" s="457"/>
      <c r="R160" s="457"/>
      <c r="S160" s="457"/>
      <c r="T160" s="470"/>
      <c r="U160" s="471"/>
      <c r="V160" s="297"/>
      <c r="W160" s="28"/>
      <c r="X160" s="462"/>
      <c r="Y160"/>
      <c r="Z160"/>
    </row>
    <row r="161" spans="1:33" x14ac:dyDescent="0.25">
      <c r="A161" s="461" t="s">
        <v>156</v>
      </c>
      <c r="B161" s="456"/>
      <c r="C161" s="457"/>
      <c r="D161" s="463"/>
      <c r="E161" s="457"/>
      <c r="F161" s="457"/>
      <c r="G161" s="459"/>
      <c r="H161" s="480">
        <v>0.3322</v>
      </c>
      <c r="I161" s="457">
        <v>774</v>
      </c>
      <c r="J161" s="842">
        <v>4.6395</v>
      </c>
      <c r="K161" s="842">
        <v>52.5</v>
      </c>
      <c r="L161" s="460">
        <v>20</v>
      </c>
      <c r="M161" s="457">
        <f t="shared" si="16"/>
        <v>48.714749999999995</v>
      </c>
      <c r="N161" s="457">
        <f t="shared" si="21"/>
        <v>11.74</v>
      </c>
      <c r="O161" s="459">
        <f t="shared" si="20"/>
        <v>60.454749999999997</v>
      </c>
      <c r="P161" s="456"/>
      <c r="Q161" s="457"/>
      <c r="R161" s="457"/>
      <c r="S161" s="457"/>
      <c r="T161" s="470"/>
      <c r="U161" s="471"/>
      <c r="V161" s="297"/>
      <c r="W161" s="28"/>
      <c r="X161" s="462"/>
      <c r="Y161"/>
      <c r="Z161"/>
    </row>
    <row r="162" spans="1:33" x14ac:dyDescent="0.25">
      <c r="A162" s="461" t="s">
        <v>156</v>
      </c>
      <c r="B162" s="456"/>
      <c r="C162" s="457"/>
      <c r="D162" s="463"/>
      <c r="E162" s="457"/>
      <c r="F162" s="457"/>
      <c r="G162" s="459"/>
      <c r="H162" s="480">
        <v>5.0700000000000002E-2</v>
      </c>
      <c r="I162" s="457">
        <v>774</v>
      </c>
      <c r="J162" s="842">
        <v>4.6395</v>
      </c>
      <c r="K162" s="842">
        <v>8</v>
      </c>
      <c r="L162" s="460">
        <v>20</v>
      </c>
      <c r="M162" s="457">
        <f t="shared" si="16"/>
        <v>7.4231999999999996</v>
      </c>
      <c r="N162" s="457">
        <f t="shared" si="21"/>
        <v>1.79</v>
      </c>
      <c r="O162" s="459">
        <f t="shared" si="20"/>
        <v>9.2132000000000005</v>
      </c>
      <c r="P162" s="456"/>
      <c r="Q162" s="457"/>
      <c r="R162" s="457"/>
      <c r="S162" s="457"/>
      <c r="T162" s="470"/>
      <c r="U162" s="471"/>
      <c r="V162" s="297"/>
      <c r="W162" s="28"/>
      <c r="X162" s="462"/>
      <c r="Y162"/>
      <c r="Z162"/>
    </row>
    <row r="163" spans="1:33" x14ac:dyDescent="0.25">
      <c r="A163" s="461" t="s">
        <v>156</v>
      </c>
      <c r="B163" s="456"/>
      <c r="C163" s="457"/>
      <c r="D163" s="463"/>
      <c r="E163" s="457"/>
      <c r="F163" s="457"/>
      <c r="G163" s="459"/>
      <c r="H163" s="480">
        <v>0.12659999999999999</v>
      </c>
      <c r="I163" s="457">
        <v>774</v>
      </c>
      <c r="J163" s="842">
        <v>4.6395</v>
      </c>
      <c r="K163" s="842">
        <v>20</v>
      </c>
      <c r="L163" s="460">
        <v>20</v>
      </c>
      <c r="M163" s="457">
        <f t="shared" si="16"/>
        <v>18.557999999999996</v>
      </c>
      <c r="N163" s="457">
        <f t="shared" si="21"/>
        <v>4.47</v>
      </c>
      <c r="O163" s="459">
        <f t="shared" si="20"/>
        <v>23.027999999999995</v>
      </c>
      <c r="P163" s="456"/>
      <c r="Q163" s="457"/>
      <c r="R163" s="457"/>
      <c r="S163" s="457"/>
      <c r="T163" s="470"/>
      <c r="U163" s="471"/>
      <c r="V163" s="297"/>
      <c r="W163" s="28"/>
      <c r="X163" s="462"/>
      <c r="Y163"/>
      <c r="Z163"/>
    </row>
    <row r="164" spans="1:33" x14ac:dyDescent="0.25">
      <c r="A164" s="461" t="s">
        <v>156</v>
      </c>
      <c r="B164" s="456"/>
      <c r="C164" s="457"/>
      <c r="D164" s="463"/>
      <c r="E164" s="457"/>
      <c r="F164" s="457"/>
      <c r="G164" s="459"/>
      <c r="H164" s="480">
        <v>0.1014</v>
      </c>
      <c r="I164" s="457">
        <v>774</v>
      </c>
      <c r="J164" s="842">
        <v>4.6395</v>
      </c>
      <c r="K164" s="842">
        <v>16</v>
      </c>
      <c r="L164" s="460">
        <v>20</v>
      </c>
      <c r="M164" s="457">
        <f t="shared" si="16"/>
        <v>14.846399999999999</v>
      </c>
      <c r="N164" s="457">
        <f t="shared" si="21"/>
        <v>3.58</v>
      </c>
      <c r="O164" s="459">
        <f t="shared" si="20"/>
        <v>18.426400000000001</v>
      </c>
      <c r="P164" s="456"/>
      <c r="Q164" s="457"/>
      <c r="R164" s="457"/>
      <c r="S164" s="457"/>
      <c r="T164" s="470"/>
      <c r="U164" s="471"/>
      <c r="V164" s="297"/>
      <c r="W164" s="28"/>
      <c r="X164" s="462"/>
      <c r="Y164"/>
      <c r="Z164"/>
    </row>
    <row r="165" spans="1:33" x14ac:dyDescent="0.25">
      <c r="A165" s="461" t="s">
        <v>156</v>
      </c>
      <c r="B165" s="456"/>
      <c r="C165" s="457"/>
      <c r="D165" s="463"/>
      <c r="E165" s="457"/>
      <c r="F165" s="457"/>
      <c r="G165" s="459"/>
      <c r="H165" s="480">
        <v>9.4999999999999998E-3</v>
      </c>
      <c r="I165" s="457">
        <v>774</v>
      </c>
      <c r="J165" s="842">
        <v>4.6395</v>
      </c>
      <c r="K165" s="842">
        <v>1.5</v>
      </c>
      <c r="L165" s="460">
        <v>20</v>
      </c>
      <c r="M165" s="457">
        <f t="shared" si="16"/>
        <v>1.39185</v>
      </c>
      <c r="N165" s="457">
        <f t="shared" si="21"/>
        <v>0.34</v>
      </c>
      <c r="O165" s="459">
        <f t="shared" si="20"/>
        <v>1.7318500000000001</v>
      </c>
      <c r="P165" s="456"/>
      <c r="Q165" s="457"/>
      <c r="R165" s="457"/>
      <c r="S165" s="457"/>
      <c r="T165" s="470"/>
      <c r="U165" s="471"/>
      <c r="V165" s="297"/>
      <c r="W165" s="28"/>
      <c r="X165" s="462"/>
      <c r="Y165"/>
      <c r="Z165"/>
    </row>
    <row r="166" spans="1:33" x14ac:dyDescent="0.25">
      <c r="A166" s="461" t="s">
        <v>156</v>
      </c>
      <c r="B166" s="456"/>
      <c r="C166" s="457"/>
      <c r="D166" s="463"/>
      <c r="E166" s="457"/>
      <c r="F166" s="457"/>
      <c r="G166" s="459"/>
      <c r="H166" s="480">
        <v>3.49E-2</v>
      </c>
      <c r="I166" s="457">
        <v>774</v>
      </c>
      <c r="J166" s="842">
        <v>4.6395</v>
      </c>
      <c r="K166" s="842">
        <v>5.5</v>
      </c>
      <c r="L166" s="460">
        <v>20</v>
      </c>
      <c r="M166" s="457">
        <f t="shared" si="16"/>
        <v>5.1034500000000005</v>
      </c>
      <c r="N166" s="457">
        <f t="shared" si="21"/>
        <v>1.23</v>
      </c>
      <c r="O166" s="459">
        <f t="shared" si="20"/>
        <v>6.3334500000000009</v>
      </c>
      <c r="P166" s="456"/>
      <c r="Q166" s="457"/>
      <c r="R166" s="457"/>
      <c r="S166" s="457"/>
      <c r="T166" s="470"/>
      <c r="U166" s="471"/>
      <c r="V166" s="297"/>
      <c r="W166" s="28"/>
      <c r="X166" s="462"/>
      <c r="Y166"/>
      <c r="Z166"/>
    </row>
    <row r="167" spans="1:33" x14ac:dyDescent="0.25">
      <c r="A167" s="461" t="s">
        <v>156</v>
      </c>
      <c r="B167" s="456"/>
      <c r="C167" s="457"/>
      <c r="D167" s="463"/>
      <c r="E167" s="457"/>
      <c r="F167" s="457"/>
      <c r="G167" s="459"/>
      <c r="H167" s="480">
        <v>0.6804</v>
      </c>
      <c r="I167" s="457">
        <v>774</v>
      </c>
      <c r="J167" s="842">
        <v>4.6395</v>
      </c>
      <c r="K167" s="842">
        <v>107.5</v>
      </c>
      <c r="L167" s="460">
        <v>20</v>
      </c>
      <c r="M167" s="457">
        <f t="shared" si="16"/>
        <v>99.749249999999989</v>
      </c>
      <c r="N167" s="457">
        <f t="shared" si="21"/>
        <v>24.03</v>
      </c>
      <c r="O167" s="459">
        <f t="shared" si="20"/>
        <v>123.77924999999999</v>
      </c>
      <c r="P167" s="456"/>
      <c r="Q167" s="457"/>
      <c r="R167" s="457"/>
      <c r="S167" s="457"/>
      <c r="T167" s="470"/>
      <c r="U167" s="471"/>
      <c r="V167" s="297"/>
      <c r="W167" s="28"/>
      <c r="X167" s="462"/>
      <c r="Y167"/>
      <c r="Z167"/>
    </row>
    <row r="168" spans="1:33" x14ac:dyDescent="0.25">
      <c r="A168" s="461" t="s">
        <v>156</v>
      </c>
      <c r="B168" s="456"/>
      <c r="C168" s="457"/>
      <c r="D168" s="463"/>
      <c r="E168" s="457"/>
      <c r="F168" s="457"/>
      <c r="G168" s="459"/>
      <c r="H168" s="480">
        <v>4.7599999999999996E-2</v>
      </c>
      <c r="I168" s="457">
        <v>774</v>
      </c>
      <c r="J168" s="842">
        <v>4.6395</v>
      </c>
      <c r="K168" s="842">
        <v>7.5</v>
      </c>
      <c r="L168" s="460">
        <v>20</v>
      </c>
      <c r="M168" s="457">
        <f t="shared" si="16"/>
        <v>6.9592499999999999</v>
      </c>
      <c r="N168" s="457">
        <f t="shared" si="21"/>
        <v>1.68</v>
      </c>
      <c r="O168" s="459">
        <f t="shared" si="20"/>
        <v>8.6392500000000005</v>
      </c>
      <c r="P168" s="456"/>
      <c r="Q168" s="457"/>
      <c r="R168" s="457"/>
      <c r="S168" s="457"/>
      <c r="T168" s="470"/>
      <c r="U168" s="471"/>
      <c r="V168" s="297"/>
      <c r="W168" s="28"/>
      <c r="X168" s="462"/>
      <c r="Y168"/>
      <c r="Z168"/>
    </row>
    <row r="169" spans="1:33" x14ac:dyDescent="0.25">
      <c r="A169" s="461" t="s">
        <v>156</v>
      </c>
      <c r="B169" s="456"/>
      <c r="C169" s="457"/>
      <c r="D169" s="463"/>
      <c r="E169" s="457"/>
      <c r="F169" s="457"/>
      <c r="G169" s="459"/>
      <c r="H169" s="480">
        <v>0.41449999999999998</v>
      </c>
      <c r="I169" s="457">
        <v>774</v>
      </c>
      <c r="J169" s="842">
        <v>4.6395</v>
      </c>
      <c r="K169" s="842">
        <v>65.5</v>
      </c>
      <c r="L169" s="460">
        <v>20</v>
      </c>
      <c r="M169" s="457">
        <f t="shared" si="16"/>
        <v>60.777450000000002</v>
      </c>
      <c r="N169" s="457">
        <f t="shared" si="21"/>
        <v>14.64</v>
      </c>
      <c r="O169" s="459">
        <f t="shared" si="20"/>
        <v>75.417450000000002</v>
      </c>
      <c r="P169" s="456"/>
      <c r="Q169" s="457"/>
      <c r="R169" s="457"/>
      <c r="S169" s="457"/>
      <c r="T169" s="470"/>
      <c r="U169" s="471"/>
      <c r="V169" s="297"/>
      <c r="W169" s="28"/>
      <c r="X169" s="462"/>
      <c r="Y169"/>
      <c r="Z169"/>
    </row>
    <row r="170" spans="1:33" x14ac:dyDescent="0.25">
      <c r="A170" s="461" t="s">
        <v>156</v>
      </c>
      <c r="B170" s="456"/>
      <c r="C170" s="457"/>
      <c r="D170" s="463"/>
      <c r="E170" s="457"/>
      <c r="F170" s="457"/>
      <c r="G170" s="459"/>
      <c r="H170" s="480">
        <v>7.9200000000000007E-2</v>
      </c>
      <c r="I170" s="457">
        <v>774</v>
      </c>
      <c r="J170" s="842">
        <v>4.6395</v>
      </c>
      <c r="K170" s="842">
        <v>12.5</v>
      </c>
      <c r="L170" s="460">
        <v>20</v>
      </c>
      <c r="M170" s="457">
        <f t="shared" si="16"/>
        <v>11.598750000000001</v>
      </c>
      <c r="N170" s="457">
        <f t="shared" si="21"/>
        <v>2.79</v>
      </c>
      <c r="O170" s="459">
        <f t="shared" si="20"/>
        <v>14.388750000000002</v>
      </c>
      <c r="P170" s="456"/>
      <c r="Q170" s="457"/>
      <c r="R170" s="457"/>
      <c r="S170" s="457"/>
      <c r="T170" s="470"/>
      <c r="U170" s="471"/>
      <c r="V170" s="297"/>
      <c r="W170" s="28"/>
      <c r="X170" s="462"/>
      <c r="Y170"/>
      <c r="Z170"/>
    </row>
    <row r="171" spans="1:33" ht="31.5" x14ac:dyDescent="0.25">
      <c r="A171" s="450" t="s">
        <v>11</v>
      </c>
      <c r="B171" s="451"/>
      <c r="C171" s="452"/>
      <c r="D171" s="452"/>
      <c r="E171" s="452">
        <f>SUM(E172:E222)</f>
        <v>139.88</v>
      </c>
      <c r="F171" s="452">
        <f t="shared" ref="F171:G171" si="22">SUM(F172:F222)</f>
        <v>33.71</v>
      </c>
      <c r="G171" s="452">
        <f t="shared" si="22"/>
        <v>173.59</v>
      </c>
      <c r="H171" s="452">
        <f t="shared" ref="H171" si="23">SUM(H172:H222)</f>
        <v>6.0772999999999993</v>
      </c>
      <c r="I171" s="452"/>
      <c r="J171" s="845"/>
      <c r="K171" s="845"/>
      <c r="L171" s="452"/>
      <c r="M171" s="457">
        <f t="shared" si="16"/>
        <v>0</v>
      </c>
      <c r="N171" s="452">
        <f t="shared" ref="N171:O171" si="24">SUM(N172:N222)</f>
        <v>155.30000000000001</v>
      </c>
      <c r="O171" s="841">
        <f t="shared" si="24"/>
        <v>799.98599000000036</v>
      </c>
      <c r="P171" s="451"/>
      <c r="Q171" s="457"/>
      <c r="R171" s="457"/>
      <c r="S171" s="457"/>
      <c r="T171" s="452"/>
      <c r="U171" s="467"/>
      <c r="V171" s="297"/>
      <c r="W171" s="28"/>
    </row>
    <row r="172" spans="1:33" x14ac:dyDescent="0.25">
      <c r="A172" s="461" t="s">
        <v>591</v>
      </c>
      <c r="B172" s="456"/>
      <c r="C172" s="465">
        <v>527</v>
      </c>
      <c r="D172" s="465">
        <v>0.04</v>
      </c>
      <c r="E172" s="465">
        <v>21.08</v>
      </c>
      <c r="F172" s="457">
        <v>5.08</v>
      </c>
      <c r="G172" s="459">
        <v>26.159999999999997</v>
      </c>
      <c r="H172" s="480">
        <v>0.54749999999999988</v>
      </c>
      <c r="I172" s="465">
        <v>527</v>
      </c>
      <c r="J172" s="842">
        <v>3.1589</v>
      </c>
      <c r="K172" s="842">
        <v>86.5</v>
      </c>
      <c r="L172" s="460">
        <v>20</v>
      </c>
      <c r="M172" s="457">
        <f t="shared" si="16"/>
        <v>54.648969999999998</v>
      </c>
      <c r="N172" s="457">
        <f t="shared" si="21"/>
        <v>13.16</v>
      </c>
      <c r="O172" s="459">
        <f t="shared" ref="O172:O222" si="25">M172+N172</f>
        <v>67.808970000000002</v>
      </c>
      <c r="P172" s="456"/>
      <c r="Q172" s="457"/>
      <c r="R172" s="457"/>
      <c r="S172" s="457"/>
      <c r="T172" s="470"/>
      <c r="U172" s="471"/>
      <c r="V172" s="297"/>
      <c r="W172" s="28"/>
      <c r="Y172" s="214"/>
      <c r="Z172" s="214"/>
      <c r="AA172" s="214"/>
      <c r="AB172" s="214"/>
      <c r="AC172" s="214"/>
      <c r="AD172" s="214"/>
      <c r="AE172" s="214"/>
      <c r="AF172" s="214"/>
      <c r="AG172" s="214"/>
    </row>
    <row r="173" spans="1:33" x14ac:dyDescent="0.25">
      <c r="A173" s="461" t="s">
        <v>591</v>
      </c>
      <c r="B173" s="456"/>
      <c r="C173" s="465">
        <v>527</v>
      </c>
      <c r="D173" s="465">
        <v>0.04</v>
      </c>
      <c r="E173" s="465">
        <v>21.08</v>
      </c>
      <c r="F173" s="457">
        <v>5.08</v>
      </c>
      <c r="G173" s="459">
        <v>26.159999999999997</v>
      </c>
      <c r="H173" s="480">
        <v>3.5000000000000003E-2</v>
      </c>
      <c r="I173" s="465">
        <v>527</v>
      </c>
      <c r="J173" s="842">
        <v>3.1589</v>
      </c>
      <c r="K173" s="842">
        <v>5.5</v>
      </c>
      <c r="L173" s="460">
        <v>20</v>
      </c>
      <c r="M173" s="457">
        <f t="shared" si="16"/>
        <v>3.4747900000000005</v>
      </c>
      <c r="N173" s="457">
        <f t="shared" si="21"/>
        <v>0.84</v>
      </c>
      <c r="O173" s="459">
        <f t="shared" si="25"/>
        <v>4.3147900000000003</v>
      </c>
      <c r="P173" s="456"/>
      <c r="Q173" s="457"/>
      <c r="R173" s="457"/>
      <c r="S173" s="457"/>
      <c r="T173" s="470"/>
      <c r="U173" s="471"/>
      <c r="V173" s="297"/>
      <c r="W173" s="28"/>
      <c r="Y173" s="214"/>
      <c r="Z173" s="214"/>
      <c r="AA173" s="214"/>
      <c r="AB173" s="214"/>
      <c r="AC173" s="214"/>
      <c r="AD173" s="214"/>
      <c r="AE173" s="214"/>
      <c r="AF173" s="214"/>
      <c r="AG173" s="214"/>
    </row>
    <row r="174" spans="1:33" x14ac:dyDescent="0.25">
      <c r="A174" s="461" t="s">
        <v>591</v>
      </c>
      <c r="B174" s="456"/>
      <c r="C174" s="465"/>
      <c r="D174" s="465"/>
      <c r="E174" s="465"/>
      <c r="F174" s="457"/>
      <c r="G174" s="459"/>
      <c r="H174" s="480">
        <v>0.59179999999999999</v>
      </c>
      <c r="I174" s="465">
        <v>527</v>
      </c>
      <c r="J174" s="842">
        <v>3.1589</v>
      </c>
      <c r="K174" s="842">
        <v>93.5</v>
      </c>
      <c r="L174" s="460">
        <v>20</v>
      </c>
      <c r="M174" s="457">
        <f t="shared" si="16"/>
        <v>59.071429999999999</v>
      </c>
      <c r="N174" s="457">
        <f t="shared" si="21"/>
        <v>14.23</v>
      </c>
      <c r="O174" s="459">
        <f t="shared" si="25"/>
        <v>73.301429999999996</v>
      </c>
      <c r="P174" s="456"/>
      <c r="Q174" s="457"/>
      <c r="R174" s="457"/>
      <c r="S174" s="457"/>
      <c r="T174" s="470"/>
      <c r="U174" s="471"/>
      <c r="V174" s="297"/>
      <c r="W174" s="28"/>
      <c r="Y174" s="214"/>
      <c r="Z174" s="214"/>
      <c r="AA174" s="214"/>
      <c r="AB174" s="214"/>
      <c r="AC174" s="214"/>
      <c r="AD174" s="214"/>
      <c r="AE174" s="214"/>
      <c r="AF174" s="214"/>
      <c r="AG174" s="214"/>
    </row>
    <row r="175" spans="1:33" x14ac:dyDescent="0.25">
      <c r="A175" s="461" t="s">
        <v>591</v>
      </c>
      <c r="B175" s="456"/>
      <c r="C175" s="465"/>
      <c r="D175" s="465"/>
      <c r="E175" s="465"/>
      <c r="F175" s="457"/>
      <c r="G175" s="459"/>
      <c r="H175" s="480">
        <v>4.1300000000000003E-2</v>
      </c>
      <c r="I175" s="465">
        <v>527</v>
      </c>
      <c r="J175" s="842">
        <v>3.1589</v>
      </c>
      <c r="K175" s="842">
        <v>6.5</v>
      </c>
      <c r="L175" s="460">
        <v>20</v>
      </c>
      <c r="M175" s="457">
        <f t="shared" si="16"/>
        <v>4.1065699999999996</v>
      </c>
      <c r="N175" s="457">
        <f t="shared" si="21"/>
        <v>0.99</v>
      </c>
      <c r="O175" s="459">
        <f t="shared" si="25"/>
        <v>5.0965699999999998</v>
      </c>
      <c r="P175" s="456"/>
      <c r="Q175" s="457"/>
      <c r="R175" s="457"/>
      <c r="S175" s="457"/>
      <c r="T175" s="470"/>
      <c r="U175" s="471"/>
      <c r="V175" s="297"/>
      <c r="W175" s="28"/>
      <c r="Y175" s="214"/>
      <c r="Z175" s="214"/>
      <c r="AA175" s="214"/>
      <c r="AB175" s="214"/>
      <c r="AC175" s="214"/>
      <c r="AD175" s="214"/>
      <c r="AE175" s="214"/>
      <c r="AF175" s="214"/>
      <c r="AG175" s="214"/>
    </row>
    <row r="176" spans="1:33" x14ac:dyDescent="0.25">
      <c r="A176" s="461" t="s">
        <v>591</v>
      </c>
      <c r="B176" s="456"/>
      <c r="C176" s="465"/>
      <c r="D176" s="465"/>
      <c r="E176" s="465"/>
      <c r="F176" s="457"/>
      <c r="G176" s="459"/>
      <c r="H176" s="480">
        <v>3.2000000000000002E-3</v>
      </c>
      <c r="I176" s="465">
        <v>527</v>
      </c>
      <c r="J176" s="842">
        <v>3.1589</v>
      </c>
      <c r="K176" s="842">
        <v>0.5</v>
      </c>
      <c r="L176" s="460">
        <v>20</v>
      </c>
      <c r="M176" s="457">
        <f t="shared" si="16"/>
        <v>0.31589</v>
      </c>
      <c r="N176" s="457">
        <f t="shared" si="21"/>
        <v>0.08</v>
      </c>
      <c r="O176" s="459">
        <f t="shared" si="25"/>
        <v>0.39589000000000002</v>
      </c>
      <c r="P176" s="456"/>
      <c r="Q176" s="457"/>
      <c r="R176" s="457"/>
      <c r="S176" s="457"/>
      <c r="T176" s="470"/>
      <c r="U176" s="471"/>
      <c r="V176" s="297"/>
      <c r="W176" s="28"/>
      <c r="Y176" s="214"/>
      <c r="Z176" s="214"/>
      <c r="AA176" s="214"/>
      <c r="AB176" s="214"/>
      <c r="AC176" s="214"/>
      <c r="AD176" s="214"/>
      <c r="AE176" s="214"/>
      <c r="AF176" s="214"/>
      <c r="AG176" s="214"/>
    </row>
    <row r="177" spans="1:33" x14ac:dyDescent="0.25">
      <c r="A177" s="461" t="s">
        <v>591</v>
      </c>
      <c r="B177" s="456"/>
      <c r="C177" s="465"/>
      <c r="D177" s="465"/>
      <c r="E177" s="465"/>
      <c r="F177" s="457"/>
      <c r="G177" s="459"/>
      <c r="H177" s="480">
        <v>0.43359999999999987</v>
      </c>
      <c r="I177" s="465">
        <v>527</v>
      </c>
      <c r="J177" s="842">
        <v>3.1589</v>
      </c>
      <c r="K177" s="842">
        <v>68.5</v>
      </c>
      <c r="L177" s="460">
        <v>20</v>
      </c>
      <c r="M177" s="457">
        <f t="shared" si="16"/>
        <v>43.27693</v>
      </c>
      <c r="N177" s="457">
        <f t="shared" si="21"/>
        <v>10.43</v>
      </c>
      <c r="O177" s="459">
        <f t="shared" si="25"/>
        <v>53.70693</v>
      </c>
      <c r="P177" s="456"/>
      <c r="Q177" s="457"/>
      <c r="R177" s="457"/>
      <c r="S177" s="457"/>
      <c r="T177" s="470"/>
      <c r="U177" s="471"/>
      <c r="V177" s="297"/>
      <c r="W177" s="28"/>
      <c r="Y177" s="214"/>
      <c r="Z177" s="214"/>
      <c r="AA177" s="214"/>
      <c r="AB177" s="214"/>
      <c r="AC177" s="214"/>
      <c r="AD177" s="214"/>
      <c r="AE177" s="214"/>
      <c r="AF177" s="214"/>
      <c r="AG177" s="214"/>
    </row>
    <row r="178" spans="1:33" x14ac:dyDescent="0.25">
      <c r="A178" s="461" t="s">
        <v>591</v>
      </c>
      <c r="B178" s="456"/>
      <c r="C178" s="465"/>
      <c r="D178" s="465"/>
      <c r="E178" s="465"/>
      <c r="F178" s="457"/>
      <c r="G178" s="459"/>
      <c r="H178" s="480">
        <v>2.2300000000000004E-2</v>
      </c>
      <c r="I178" s="465">
        <v>527</v>
      </c>
      <c r="J178" s="842">
        <v>3.1589</v>
      </c>
      <c r="K178" s="842">
        <v>3.5</v>
      </c>
      <c r="L178" s="460">
        <v>20</v>
      </c>
      <c r="M178" s="457">
        <f t="shared" si="16"/>
        <v>2.21123</v>
      </c>
      <c r="N178" s="457">
        <f t="shared" si="21"/>
        <v>0.53</v>
      </c>
      <c r="O178" s="459">
        <f t="shared" si="25"/>
        <v>2.7412299999999998</v>
      </c>
      <c r="P178" s="456"/>
      <c r="Q178" s="457"/>
      <c r="R178" s="457"/>
      <c r="S178" s="457"/>
      <c r="T178" s="470"/>
      <c r="U178" s="471"/>
      <c r="V178" s="297"/>
      <c r="W178" s="28"/>
      <c r="Y178" s="214"/>
      <c r="Z178" s="214"/>
      <c r="AA178" s="214"/>
      <c r="AB178" s="214"/>
      <c r="AC178" s="214"/>
      <c r="AD178" s="214"/>
      <c r="AE178" s="214"/>
      <c r="AF178" s="214"/>
      <c r="AG178" s="214"/>
    </row>
    <row r="179" spans="1:33" x14ac:dyDescent="0.25">
      <c r="A179" s="461" t="s">
        <v>591</v>
      </c>
      <c r="B179" s="456"/>
      <c r="C179" s="465"/>
      <c r="D179" s="465"/>
      <c r="E179" s="465"/>
      <c r="F179" s="457"/>
      <c r="G179" s="459"/>
      <c r="H179" s="480">
        <v>3.2000000000000002E-3</v>
      </c>
      <c r="I179" s="465">
        <v>527</v>
      </c>
      <c r="J179" s="842">
        <v>3.1589</v>
      </c>
      <c r="K179" s="842">
        <v>0.5</v>
      </c>
      <c r="L179" s="460">
        <v>20</v>
      </c>
      <c r="M179" s="457">
        <f t="shared" si="16"/>
        <v>0.31589</v>
      </c>
      <c r="N179" s="457">
        <f t="shared" si="21"/>
        <v>0.08</v>
      </c>
      <c r="O179" s="459">
        <f t="shared" si="25"/>
        <v>0.39589000000000002</v>
      </c>
      <c r="P179" s="456"/>
      <c r="Q179" s="457"/>
      <c r="R179" s="457"/>
      <c r="S179" s="457"/>
      <c r="T179" s="470"/>
      <c r="U179" s="471"/>
      <c r="V179" s="297"/>
      <c r="W179" s="28"/>
      <c r="Y179" s="214"/>
      <c r="Z179" s="214"/>
      <c r="AA179" s="214"/>
      <c r="AB179" s="214"/>
      <c r="AC179" s="214"/>
      <c r="AD179" s="214"/>
      <c r="AE179" s="214"/>
      <c r="AF179" s="214"/>
      <c r="AG179" s="214"/>
    </row>
    <row r="180" spans="1:33" x14ac:dyDescent="0.25">
      <c r="A180" s="461" t="s">
        <v>591</v>
      </c>
      <c r="B180" s="456"/>
      <c r="C180" s="465"/>
      <c r="D180" s="465"/>
      <c r="E180" s="465"/>
      <c r="F180" s="457"/>
      <c r="G180" s="459"/>
      <c r="H180" s="480">
        <v>5.6899999999999999E-2</v>
      </c>
      <c r="I180" s="465">
        <v>527</v>
      </c>
      <c r="J180" s="842">
        <v>3.1589</v>
      </c>
      <c r="K180" s="842">
        <v>9</v>
      </c>
      <c r="L180" s="460">
        <v>20</v>
      </c>
      <c r="M180" s="457">
        <f t="shared" si="16"/>
        <v>5.6860200000000001</v>
      </c>
      <c r="N180" s="457">
        <f t="shared" si="21"/>
        <v>1.37</v>
      </c>
      <c r="O180" s="459">
        <f t="shared" si="25"/>
        <v>7.0560200000000002</v>
      </c>
      <c r="P180" s="456"/>
      <c r="Q180" s="457"/>
      <c r="R180" s="457"/>
      <c r="S180" s="457"/>
      <c r="T180" s="470"/>
      <c r="U180" s="471"/>
      <c r="V180" s="297"/>
      <c r="W180" s="28"/>
    </row>
    <row r="181" spans="1:33" x14ac:dyDescent="0.25">
      <c r="A181" s="461" t="s">
        <v>591</v>
      </c>
      <c r="B181" s="456"/>
      <c r="C181" s="465"/>
      <c r="D181" s="465"/>
      <c r="E181" s="465"/>
      <c r="F181" s="457"/>
      <c r="G181" s="459"/>
      <c r="H181" s="480">
        <v>0.1265</v>
      </c>
      <c r="I181" s="465">
        <v>527</v>
      </c>
      <c r="J181" s="842">
        <v>3.1589</v>
      </c>
      <c r="K181" s="842">
        <v>20</v>
      </c>
      <c r="L181" s="460">
        <v>20</v>
      </c>
      <c r="M181" s="457">
        <f t="shared" si="16"/>
        <v>12.6356</v>
      </c>
      <c r="N181" s="457">
        <f t="shared" si="21"/>
        <v>3.04</v>
      </c>
      <c r="O181" s="459">
        <f t="shared" si="25"/>
        <v>15.675599999999999</v>
      </c>
      <c r="P181" s="456"/>
      <c r="Q181" s="457"/>
      <c r="R181" s="457"/>
      <c r="S181" s="457"/>
      <c r="T181" s="470"/>
      <c r="U181" s="471"/>
      <c r="V181" s="297"/>
      <c r="W181" s="28"/>
    </row>
    <row r="182" spans="1:33" x14ac:dyDescent="0.25">
      <c r="A182" s="461" t="s">
        <v>591</v>
      </c>
      <c r="B182" s="456"/>
      <c r="C182" s="465"/>
      <c r="D182" s="465"/>
      <c r="E182" s="465"/>
      <c r="F182" s="457"/>
      <c r="G182" s="459"/>
      <c r="H182" s="480">
        <v>6.9599999999999995E-2</v>
      </c>
      <c r="I182" s="465">
        <v>527</v>
      </c>
      <c r="J182" s="842">
        <v>3.1589</v>
      </c>
      <c r="K182" s="842">
        <v>11</v>
      </c>
      <c r="L182" s="460">
        <v>20</v>
      </c>
      <c r="M182" s="457">
        <f t="shared" si="16"/>
        <v>6.949580000000001</v>
      </c>
      <c r="N182" s="457">
        <f t="shared" si="21"/>
        <v>1.67</v>
      </c>
      <c r="O182" s="459">
        <f t="shared" si="25"/>
        <v>8.6195800000000009</v>
      </c>
      <c r="P182" s="456"/>
      <c r="Q182" s="457"/>
      <c r="R182" s="457"/>
      <c r="S182" s="457"/>
      <c r="T182" s="470"/>
      <c r="U182" s="471"/>
      <c r="V182" s="297"/>
      <c r="W182" s="28"/>
    </row>
    <row r="183" spans="1:33" x14ac:dyDescent="0.25">
      <c r="A183" s="461" t="s">
        <v>591</v>
      </c>
      <c r="B183" s="456"/>
      <c r="C183" s="465"/>
      <c r="D183" s="465"/>
      <c r="E183" s="465"/>
      <c r="F183" s="457"/>
      <c r="G183" s="459"/>
      <c r="H183" s="480">
        <v>6.3E-3</v>
      </c>
      <c r="I183" s="465">
        <v>527</v>
      </c>
      <c r="J183" s="842">
        <v>3.1589</v>
      </c>
      <c r="K183" s="842">
        <v>1</v>
      </c>
      <c r="L183" s="460">
        <v>20</v>
      </c>
      <c r="M183" s="457">
        <f t="shared" si="16"/>
        <v>0.63178000000000001</v>
      </c>
      <c r="N183" s="457">
        <f t="shared" si="21"/>
        <v>0.15</v>
      </c>
      <c r="O183" s="459">
        <f t="shared" si="25"/>
        <v>0.78178000000000003</v>
      </c>
      <c r="P183" s="456"/>
      <c r="Q183" s="457"/>
      <c r="R183" s="457"/>
      <c r="S183" s="457"/>
      <c r="T183" s="470"/>
      <c r="U183" s="471"/>
      <c r="V183" s="297"/>
      <c r="W183" s="28"/>
    </row>
    <row r="184" spans="1:33" x14ac:dyDescent="0.25">
      <c r="A184" s="461" t="s">
        <v>797</v>
      </c>
      <c r="B184" s="464"/>
      <c r="C184" s="465"/>
      <c r="D184" s="465"/>
      <c r="E184" s="465"/>
      <c r="F184" s="457"/>
      <c r="G184" s="459"/>
      <c r="H184" s="481">
        <v>2.23E-2</v>
      </c>
      <c r="I184" s="465">
        <v>1014</v>
      </c>
      <c r="J184" s="842">
        <v>6.0780000000000003</v>
      </c>
      <c r="K184" s="842">
        <v>3.5</v>
      </c>
      <c r="L184" s="460">
        <v>20</v>
      </c>
      <c r="M184" s="457">
        <f t="shared" si="16"/>
        <v>4.2545999999999999</v>
      </c>
      <c r="N184" s="457">
        <f t="shared" si="21"/>
        <v>1.02</v>
      </c>
      <c r="O184" s="459">
        <f t="shared" si="25"/>
        <v>5.2745999999999995</v>
      </c>
      <c r="P184" s="456"/>
      <c r="Q184" s="457"/>
      <c r="R184" s="457"/>
      <c r="S184" s="457"/>
      <c r="T184" s="470"/>
      <c r="U184" s="471"/>
      <c r="V184" s="297"/>
      <c r="W184" s="28"/>
    </row>
    <row r="185" spans="1:33" x14ac:dyDescent="0.25">
      <c r="A185" s="461" t="s">
        <v>797</v>
      </c>
      <c r="B185" s="464"/>
      <c r="C185" s="465"/>
      <c r="D185" s="465"/>
      <c r="E185" s="465"/>
      <c r="F185" s="457"/>
      <c r="G185" s="459"/>
      <c r="H185" s="481">
        <v>6.3E-3</v>
      </c>
      <c r="I185" s="465">
        <v>1014</v>
      </c>
      <c r="J185" s="842">
        <v>6.0780000000000003</v>
      </c>
      <c r="K185" s="842">
        <v>1</v>
      </c>
      <c r="L185" s="460">
        <v>20</v>
      </c>
      <c r="M185" s="457">
        <f t="shared" si="16"/>
        <v>1.2156</v>
      </c>
      <c r="N185" s="457">
        <f t="shared" si="21"/>
        <v>0.28999999999999998</v>
      </c>
      <c r="O185" s="459">
        <f t="shared" si="25"/>
        <v>1.5056</v>
      </c>
      <c r="P185" s="456"/>
      <c r="Q185" s="457"/>
      <c r="R185" s="457"/>
      <c r="S185" s="457"/>
      <c r="T185" s="470"/>
      <c r="U185" s="471"/>
      <c r="V185" s="297"/>
      <c r="W185" s="28"/>
    </row>
    <row r="186" spans="1:33" x14ac:dyDescent="0.25">
      <c r="A186" s="461" t="s">
        <v>797</v>
      </c>
      <c r="B186" s="464"/>
      <c r="C186" s="465"/>
      <c r="D186" s="465"/>
      <c r="E186" s="465"/>
      <c r="F186" s="457"/>
      <c r="G186" s="459"/>
      <c r="H186" s="481">
        <v>1.9099999999999999E-2</v>
      </c>
      <c r="I186" s="465">
        <v>1014</v>
      </c>
      <c r="J186" s="842">
        <v>6.0780000000000003</v>
      </c>
      <c r="K186" s="842">
        <v>3</v>
      </c>
      <c r="L186" s="460">
        <v>20</v>
      </c>
      <c r="M186" s="457">
        <f t="shared" si="16"/>
        <v>3.6468000000000007</v>
      </c>
      <c r="N186" s="457">
        <f t="shared" si="21"/>
        <v>0.88</v>
      </c>
      <c r="O186" s="459">
        <f t="shared" si="25"/>
        <v>4.5268000000000006</v>
      </c>
      <c r="P186" s="456"/>
      <c r="Q186" s="457"/>
      <c r="R186" s="457"/>
      <c r="S186" s="457"/>
      <c r="T186" s="470"/>
      <c r="U186" s="471"/>
      <c r="V186" s="297"/>
      <c r="W186" s="28"/>
    </row>
    <row r="187" spans="1:33" x14ac:dyDescent="0.25">
      <c r="A187" s="461" t="s">
        <v>797</v>
      </c>
      <c r="B187" s="464"/>
      <c r="C187" s="465"/>
      <c r="D187" s="465"/>
      <c r="E187" s="465"/>
      <c r="F187" s="457"/>
      <c r="G187" s="459"/>
      <c r="H187" s="481">
        <v>2.53E-2</v>
      </c>
      <c r="I187" s="465">
        <v>1014</v>
      </c>
      <c r="J187" s="842">
        <v>6.0780000000000003</v>
      </c>
      <c r="K187" s="842">
        <v>4</v>
      </c>
      <c r="L187" s="460">
        <v>20</v>
      </c>
      <c r="M187" s="457">
        <f t="shared" si="16"/>
        <v>4.8624000000000001</v>
      </c>
      <c r="N187" s="457">
        <f t="shared" si="21"/>
        <v>1.17</v>
      </c>
      <c r="O187" s="459">
        <f t="shared" si="25"/>
        <v>6.0324</v>
      </c>
      <c r="P187" s="456"/>
      <c r="Q187" s="457"/>
      <c r="R187" s="457"/>
      <c r="S187" s="457"/>
      <c r="T187" s="470"/>
      <c r="U187" s="471"/>
      <c r="V187" s="297"/>
      <c r="W187" s="28"/>
    </row>
    <row r="188" spans="1:33" x14ac:dyDescent="0.25">
      <c r="A188" s="461" t="s">
        <v>797</v>
      </c>
      <c r="B188" s="464"/>
      <c r="C188" s="465"/>
      <c r="D188" s="465"/>
      <c r="E188" s="465"/>
      <c r="F188" s="457"/>
      <c r="G188" s="459"/>
      <c r="H188" s="481">
        <v>1.5900000000000001E-2</v>
      </c>
      <c r="I188" s="465">
        <v>1014</v>
      </c>
      <c r="J188" s="842">
        <v>6.0780000000000003</v>
      </c>
      <c r="K188" s="842">
        <v>2.5</v>
      </c>
      <c r="L188" s="460">
        <v>20</v>
      </c>
      <c r="M188" s="457">
        <f t="shared" si="16"/>
        <v>3.0389999999999997</v>
      </c>
      <c r="N188" s="457">
        <f t="shared" si="21"/>
        <v>0.73</v>
      </c>
      <c r="O188" s="459">
        <f t="shared" si="25"/>
        <v>3.7689999999999997</v>
      </c>
      <c r="P188" s="456"/>
      <c r="Q188" s="457"/>
      <c r="R188" s="457"/>
      <c r="S188" s="457"/>
      <c r="T188" s="470"/>
      <c r="U188" s="471"/>
      <c r="V188" s="297"/>
      <c r="W188" s="28"/>
    </row>
    <row r="189" spans="1:33" x14ac:dyDescent="0.25">
      <c r="A189" s="461" t="s">
        <v>152</v>
      </c>
      <c r="B189" s="456"/>
      <c r="C189" s="457"/>
      <c r="D189" s="463"/>
      <c r="E189" s="457"/>
      <c r="F189" s="457"/>
      <c r="G189" s="459"/>
      <c r="H189" s="480">
        <v>0.34789999999999999</v>
      </c>
      <c r="I189" s="457">
        <v>567</v>
      </c>
      <c r="J189" s="842">
        <v>3.5886</v>
      </c>
      <c r="K189" s="842">
        <v>55</v>
      </c>
      <c r="L189" s="460">
        <v>20</v>
      </c>
      <c r="M189" s="457">
        <f t="shared" si="16"/>
        <v>39.474600000000002</v>
      </c>
      <c r="N189" s="457">
        <f t="shared" si="21"/>
        <v>9.51</v>
      </c>
      <c r="O189" s="459">
        <f t="shared" si="25"/>
        <v>48.9846</v>
      </c>
      <c r="P189" s="456"/>
      <c r="Q189" s="457"/>
      <c r="R189" s="457"/>
      <c r="S189" s="457"/>
      <c r="T189" s="470"/>
      <c r="U189" s="471"/>
      <c r="V189" s="297"/>
      <c r="W189" s="28"/>
      <c r="X189" s="462"/>
      <c r="Y189"/>
      <c r="Z189"/>
    </row>
    <row r="190" spans="1:33" x14ac:dyDescent="0.25">
      <c r="A190" s="461" t="s">
        <v>19</v>
      </c>
      <c r="B190" s="456"/>
      <c r="C190" s="457">
        <v>554</v>
      </c>
      <c r="D190" s="539">
        <v>0.02</v>
      </c>
      <c r="E190" s="457">
        <v>11.08</v>
      </c>
      <c r="F190" s="457">
        <v>2.67</v>
      </c>
      <c r="G190" s="459">
        <v>13.75</v>
      </c>
      <c r="H190" s="480">
        <v>0.1583</v>
      </c>
      <c r="I190" s="457">
        <v>554</v>
      </c>
      <c r="J190" s="842">
        <v>3.3207</v>
      </c>
      <c r="K190" s="842">
        <v>25</v>
      </c>
      <c r="L190" s="460">
        <v>20</v>
      </c>
      <c r="M190" s="457">
        <f t="shared" si="16"/>
        <v>16.6035</v>
      </c>
      <c r="N190" s="457">
        <f t="shared" si="21"/>
        <v>4</v>
      </c>
      <c r="O190" s="459">
        <f t="shared" si="25"/>
        <v>20.6035</v>
      </c>
      <c r="P190" s="456"/>
      <c r="Q190" s="457"/>
      <c r="R190" s="457"/>
      <c r="S190" s="457"/>
      <c r="T190" s="470"/>
      <c r="U190" s="471"/>
      <c r="V190" s="297"/>
      <c r="W190" s="28"/>
      <c r="X190" s="462"/>
      <c r="Y190"/>
      <c r="Z190"/>
    </row>
    <row r="191" spans="1:33" x14ac:dyDescent="0.25">
      <c r="A191" s="461" t="s">
        <v>19</v>
      </c>
      <c r="B191" s="456"/>
      <c r="C191" s="457">
        <v>554</v>
      </c>
      <c r="D191" s="539">
        <v>0.02</v>
      </c>
      <c r="E191" s="457">
        <v>11.08</v>
      </c>
      <c r="F191" s="457">
        <v>2.67</v>
      </c>
      <c r="G191" s="459">
        <v>13.75</v>
      </c>
      <c r="H191" s="480">
        <v>0.37660000000000005</v>
      </c>
      <c r="I191" s="457">
        <v>554</v>
      </c>
      <c r="J191" s="842">
        <v>3.3207</v>
      </c>
      <c r="K191" s="842">
        <v>59.5</v>
      </c>
      <c r="L191" s="460">
        <v>20</v>
      </c>
      <c r="M191" s="457">
        <f t="shared" si="16"/>
        <v>39.516329999999996</v>
      </c>
      <c r="N191" s="457">
        <f t="shared" si="21"/>
        <v>9.52</v>
      </c>
      <c r="O191" s="459">
        <f t="shared" si="25"/>
        <v>49.036329999999992</v>
      </c>
      <c r="P191" s="456"/>
      <c r="Q191" s="457"/>
      <c r="R191" s="457"/>
      <c r="S191" s="457"/>
      <c r="T191" s="470"/>
      <c r="U191" s="471"/>
      <c r="V191" s="297"/>
      <c r="W191" s="28"/>
      <c r="X191" s="462"/>
      <c r="Y191"/>
      <c r="Z191"/>
    </row>
    <row r="192" spans="1:33" x14ac:dyDescent="0.25">
      <c r="A192" s="461" t="s">
        <v>19</v>
      </c>
      <c r="B192" s="456"/>
      <c r="C192" s="457">
        <v>554</v>
      </c>
      <c r="D192" s="539">
        <v>0.06</v>
      </c>
      <c r="E192" s="457">
        <v>33.24</v>
      </c>
      <c r="F192" s="457">
        <v>8.01</v>
      </c>
      <c r="G192" s="459">
        <v>41.25</v>
      </c>
      <c r="H192" s="480">
        <v>8.5499999999999993E-2</v>
      </c>
      <c r="I192" s="457">
        <v>554</v>
      </c>
      <c r="J192" s="842">
        <v>3.3207</v>
      </c>
      <c r="K192" s="842">
        <v>13.5</v>
      </c>
      <c r="L192" s="460">
        <v>20</v>
      </c>
      <c r="M192" s="457">
        <f t="shared" si="16"/>
        <v>8.9658899999999999</v>
      </c>
      <c r="N192" s="457">
        <f t="shared" si="21"/>
        <v>2.16</v>
      </c>
      <c r="O192" s="459">
        <f t="shared" si="25"/>
        <v>11.12589</v>
      </c>
      <c r="P192" s="456"/>
      <c r="Q192" s="457"/>
      <c r="R192" s="457"/>
      <c r="S192" s="457"/>
      <c r="T192" s="470"/>
      <c r="U192" s="471"/>
      <c r="V192" s="297"/>
      <c r="W192" s="28"/>
      <c r="X192" s="462"/>
      <c r="Y192"/>
      <c r="Z192"/>
    </row>
    <row r="193" spans="1:26" x14ac:dyDescent="0.25">
      <c r="A193" s="461" t="s">
        <v>19</v>
      </c>
      <c r="B193" s="456"/>
      <c r="C193" s="457">
        <v>554</v>
      </c>
      <c r="D193" s="539">
        <v>0.04</v>
      </c>
      <c r="E193" s="457">
        <v>22.16</v>
      </c>
      <c r="F193" s="457">
        <v>5.34</v>
      </c>
      <c r="G193" s="459">
        <v>27.5</v>
      </c>
      <c r="H193" s="480">
        <v>0.30049999999999999</v>
      </c>
      <c r="I193" s="457">
        <v>554</v>
      </c>
      <c r="J193" s="842">
        <v>3.5063</v>
      </c>
      <c r="K193" s="842">
        <v>47.5</v>
      </c>
      <c r="L193" s="460">
        <v>20</v>
      </c>
      <c r="M193" s="457">
        <f t="shared" si="16"/>
        <v>33.309850000000004</v>
      </c>
      <c r="N193" s="457">
        <f t="shared" si="21"/>
        <v>8.02</v>
      </c>
      <c r="O193" s="459">
        <f t="shared" si="25"/>
        <v>41.329850000000008</v>
      </c>
      <c r="P193" s="456"/>
      <c r="Q193" s="457"/>
      <c r="R193" s="457"/>
      <c r="S193" s="457"/>
      <c r="T193" s="470"/>
      <c r="U193" s="471"/>
      <c r="V193" s="297"/>
      <c r="W193" s="28"/>
      <c r="X193" s="462"/>
      <c r="Y193"/>
      <c r="Z193"/>
    </row>
    <row r="194" spans="1:26" x14ac:dyDescent="0.25">
      <c r="A194" s="461" t="s">
        <v>19</v>
      </c>
      <c r="B194" s="456"/>
      <c r="C194" s="457">
        <v>504</v>
      </c>
      <c r="D194" s="539">
        <v>0.04</v>
      </c>
      <c r="E194" s="457">
        <v>20.16</v>
      </c>
      <c r="F194" s="457">
        <v>4.8600000000000003</v>
      </c>
      <c r="G194" s="459">
        <v>25.02</v>
      </c>
      <c r="H194" s="480">
        <v>3.2000000000000002E-3</v>
      </c>
      <c r="I194" s="457">
        <v>554</v>
      </c>
      <c r="J194" s="842">
        <v>3.3207</v>
      </c>
      <c r="K194" s="842">
        <v>0.5</v>
      </c>
      <c r="L194" s="460">
        <v>20</v>
      </c>
      <c r="M194" s="457">
        <f t="shared" si="16"/>
        <v>0.33207000000000003</v>
      </c>
      <c r="N194" s="457">
        <f t="shared" si="21"/>
        <v>0.08</v>
      </c>
      <c r="O194" s="459">
        <f t="shared" si="25"/>
        <v>0.41207000000000005</v>
      </c>
      <c r="P194" s="456"/>
      <c r="Q194" s="457"/>
      <c r="R194" s="457"/>
      <c r="S194" s="457"/>
      <c r="T194" s="470"/>
      <c r="U194" s="471"/>
      <c r="V194" s="297"/>
      <c r="W194" s="28"/>
      <c r="X194" s="462"/>
      <c r="Y194"/>
      <c r="Z194"/>
    </row>
    <row r="195" spans="1:26" x14ac:dyDescent="0.25">
      <c r="A195" s="461" t="s">
        <v>19</v>
      </c>
      <c r="B195" s="456"/>
      <c r="C195" s="457"/>
      <c r="D195" s="463"/>
      <c r="E195" s="457"/>
      <c r="F195" s="457"/>
      <c r="G195" s="459"/>
      <c r="H195" s="480">
        <v>0.5948</v>
      </c>
      <c r="I195" s="457">
        <v>554</v>
      </c>
      <c r="J195" s="842">
        <v>3.3207</v>
      </c>
      <c r="K195" s="842">
        <v>94</v>
      </c>
      <c r="L195" s="460">
        <v>20</v>
      </c>
      <c r="M195" s="457">
        <f t="shared" si="16"/>
        <v>62.429160000000003</v>
      </c>
      <c r="N195" s="457">
        <f t="shared" si="21"/>
        <v>15.04</v>
      </c>
      <c r="O195" s="459">
        <f t="shared" si="25"/>
        <v>77.469160000000002</v>
      </c>
      <c r="P195" s="456"/>
      <c r="Q195" s="457"/>
      <c r="R195" s="457"/>
      <c r="S195" s="457"/>
      <c r="T195" s="470"/>
      <c r="U195" s="471"/>
      <c r="V195" s="297"/>
      <c r="W195" s="28"/>
      <c r="X195" s="462"/>
      <c r="Y195"/>
      <c r="Z195"/>
    </row>
    <row r="196" spans="1:26" x14ac:dyDescent="0.25">
      <c r="A196" s="461" t="s">
        <v>19</v>
      </c>
      <c r="B196" s="456"/>
      <c r="C196" s="457"/>
      <c r="D196" s="463"/>
      <c r="E196" s="457"/>
      <c r="F196" s="457"/>
      <c r="G196" s="459"/>
      <c r="H196" s="480">
        <v>8.8700000000000015E-2</v>
      </c>
      <c r="I196" s="457">
        <v>554</v>
      </c>
      <c r="J196" s="842">
        <v>3.3207</v>
      </c>
      <c r="K196" s="842">
        <v>14</v>
      </c>
      <c r="L196" s="460">
        <v>20</v>
      </c>
      <c r="M196" s="457">
        <f t="shared" si="16"/>
        <v>9.2979599999999998</v>
      </c>
      <c r="N196" s="457">
        <f t="shared" si="21"/>
        <v>2.2400000000000002</v>
      </c>
      <c r="O196" s="459">
        <f t="shared" si="25"/>
        <v>11.53796</v>
      </c>
      <c r="P196" s="456"/>
      <c r="Q196" s="457"/>
      <c r="R196" s="457"/>
      <c r="S196" s="457"/>
      <c r="T196" s="470"/>
      <c r="U196" s="471"/>
      <c r="V196" s="297"/>
      <c r="W196" s="28"/>
      <c r="X196" s="462"/>
      <c r="Y196"/>
      <c r="Z196"/>
    </row>
    <row r="197" spans="1:26" x14ac:dyDescent="0.25">
      <c r="A197" s="461" t="s">
        <v>19</v>
      </c>
      <c r="B197" s="456"/>
      <c r="C197" s="457"/>
      <c r="D197" s="463"/>
      <c r="E197" s="457"/>
      <c r="F197" s="457"/>
      <c r="G197" s="459"/>
      <c r="H197" s="480">
        <v>4.7500000000000001E-2</v>
      </c>
      <c r="I197" s="457">
        <v>774</v>
      </c>
      <c r="J197" s="842">
        <v>4.6395</v>
      </c>
      <c r="K197" s="842">
        <v>7.5</v>
      </c>
      <c r="L197" s="460">
        <v>20</v>
      </c>
      <c r="M197" s="457">
        <f t="shared" si="16"/>
        <v>6.9592499999999999</v>
      </c>
      <c r="N197" s="457">
        <f t="shared" si="21"/>
        <v>1.68</v>
      </c>
      <c r="O197" s="459">
        <f t="shared" si="25"/>
        <v>8.6392500000000005</v>
      </c>
      <c r="P197" s="456"/>
      <c r="Q197" s="457"/>
      <c r="R197" s="457"/>
      <c r="S197" s="457"/>
      <c r="T197" s="470"/>
      <c r="U197" s="471"/>
      <c r="V197" s="297"/>
      <c r="W197" s="28"/>
      <c r="X197" s="462"/>
      <c r="Y197"/>
      <c r="Z197"/>
    </row>
    <row r="198" spans="1:26" x14ac:dyDescent="0.25">
      <c r="A198" s="461" t="s">
        <v>19</v>
      </c>
      <c r="B198" s="456"/>
      <c r="C198" s="457"/>
      <c r="D198" s="463"/>
      <c r="E198" s="457"/>
      <c r="F198" s="457"/>
      <c r="G198" s="459"/>
      <c r="H198" s="480">
        <v>9.5000000000000001E-2</v>
      </c>
      <c r="I198" s="457">
        <v>554</v>
      </c>
      <c r="J198" s="842">
        <v>3.3207</v>
      </c>
      <c r="K198" s="842">
        <v>15</v>
      </c>
      <c r="L198" s="460">
        <v>20</v>
      </c>
      <c r="M198" s="457">
        <f t="shared" si="16"/>
        <v>9.9620999999999995</v>
      </c>
      <c r="N198" s="457">
        <f t="shared" si="21"/>
        <v>2.4</v>
      </c>
      <c r="O198" s="459">
        <f t="shared" si="25"/>
        <v>12.3621</v>
      </c>
      <c r="P198" s="456"/>
      <c r="Q198" s="457"/>
      <c r="R198" s="457"/>
      <c r="S198" s="457"/>
      <c r="T198" s="470"/>
      <c r="U198" s="471"/>
      <c r="V198" s="297"/>
      <c r="W198" s="28"/>
      <c r="X198" s="462"/>
      <c r="Y198"/>
      <c r="Z198"/>
    </row>
    <row r="199" spans="1:26" x14ac:dyDescent="0.25">
      <c r="A199" s="461" t="s">
        <v>19</v>
      </c>
      <c r="B199" s="456"/>
      <c r="C199" s="457"/>
      <c r="D199" s="463"/>
      <c r="E199" s="457"/>
      <c r="F199" s="457"/>
      <c r="G199" s="459"/>
      <c r="H199" s="480">
        <v>9.5000000000000001E-2</v>
      </c>
      <c r="I199" s="457">
        <v>774</v>
      </c>
      <c r="J199" s="842">
        <v>4.6395</v>
      </c>
      <c r="K199" s="842">
        <v>15</v>
      </c>
      <c r="L199" s="460">
        <v>20</v>
      </c>
      <c r="M199" s="457">
        <f t="shared" si="16"/>
        <v>13.9185</v>
      </c>
      <c r="N199" s="457">
        <f t="shared" si="21"/>
        <v>3.35</v>
      </c>
      <c r="O199" s="459">
        <f t="shared" si="25"/>
        <v>17.2685</v>
      </c>
      <c r="P199" s="456"/>
      <c r="Q199" s="457"/>
      <c r="R199" s="457"/>
      <c r="S199" s="457"/>
      <c r="T199" s="470"/>
      <c r="U199" s="471"/>
      <c r="V199" s="297"/>
      <c r="W199" s="28"/>
      <c r="X199" s="462"/>
      <c r="Y199"/>
      <c r="Z199"/>
    </row>
    <row r="200" spans="1:26" x14ac:dyDescent="0.25">
      <c r="A200" s="461" t="s">
        <v>19</v>
      </c>
      <c r="B200" s="456"/>
      <c r="C200" s="457"/>
      <c r="D200" s="463"/>
      <c r="E200" s="457"/>
      <c r="F200" s="457"/>
      <c r="G200" s="459"/>
      <c r="H200" s="480">
        <v>2.53E-2</v>
      </c>
      <c r="I200" s="457">
        <v>554</v>
      </c>
      <c r="J200" s="842">
        <v>3.5063</v>
      </c>
      <c r="K200" s="842">
        <v>4</v>
      </c>
      <c r="L200" s="460">
        <v>20</v>
      </c>
      <c r="M200" s="457">
        <f t="shared" si="16"/>
        <v>2.80504</v>
      </c>
      <c r="N200" s="457">
        <f t="shared" si="21"/>
        <v>0.68</v>
      </c>
      <c r="O200" s="459">
        <f t="shared" si="25"/>
        <v>3.4850400000000001</v>
      </c>
      <c r="P200" s="456"/>
      <c r="Q200" s="457"/>
      <c r="R200" s="457"/>
      <c r="S200" s="457"/>
      <c r="T200" s="470"/>
      <c r="U200" s="471"/>
      <c r="V200" s="297"/>
      <c r="W200" s="28"/>
      <c r="X200" s="462"/>
      <c r="Y200"/>
      <c r="Z200"/>
    </row>
    <row r="201" spans="1:26" x14ac:dyDescent="0.25">
      <c r="A201" s="461" t="s">
        <v>19</v>
      </c>
      <c r="B201" s="456"/>
      <c r="C201" s="457"/>
      <c r="D201" s="463"/>
      <c r="E201" s="457"/>
      <c r="F201" s="457"/>
      <c r="G201" s="459"/>
      <c r="H201" s="480">
        <v>0.52839999999999998</v>
      </c>
      <c r="I201" s="457">
        <v>554</v>
      </c>
      <c r="J201" s="842">
        <v>3.3207</v>
      </c>
      <c r="K201" s="842">
        <v>83.5</v>
      </c>
      <c r="L201" s="460">
        <v>20</v>
      </c>
      <c r="M201" s="457">
        <f t="shared" si="16"/>
        <v>55.455690000000004</v>
      </c>
      <c r="N201" s="457">
        <f t="shared" si="21"/>
        <v>13.36</v>
      </c>
      <c r="O201" s="459">
        <f t="shared" si="25"/>
        <v>68.815690000000004</v>
      </c>
      <c r="P201" s="456"/>
      <c r="Q201" s="457"/>
      <c r="R201" s="457"/>
      <c r="S201" s="457"/>
      <c r="T201" s="470"/>
      <c r="U201" s="471"/>
      <c r="V201" s="297"/>
      <c r="W201" s="28"/>
      <c r="X201" s="462"/>
      <c r="Y201"/>
      <c r="Z201"/>
    </row>
    <row r="202" spans="1:26" x14ac:dyDescent="0.25">
      <c r="A202" s="461" t="s">
        <v>19</v>
      </c>
      <c r="B202" s="456"/>
      <c r="C202" s="457"/>
      <c r="D202" s="463"/>
      <c r="E202" s="457"/>
      <c r="F202" s="457"/>
      <c r="G202" s="459"/>
      <c r="H202" s="480">
        <v>6.9699999999999998E-2</v>
      </c>
      <c r="I202" s="457">
        <v>554</v>
      </c>
      <c r="J202" s="842">
        <v>3.3207</v>
      </c>
      <c r="K202" s="842">
        <v>11</v>
      </c>
      <c r="L202" s="460">
        <v>20</v>
      </c>
      <c r="M202" s="457">
        <f t="shared" si="16"/>
        <v>7.3055400000000006</v>
      </c>
      <c r="N202" s="457">
        <f t="shared" si="21"/>
        <v>1.76</v>
      </c>
      <c r="O202" s="459">
        <f t="shared" si="25"/>
        <v>9.0655400000000004</v>
      </c>
      <c r="P202" s="456"/>
      <c r="Q202" s="457"/>
      <c r="R202" s="457"/>
      <c r="S202" s="457"/>
      <c r="T202" s="470"/>
      <c r="U202" s="471"/>
      <c r="V202" s="297"/>
      <c r="W202" s="28"/>
      <c r="X202" s="462"/>
      <c r="Y202"/>
      <c r="Z202"/>
    </row>
    <row r="203" spans="1:26" x14ac:dyDescent="0.25">
      <c r="A203" s="461" t="s">
        <v>19</v>
      </c>
      <c r="B203" s="456"/>
      <c r="C203" s="457"/>
      <c r="D203" s="463"/>
      <c r="E203" s="457"/>
      <c r="F203" s="457"/>
      <c r="G203" s="459"/>
      <c r="H203" s="480">
        <v>0.10430000000000002</v>
      </c>
      <c r="I203" s="457">
        <v>554</v>
      </c>
      <c r="J203" s="842">
        <v>3.3207</v>
      </c>
      <c r="K203" s="842">
        <v>16.5</v>
      </c>
      <c r="L203" s="460">
        <v>20</v>
      </c>
      <c r="M203" s="457">
        <f t="shared" si="16"/>
        <v>10.958310000000001</v>
      </c>
      <c r="N203" s="457">
        <f t="shared" si="21"/>
        <v>2.64</v>
      </c>
      <c r="O203" s="459">
        <f t="shared" si="25"/>
        <v>13.598310000000001</v>
      </c>
      <c r="P203" s="456"/>
      <c r="Q203" s="457"/>
      <c r="R203" s="457"/>
      <c r="S203" s="457"/>
      <c r="T203" s="470"/>
      <c r="U203" s="471"/>
      <c r="V203" s="297"/>
      <c r="W203" s="28"/>
      <c r="X203" s="462"/>
      <c r="Y203"/>
      <c r="Z203"/>
    </row>
    <row r="204" spans="1:26" x14ac:dyDescent="0.25">
      <c r="A204" s="461" t="s">
        <v>19</v>
      </c>
      <c r="B204" s="456"/>
      <c r="C204" s="457"/>
      <c r="D204" s="463"/>
      <c r="E204" s="457"/>
      <c r="F204" s="457"/>
      <c r="G204" s="459"/>
      <c r="H204" s="480">
        <v>9.4999999999999998E-3</v>
      </c>
      <c r="I204" s="457">
        <v>554</v>
      </c>
      <c r="J204" s="842">
        <v>3.3207</v>
      </c>
      <c r="K204" s="842">
        <v>1.5</v>
      </c>
      <c r="L204" s="460">
        <v>20</v>
      </c>
      <c r="M204" s="457">
        <f t="shared" ref="M204:M222" si="26">J204*K204*L204/100</f>
        <v>0.99620999999999993</v>
      </c>
      <c r="N204" s="457">
        <f t="shared" si="21"/>
        <v>0.24</v>
      </c>
      <c r="O204" s="459">
        <f t="shared" si="25"/>
        <v>1.2362099999999998</v>
      </c>
      <c r="P204" s="456"/>
      <c r="Q204" s="457"/>
      <c r="R204" s="457"/>
      <c r="S204" s="457"/>
      <c r="T204" s="470"/>
      <c r="U204" s="471"/>
      <c r="V204" s="297"/>
      <c r="W204" s="28"/>
      <c r="X204" s="462"/>
      <c r="Y204"/>
      <c r="Z204"/>
    </row>
    <row r="205" spans="1:26" x14ac:dyDescent="0.25">
      <c r="A205" s="461" t="s">
        <v>19</v>
      </c>
      <c r="B205" s="456"/>
      <c r="C205" s="457"/>
      <c r="D205" s="463"/>
      <c r="E205" s="457"/>
      <c r="F205" s="457"/>
      <c r="G205" s="459"/>
      <c r="H205" s="480">
        <v>9.4999999999999987E-2</v>
      </c>
      <c r="I205" s="457">
        <v>554</v>
      </c>
      <c r="J205" s="842">
        <v>3.3207</v>
      </c>
      <c r="K205" s="842">
        <v>15</v>
      </c>
      <c r="L205" s="460">
        <v>20</v>
      </c>
      <c r="M205" s="457">
        <f t="shared" si="26"/>
        <v>9.9620999999999995</v>
      </c>
      <c r="N205" s="457">
        <f t="shared" si="21"/>
        <v>2.4</v>
      </c>
      <c r="O205" s="459">
        <f t="shared" si="25"/>
        <v>12.3621</v>
      </c>
      <c r="P205" s="456"/>
      <c r="Q205" s="457"/>
      <c r="R205" s="457"/>
      <c r="S205" s="457"/>
      <c r="T205" s="470"/>
      <c r="U205" s="471"/>
      <c r="V205" s="297"/>
      <c r="W205" s="28"/>
      <c r="X205" s="462"/>
      <c r="Y205"/>
      <c r="Z205"/>
    </row>
    <row r="206" spans="1:26" x14ac:dyDescent="0.25">
      <c r="A206" s="461" t="s">
        <v>19</v>
      </c>
      <c r="B206" s="456"/>
      <c r="C206" s="457"/>
      <c r="D206" s="463"/>
      <c r="E206" s="457"/>
      <c r="F206" s="457"/>
      <c r="G206" s="459"/>
      <c r="H206" s="480">
        <v>3.2000000000000002E-3</v>
      </c>
      <c r="I206" s="457">
        <v>554</v>
      </c>
      <c r="J206" s="842">
        <v>3.3207</v>
      </c>
      <c r="K206" s="842">
        <v>0.5</v>
      </c>
      <c r="L206" s="460">
        <v>20</v>
      </c>
      <c r="M206" s="457">
        <f t="shared" si="26"/>
        <v>0.33207000000000003</v>
      </c>
      <c r="N206" s="457">
        <f t="shared" si="21"/>
        <v>0.08</v>
      </c>
      <c r="O206" s="459">
        <f t="shared" si="25"/>
        <v>0.41207000000000005</v>
      </c>
      <c r="P206" s="456"/>
      <c r="Q206" s="457"/>
      <c r="R206" s="457"/>
      <c r="S206" s="457"/>
      <c r="T206" s="470"/>
      <c r="U206" s="471"/>
      <c r="V206" s="297"/>
      <c r="W206" s="28"/>
      <c r="X206" s="462"/>
      <c r="Y206"/>
      <c r="Z206"/>
    </row>
    <row r="207" spans="1:26" x14ac:dyDescent="0.25">
      <c r="A207" s="461" t="s">
        <v>798</v>
      </c>
      <c r="B207" s="456"/>
      <c r="C207" s="457"/>
      <c r="D207" s="463"/>
      <c r="E207" s="457"/>
      <c r="F207" s="457"/>
      <c r="G207" s="459"/>
      <c r="H207" s="480">
        <v>6.6600000000000006E-2</v>
      </c>
      <c r="I207" s="457">
        <v>554</v>
      </c>
      <c r="J207" s="842">
        <v>3.3207</v>
      </c>
      <c r="K207" s="842">
        <v>10.5</v>
      </c>
      <c r="L207" s="460">
        <v>20</v>
      </c>
      <c r="M207" s="457">
        <f t="shared" si="26"/>
        <v>6.9734699999999998</v>
      </c>
      <c r="N207" s="457">
        <f t="shared" si="21"/>
        <v>1.68</v>
      </c>
      <c r="O207" s="459">
        <f t="shared" si="25"/>
        <v>8.6534700000000004</v>
      </c>
      <c r="P207" s="456"/>
      <c r="Q207" s="457"/>
      <c r="R207" s="457"/>
      <c r="S207" s="457"/>
      <c r="T207" s="470"/>
      <c r="U207" s="471"/>
      <c r="V207" s="297"/>
      <c r="W207" s="28"/>
      <c r="X207" s="462"/>
      <c r="Y207"/>
      <c r="Z207"/>
    </row>
    <row r="208" spans="1:26" x14ac:dyDescent="0.25">
      <c r="A208" s="461" t="s">
        <v>798</v>
      </c>
      <c r="B208" s="456"/>
      <c r="C208" s="457"/>
      <c r="D208" s="463"/>
      <c r="E208" s="457"/>
      <c r="F208" s="457"/>
      <c r="G208" s="459"/>
      <c r="H208" s="480">
        <v>1.2699999999999999E-2</v>
      </c>
      <c r="I208" s="457">
        <v>554</v>
      </c>
      <c r="J208" s="842">
        <v>3.3207</v>
      </c>
      <c r="K208" s="842">
        <v>2</v>
      </c>
      <c r="L208" s="460">
        <v>20</v>
      </c>
      <c r="M208" s="457">
        <f t="shared" si="26"/>
        <v>1.3282800000000001</v>
      </c>
      <c r="N208" s="457">
        <f t="shared" si="21"/>
        <v>0.32</v>
      </c>
      <c r="O208" s="459">
        <f t="shared" si="25"/>
        <v>1.6482800000000002</v>
      </c>
      <c r="P208" s="456"/>
      <c r="Q208" s="457"/>
      <c r="R208" s="457"/>
      <c r="S208" s="457"/>
      <c r="T208" s="470"/>
      <c r="U208" s="471"/>
      <c r="V208" s="297"/>
      <c r="W208" s="28"/>
      <c r="X208" s="462"/>
      <c r="Y208"/>
      <c r="Z208"/>
    </row>
    <row r="209" spans="1:26" x14ac:dyDescent="0.25">
      <c r="A209" s="461" t="s">
        <v>798</v>
      </c>
      <c r="B209" s="456"/>
      <c r="C209" s="457"/>
      <c r="D209" s="463"/>
      <c r="E209" s="457"/>
      <c r="F209" s="457"/>
      <c r="G209" s="459"/>
      <c r="H209" s="480">
        <v>0.20580000000000001</v>
      </c>
      <c r="I209" s="457">
        <v>554</v>
      </c>
      <c r="J209" s="842">
        <v>3.3207</v>
      </c>
      <c r="K209" s="842">
        <v>32.5</v>
      </c>
      <c r="L209" s="460">
        <v>20</v>
      </c>
      <c r="M209" s="457">
        <f t="shared" si="26"/>
        <v>21.58455</v>
      </c>
      <c r="N209" s="457">
        <f t="shared" si="21"/>
        <v>5.2</v>
      </c>
      <c r="O209" s="459">
        <f t="shared" si="25"/>
        <v>26.784549999999999</v>
      </c>
      <c r="P209" s="456"/>
      <c r="Q209" s="457"/>
      <c r="R209" s="457"/>
      <c r="S209" s="457"/>
      <c r="T209" s="470"/>
      <c r="U209" s="471"/>
      <c r="V209" s="297"/>
      <c r="W209" s="28"/>
      <c r="X209" s="462"/>
      <c r="Y209"/>
      <c r="Z209"/>
    </row>
    <row r="210" spans="1:26" x14ac:dyDescent="0.25">
      <c r="A210" s="461" t="s">
        <v>798</v>
      </c>
      <c r="B210" s="456"/>
      <c r="C210" s="457"/>
      <c r="D210" s="463"/>
      <c r="E210" s="457"/>
      <c r="F210" s="457"/>
      <c r="G210" s="459"/>
      <c r="H210" s="480">
        <v>9.4999999999999998E-3</v>
      </c>
      <c r="I210" s="457">
        <v>554</v>
      </c>
      <c r="J210" s="842">
        <v>3.3207</v>
      </c>
      <c r="K210" s="842">
        <v>1.5</v>
      </c>
      <c r="L210" s="460">
        <v>20</v>
      </c>
      <c r="M210" s="457">
        <f t="shared" si="26"/>
        <v>0.99620999999999993</v>
      </c>
      <c r="N210" s="457">
        <f t="shared" si="21"/>
        <v>0.24</v>
      </c>
      <c r="O210" s="459">
        <f t="shared" si="25"/>
        <v>1.2362099999999998</v>
      </c>
      <c r="P210" s="456"/>
      <c r="Q210" s="457"/>
      <c r="R210" s="457"/>
      <c r="S210" s="457"/>
      <c r="T210" s="470"/>
      <c r="U210" s="471"/>
      <c r="V210" s="297"/>
      <c r="W210" s="28"/>
      <c r="X210" s="462"/>
      <c r="Y210"/>
      <c r="Z210"/>
    </row>
    <row r="211" spans="1:26" x14ac:dyDescent="0.25">
      <c r="A211" s="461" t="s">
        <v>798</v>
      </c>
      <c r="B211" s="456"/>
      <c r="C211" s="457"/>
      <c r="D211" s="463"/>
      <c r="E211" s="457"/>
      <c r="F211" s="457"/>
      <c r="G211" s="459"/>
      <c r="H211" s="480">
        <v>2.53E-2</v>
      </c>
      <c r="I211" s="457">
        <v>554</v>
      </c>
      <c r="J211" s="842">
        <v>3.5063</v>
      </c>
      <c r="K211" s="842">
        <v>4</v>
      </c>
      <c r="L211" s="460">
        <v>20</v>
      </c>
      <c r="M211" s="457">
        <f t="shared" si="26"/>
        <v>2.80504</v>
      </c>
      <c r="N211" s="457">
        <f t="shared" si="21"/>
        <v>0.68</v>
      </c>
      <c r="O211" s="459">
        <f t="shared" si="25"/>
        <v>3.4850400000000001</v>
      </c>
      <c r="P211" s="456"/>
      <c r="Q211" s="457"/>
      <c r="R211" s="457"/>
      <c r="S211" s="457"/>
      <c r="T211" s="470"/>
      <c r="U211" s="471"/>
      <c r="V211" s="297"/>
      <c r="W211" s="28"/>
      <c r="X211" s="462"/>
      <c r="Y211"/>
      <c r="Z211"/>
    </row>
    <row r="212" spans="1:26" x14ac:dyDescent="0.25">
      <c r="A212" s="461" t="s">
        <v>798</v>
      </c>
      <c r="B212" s="456"/>
      <c r="C212" s="457"/>
      <c r="D212" s="463"/>
      <c r="E212" s="457"/>
      <c r="F212" s="457"/>
      <c r="G212" s="459"/>
      <c r="H212" s="480">
        <v>0.1298</v>
      </c>
      <c r="I212" s="457">
        <v>554</v>
      </c>
      <c r="J212" s="842">
        <v>3.3207</v>
      </c>
      <c r="K212" s="842">
        <v>20.5</v>
      </c>
      <c r="L212" s="460">
        <v>20</v>
      </c>
      <c r="M212" s="457">
        <f t="shared" si="26"/>
        <v>13.614869999999998</v>
      </c>
      <c r="N212" s="457">
        <f t="shared" si="21"/>
        <v>3.28</v>
      </c>
      <c r="O212" s="459">
        <f t="shared" si="25"/>
        <v>16.894869999999997</v>
      </c>
      <c r="P212" s="456"/>
      <c r="Q212" s="457"/>
      <c r="R212" s="457"/>
      <c r="S212" s="457"/>
      <c r="T212" s="470"/>
      <c r="U212" s="471"/>
      <c r="V212" s="297"/>
      <c r="W212" s="28"/>
      <c r="X212" s="462"/>
      <c r="Y212"/>
      <c r="Z212"/>
    </row>
    <row r="213" spans="1:26" x14ac:dyDescent="0.25">
      <c r="A213" s="461" t="s">
        <v>798</v>
      </c>
      <c r="B213" s="456"/>
      <c r="C213" s="457"/>
      <c r="D213" s="463"/>
      <c r="E213" s="457"/>
      <c r="F213" s="457"/>
      <c r="G213" s="459"/>
      <c r="H213" s="480">
        <v>3.2000000000000002E-3</v>
      </c>
      <c r="I213" s="457">
        <v>554</v>
      </c>
      <c r="J213" s="842">
        <v>3.3207</v>
      </c>
      <c r="K213" s="842">
        <v>0.5</v>
      </c>
      <c r="L213" s="460">
        <v>20</v>
      </c>
      <c r="M213" s="457">
        <f t="shared" si="26"/>
        <v>0.33207000000000003</v>
      </c>
      <c r="N213" s="457">
        <f t="shared" si="21"/>
        <v>0.08</v>
      </c>
      <c r="O213" s="459">
        <f t="shared" si="25"/>
        <v>0.41207000000000005</v>
      </c>
      <c r="P213" s="456"/>
      <c r="Q213" s="457"/>
      <c r="R213" s="457"/>
      <c r="S213" s="457"/>
      <c r="T213" s="470"/>
      <c r="U213" s="471"/>
      <c r="V213" s="297"/>
      <c r="W213" s="28"/>
      <c r="X213" s="462"/>
      <c r="Y213"/>
      <c r="Z213"/>
    </row>
    <row r="214" spans="1:26" x14ac:dyDescent="0.25">
      <c r="A214" s="461" t="s">
        <v>798</v>
      </c>
      <c r="B214" s="456"/>
      <c r="C214" s="457"/>
      <c r="D214" s="463"/>
      <c r="E214" s="457"/>
      <c r="F214" s="457"/>
      <c r="G214" s="459"/>
      <c r="H214" s="480">
        <v>0.13619999999999999</v>
      </c>
      <c r="I214" s="457">
        <v>554</v>
      </c>
      <c r="J214" s="842">
        <v>3.3207</v>
      </c>
      <c r="K214" s="842">
        <v>21.5</v>
      </c>
      <c r="L214" s="460">
        <v>20</v>
      </c>
      <c r="M214" s="457">
        <f t="shared" si="26"/>
        <v>14.279009999999998</v>
      </c>
      <c r="N214" s="457">
        <f t="shared" ref="N214:N222" si="27">ROUND(M214*0.2409,2)</f>
        <v>3.44</v>
      </c>
      <c r="O214" s="459">
        <f t="shared" si="25"/>
        <v>17.719009999999997</v>
      </c>
      <c r="P214" s="456"/>
      <c r="Q214" s="457"/>
      <c r="R214" s="457"/>
      <c r="S214" s="457"/>
      <c r="T214" s="470"/>
      <c r="U214" s="471"/>
      <c r="V214" s="297"/>
      <c r="W214" s="28"/>
      <c r="X214" s="462"/>
      <c r="Y214"/>
      <c r="Z214"/>
    </row>
    <row r="215" spans="1:26" x14ac:dyDescent="0.25">
      <c r="A215" s="461" t="s">
        <v>798</v>
      </c>
      <c r="B215" s="456"/>
      <c r="C215" s="457"/>
      <c r="D215" s="463"/>
      <c r="E215" s="457"/>
      <c r="F215" s="457"/>
      <c r="G215" s="459"/>
      <c r="H215" s="480">
        <v>6.4000000000000003E-3</v>
      </c>
      <c r="I215" s="457">
        <v>554</v>
      </c>
      <c r="J215" s="842">
        <v>3.3207</v>
      </c>
      <c r="K215" s="842">
        <v>1</v>
      </c>
      <c r="L215" s="460">
        <v>20</v>
      </c>
      <c r="M215" s="457">
        <f t="shared" si="26"/>
        <v>0.66414000000000006</v>
      </c>
      <c r="N215" s="457">
        <f t="shared" si="27"/>
        <v>0.16</v>
      </c>
      <c r="O215" s="459">
        <f t="shared" si="25"/>
        <v>0.82414000000000009</v>
      </c>
      <c r="P215" s="456"/>
      <c r="Q215" s="457"/>
      <c r="R215" s="457"/>
      <c r="S215" s="457"/>
      <c r="T215" s="470"/>
      <c r="U215" s="471"/>
      <c r="V215" s="297"/>
      <c r="W215" s="28"/>
      <c r="X215" s="462"/>
      <c r="Y215"/>
      <c r="Z215"/>
    </row>
    <row r="216" spans="1:26" x14ac:dyDescent="0.25">
      <c r="A216" s="461" t="s">
        <v>798</v>
      </c>
      <c r="B216" s="456"/>
      <c r="C216" s="457"/>
      <c r="D216" s="463"/>
      <c r="E216" s="457"/>
      <c r="F216" s="457"/>
      <c r="G216" s="459"/>
      <c r="H216" s="480">
        <v>0.1045</v>
      </c>
      <c r="I216" s="457">
        <v>554</v>
      </c>
      <c r="J216" s="842">
        <v>3.3207</v>
      </c>
      <c r="K216" s="842">
        <v>16.5</v>
      </c>
      <c r="L216" s="460">
        <v>20</v>
      </c>
      <c r="M216" s="457">
        <f t="shared" si="26"/>
        <v>10.958310000000001</v>
      </c>
      <c r="N216" s="457">
        <f t="shared" si="27"/>
        <v>2.64</v>
      </c>
      <c r="O216" s="459">
        <f t="shared" si="25"/>
        <v>13.598310000000001</v>
      </c>
      <c r="P216" s="456"/>
      <c r="Q216" s="457"/>
      <c r="R216" s="457"/>
      <c r="S216" s="457"/>
      <c r="T216" s="470"/>
      <c r="U216" s="471"/>
      <c r="V216" s="297"/>
      <c r="W216" s="28"/>
      <c r="X216" s="462"/>
      <c r="Y216"/>
      <c r="Z216"/>
    </row>
    <row r="217" spans="1:26" x14ac:dyDescent="0.25">
      <c r="A217" s="461" t="s">
        <v>798</v>
      </c>
      <c r="B217" s="456"/>
      <c r="C217" s="457"/>
      <c r="D217" s="463"/>
      <c r="E217" s="457"/>
      <c r="F217" s="457"/>
      <c r="G217" s="459"/>
      <c r="H217" s="480">
        <v>3.1600000000000003E-2</v>
      </c>
      <c r="I217" s="457">
        <v>554</v>
      </c>
      <c r="J217" s="842">
        <v>3.3207</v>
      </c>
      <c r="K217" s="842">
        <v>5</v>
      </c>
      <c r="L217" s="460">
        <v>20</v>
      </c>
      <c r="M217" s="457">
        <f t="shared" si="26"/>
        <v>3.3207</v>
      </c>
      <c r="N217" s="457">
        <f t="shared" si="27"/>
        <v>0.8</v>
      </c>
      <c r="O217" s="459">
        <f t="shared" si="25"/>
        <v>4.1207000000000003</v>
      </c>
      <c r="P217" s="456"/>
      <c r="Q217" s="457"/>
      <c r="R217" s="457"/>
      <c r="S217" s="457"/>
      <c r="T217" s="470"/>
      <c r="U217" s="471"/>
      <c r="V217" s="297"/>
      <c r="W217" s="28"/>
      <c r="X217" s="462"/>
      <c r="Y217"/>
      <c r="Z217"/>
    </row>
    <row r="218" spans="1:26" x14ac:dyDescent="0.25">
      <c r="A218" s="461" t="s">
        <v>798</v>
      </c>
      <c r="B218" s="456"/>
      <c r="C218" s="457"/>
      <c r="D218" s="463"/>
      <c r="E218" s="457"/>
      <c r="F218" s="457"/>
      <c r="G218" s="459"/>
      <c r="H218" s="480">
        <v>9.5000000000000001E-2</v>
      </c>
      <c r="I218" s="457">
        <v>554</v>
      </c>
      <c r="J218" s="842">
        <v>3.3207</v>
      </c>
      <c r="K218" s="842">
        <v>15</v>
      </c>
      <c r="L218" s="460">
        <v>20</v>
      </c>
      <c r="M218" s="457">
        <f t="shared" si="26"/>
        <v>9.9620999999999995</v>
      </c>
      <c r="N218" s="457">
        <f t="shared" si="27"/>
        <v>2.4</v>
      </c>
      <c r="O218" s="459">
        <f t="shared" si="25"/>
        <v>12.3621</v>
      </c>
      <c r="P218" s="456"/>
      <c r="Q218" s="457"/>
      <c r="R218" s="457"/>
      <c r="S218" s="457"/>
      <c r="T218" s="470"/>
      <c r="U218" s="471"/>
      <c r="V218" s="297"/>
      <c r="W218" s="28"/>
      <c r="X218" s="462"/>
      <c r="Y218"/>
      <c r="Z218"/>
    </row>
    <row r="219" spans="1:26" x14ac:dyDescent="0.25">
      <c r="A219" s="461" t="s">
        <v>798</v>
      </c>
      <c r="B219" s="456"/>
      <c r="C219" s="457"/>
      <c r="D219" s="463"/>
      <c r="E219" s="457"/>
      <c r="F219" s="457"/>
      <c r="G219" s="459"/>
      <c r="H219" s="480">
        <v>6.3E-3</v>
      </c>
      <c r="I219" s="457">
        <v>554</v>
      </c>
      <c r="J219" s="842">
        <v>3.3207</v>
      </c>
      <c r="K219" s="842">
        <v>1</v>
      </c>
      <c r="L219" s="460">
        <v>20</v>
      </c>
      <c r="M219" s="457">
        <f t="shared" si="26"/>
        <v>0.66414000000000006</v>
      </c>
      <c r="N219" s="457">
        <f t="shared" si="27"/>
        <v>0.16</v>
      </c>
      <c r="O219" s="459">
        <f t="shared" si="25"/>
        <v>0.82414000000000009</v>
      </c>
      <c r="P219" s="456"/>
      <c r="Q219" s="457"/>
      <c r="R219" s="457"/>
      <c r="S219" s="457"/>
      <c r="T219" s="470"/>
      <c r="U219" s="471"/>
      <c r="V219" s="297"/>
      <c r="W219" s="28"/>
      <c r="X219" s="462"/>
      <c r="Y219"/>
      <c r="Z219"/>
    </row>
    <row r="220" spans="1:26" x14ac:dyDescent="0.25">
      <c r="A220" s="461" t="s">
        <v>798</v>
      </c>
      <c r="B220" s="456"/>
      <c r="C220" s="457"/>
      <c r="D220" s="463"/>
      <c r="E220" s="457"/>
      <c r="F220" s="457"/>
      <c r="G220" s="459"/>
      <c r="H220" s="480">
        <v>1.5800000000000002E-2</v>
      </c>
      <c r="I220" s="457">
        <v>554</v>
      </c>
      <c r="J220" s="842">
        <v>3.3207</v>
      </c>
      <c r="K220" s="842">
        <v>2.5</v>
      </c>
      <c r="L220" s="460">
        <v>20</v>
      </c>
      <c r="M220" s="457">
        <f t="shared" si="26"/>
        <v>1.66035</v>
      </c>
      <c r="N220" s="457">
        <f t="shared" si="27"/>
        <v>0.4</v>
      </c>
      <c r="O220" s="459">
        <f t="shared" si="25"/>
        <v>2.0603500000000001</v>
      </c>
      <c r="P220" s="456"/>
      <c r="Q220" s="457"/>
      <c r="R220" s="457"/>
      <c r="S220" s="457"/>
      <c r="T220" s="470"/>
      <c r="U220" s="471"/>
      <c r="V220" s="297"/>
      <c r="W220" s="28"/>
      <c r="X220" s="462"/>
      <c r="Y220"/>
      <c r="Z220"/>
    </row>
    <row r="221" spans="1:26" x14ac:dyDescent="0.25">
      <c r="A221" s="461" t="s">
        <v>798</v>
      </c>
      <c r="B221" s="456"/>
      <c r="C221" s="457"/>
      <c r="D221" s="463"/>
      <c r="E221" s="457"/>
      <c r="F221" s="457"/>
      <c r="G221" s="459"/>
      <c r="H221" s="480">
        <v>0.1646</v>
      </c>
      <c r="I221" s="457">
        <v>504</v>
      </c>
      <c r="J221" s="842">
        <v>3.0209999999999999</v>
      </c>
      <c r="K221" s="842">
        <v>26</v>
      </c>
      <c r="L221" s="460">
        <v>20</v>
      </c>
      <c r="M221" s="457">
        <f t="shared" si="26"/>
        <v>15.709199999999999</v>
      </c>
      <c r="N221" s="457">
        <f t="shared" si="27"/>
        <v>3.78</v>
      </c>
      <c r="O221" s="459">
        <f t="shared" si="25"/>
        <v>19.4892</v>
      </c>
      <c r="P221" s="456"/>
      <c r="Q221" s="457"/>
      <c r="R221" s="457"/>
      <c r="S221" s="457"/>
      <c r="T221" s="470"/>
      <c r="U221" s="471"/>
      <c r="V221" s="297"/>
      <c r="W221" s="28"/>
      <c r="X221" s="462"/>
      <c r="Y221"/>
      <c r="Z221"/>
    </row>
    <row r="222" spans="1:26" ht="17.25" thickBot="1" x14ac:dyDescent="0.3">
      <c r="A222" s="472" t="s">
        <v>798</v>
      </c>
      <c r="B222" s="473"/>
      <c r="C222" s="474"/>
      <c r="D222" s="475"/>
      <c r="E222" s="474"/>
      <c r="F222" s="474"/>
      <c r="G222" s="476"/>
      <c r="H222" s="482">
        <v>9.4999999999999998E-3</v>
      </c>
      <c r="I222" s="474">
        <v>504</v>
      </c>
      <c r="J222" s="846">
        <v>3.0209999999999999</v>
      </c>
      <c r="K222" s="846">
        <v>1.5</v>
      </c>
      <c r="L222" s="460">
        <v>20</v>
      </c>
      <c r="M222" s="457">
        <f t="shared" si="26"/>
        <v>0.90629999999999999</v>
      </c>
      <c r="N222" s="474">
        <f t="shared" si="27"/>
        <v>0.22</v>
      </c>
      <c r="O222" s="476">
        <f t="shared" si="25"/>
        <v>1.1263000000000001</v>
      </c>
      <c r="P222" s="473"/>
      <c r="Q222" s="457"/>
      <c r="R222" s="457"/>
      <c r="S222" s="457"/>
      <c r="T222" s="477"/>
      <c r="U222" s="478"/>
      <c r="V222" s="297"/>
      <c r="W222" s="28"/>
      <c r="X222" s="462"/>
      <c r="Y222"/>
      <c r="Z222"/>
    </row>
    <row r="223" spans="1:26" x14ac:dyDescent="0.25">
      <c r="A223" s="147"/>
      <c r="B223" s="275"/>
      <c r="C223" s="277"/>
      <c r="D223" s="479"/>
      <c r="E223" s="277"/>
      <c r="F223" s="277"/>
      <c r="G223" s="277"/>
      <c r="H223" s="275"/>
      <c r="I223" s="277"/>
      <c r="J223" s="277"/>
      <c r="K223" s="277"/>
      <c r="L223" s="277"/>
      <c r="M223" s="277"/>
      <c r="N223" s="277"/>
      <c r="O223" s="277"/>
    </row>
    <row r="224" spans="1:26" x14ac:dyDescent="0.25">
      <c r="A224" s="923"/>
      <c r="B224" s="923"/>
      <c r="C224" s="923"/>
      <c r="D224" s="923"/>
      <c r="E224" s="923"/>
      <c r="F224" s="923"/>
      <c r="G224" s="923"/>
      <c r="H224" s="923"/>
      <c r="I224" s="923"/>
      <c r="J224" s="923"/>
      <c r="K224" s="923"/>
      <c r="L224" s="923"/>
      <c r="M224" s="923"/>
      <c r="N224" s="923"/>
      <c r="O224" s="923"/>
      <c r="P224" s="923"/>
      <c r="Q224" s="923"/>
      <c r="R224" s="923"/>
      <c r="S224" s="923"/>
      <c r="T224" s="923"/>
      <c r="U224" s="923"/>
    </row>
  </sheetData>
  <mergeCells count="6">
    <mergeCell ref="A224:U224"/>
    <mergeCell ref="A2:U2"/>
    <mergeCell ref="A6:A7"/>
    <mergeCell ref="B6:G6"/>
    <mergeCell ref="H6:O6"/>
    <mergeCell ref="P6:U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790F7-01C4-42E8-A1EF-EE037480E25F}">
  <dimension ref="A2:AB189"/>
  <sheetViews>
    <sheetView zoomScale="70" zoomScaleNormal="70" workbookViewId="0">
      <pane xSplit="1" ySplit="10" topLeftCell="B11" activePane="bottomRight" state="frozen"/>
      <selection activeCell="F143" sqref="F143"/>
      <selection pane="topRight" activeCell="F143" sqref="F143"/>
      <selection pane="bottomLeft" activeCell="F143" sqref="F143"/>
      <selection pane="bottomRight" activeCell="Y12" sqref="Y12"/>
    </sheetView>
  </sheetViews>
  <sheetFormatPr defaultColWidth="9.140625" defaultRowHeight="16.5" x14ac:dyDescent="0.25"/>
  <cols>
    <col min="1" max="1" width="52.140625" style="2" customWidth="1"/>
    <col min="2" max="2" width="14" style="2" customWidth="1"/>
    <col min="3" max="3" width="16" style="2" customWidth="1"/>
    <col min="4" max="19" width="14" style="2" customWidth="1"/>
    <col min="20" max="21" width="9.140625" style="2"/>
    <col min="22" max="22" width="12" style="2" customWidth="1"/>
    <col min="23" max="16384" width="9.140625" style="2"/>
  </cols>
  <sheetData>
    <row r="2" spans="1:28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28" x14ac:dyDescent="0.25">
      <c r="A4" s="2" t="s">
        <v>1033</v>
      </c>
    </row>
    <row r="5" spans="1:28" ht="17.25" thickBot="1" x14ac:dyDescent="0.3"/>
    <row r="6" spans="1:28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857" t="s">
        <v>4</v>
      </c>
      <c r="I6" s="858"/>
      <c r="J6" s="858"/>
      <c r="K6" s="858"/>
      <c r="L6" s="858"/>
      <c r="M6" s="859"/>
      <c r="N6" s="857" t="s">
        <v>5</v>
      </c>
      <c r="O6" s="858"/>
      <c r="P6" s="858"/>
      <c r="Q6" s="858"/>
      <c r="R6" s="858"/>
      <c r="S6" s="859"/>
    </row>
    <row r="7" spans="1:28" ht="104.25" customHeight="1" x14ac:dyDescent="0.25">
      <c r="A7" s="907"/>
      <c r="B7" s="3" t="s">
        <v>78</v>
      </c>
      <c r="C7" s="769" t="s">
        <v>10</v>
      </c>
      <c r="D7" s="769" t="s">
        <v>6</v>
      </c>
      <c r="E7" s="769" t="s">
        <v>7</v>
      </c>
      <c r="F7" s="769" t="s">
        <v>8</v>
      </c>
      <c r="G7" s="426" t="s">
        <v>9</v>
      </c>
      <c r="H7" s="3" t="s">
        <v>78</v>
      </c>
      <c r="I7" s="769" t="s">
        <v>10</v>
      </c>
      <c r="J7" s="769" t="s">
        <v>6</v>
      </c>
      <c r="K7" s="769" t="s">
        <v>7</v>
      </c>
      <c r="L7" s="769" t="s">
        <v>8</v>
      </c>
      <c r="M7" s="426" t="s">
        <v>9</v>
      </c>
      <c r="N7" s="3" t="s">
        <v>78</v>
      </c>
      <c r="O7" s="769" t="s">
        <v>10</v>
      </c>
      <c r="P7" s="769" t="s">
        <v>6</v>
      </c>
      <c r="Q7" s="769" t="s">
        <v>7</v>
      </c>
      <c r="R7" s="769" t="s">
        <v>8</v>
      </c>
      <c r="S7" s="426" t="s">
        <v>9</v>
      </c>
    </row>
    <row r="8" spans="1:28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28" s="1" customFormat="1" ht="26.25" customHeight="1" x14ac:dyDescent="0.25">
      <c r="A9" s="10" t="s">
        <v>0</v>
      </c>
      <c r="B9" s="12">
        <f>SUM(B12:B182)</f>
        <v>2497.4023118304003</v>
      </c>
      <c r="C9" s="12"/>
      <c r="D9" s="12"/>
      <c r="E9" s="12">
        <f>SUM(E12:E182)</f>
        <v>266819.2900000001</v>
      </c>
      <c r="F9" s="12">
        <f>SUM(F12:F182)</f>
        <v>64276.766960999979</v>
      </c>
      <c r="G9" s="12">
        <f>SUM(G12:G182)</f>
        <v>331096.05696099997</v>
      </c>
      <c r="H9" s="12">
        <f>SUM(H12:H182)</f>
        <v>2309.3333602223479</v>
      </c>
      <c r="I9" s="12"/>
      <c r="J9" s="12"/>
      <c r="K9" s="12">
        <f>SUM(K12:K182)</f>
        <v>190036.19</v>
      </c>
      <c r="L9" s="12">
        <f>SUM(L12:L182)</f>
        <v>45779.718171</v>
      </c>
      <c r="M9" s="12">
        <f>SUM(M12:M182)</f>
        <v>235815.9081710001</v>
      </c>
      <c r="N9" s="11"/>
      <c r="O9" s="12"/>
      <c r="P9" s="12"/>
      <c r="Q9" s="12"/>
      <c r="R9" s="12"/>
      <c r="S9" s="13"/>
    </row>
    <row r="10" spans="1:28" s="1" customFormat="1" ht="15.75" customHeight="1" x14ac:dyDescent="0.25">
      <c r="A10" s="165" t="s">
        <v>1034</v>
      </c>
      <c r="B10" s="15"/>
      <c r="C10" s="772"/>
      <c r="D10" s="16"/>
      <c r="E10" s="16"/>
      <c r="F10" s="16"/>
      <c r="G10" s="17"/>
      <c r="H10" s="15"/>
      <c r="I10" s="16"/>
      <c r="J10" s="16"/>
      <c r="K10" s="16"/>
      <c r="L10" s="16"/>
      <c r="M10" s="17"/>
      <c r="N10" s="15"/>
      <c r="O10" s="16"/>
      <c r="P10" s="16"/>
      <c r="Q10" s="16"/>
      <c r="R10" s="16"/>
      <c r="S10" s="17"/>
    </row>
    <row r="11" spans="1:28" ht="51.75" customHeight="1" x14ac:dyDescent="0.25">
      <c r="A11" s="18" t="s">
        <v>14</v>
      </c>
      <c r="B11" s="19"/>
      <c r="C11" s="324"/>
      <c r="D11" s="20"/>
      <c r="E11" s="20"/>
      <c r="F11" s="20"/>
      <c r="G11" s="21"/>
      <c r="H11" s="19"/>
      <c r="I11" s="20"/>
      <c r="J11" s="20"/>
      <c r="K11" s="20"/>
      <c r="L11" s="20"/>
      <c r="M11" s="21"/>
      <c r="N11" s="19"/>
      <c r="O11" s="20"/>
      <c r="P11" s="20"/>
      <c r="Q11" s="20"/>
      <c r="R11" s="20"/>
      <c r="S11" s="21"/>
    </row>
    <row r="12" spans="1:28" ht="38.25" customHeight="1" x14ac:dyDescent="0.25">
      <c r="A12" s="18" t="s">
        <v>1035</v>
      </c>
      <c r="B12" s="323">
        <v>10.5105</v>
      </c>
      <c r="C12" s="324">
        <v>1590</v>
      </c>
      <c r="D12" s="324">
        <v>10</v>
      </c>
      <c r="E12" s="20">
        <v>1671.17</v>
      </c>
      <c r="F12" s="20">
        <f>E12*0.2409</f>
        <v>402.58485300000001</v>
      </c>
      <c r="G12" s="21">
        <f>E12+F12</f>
        <v>2073.7548529999999</v>
      </c>
      <c r="H12" s="833">
        <v>11.220377358490566</v>
      </c>
      <c r="I12" s="324">
        <v>1590</v>
      </c>
      <c r="J12" s="324">
        <v>5</v>
      </c>
      <c r="K12" s="773">
        <v>892.02</v>
      </c>
      <c r="L12" s="773">
        <f>K12*0.2409</f>
        <v>214.887618</v>
      </c>
      <c r="M12" s="774">
        <f>K12+L12</f>
        <v>1106.907618</v>
      </c>
      <c r="N12" s="19"/>
      <c r="O12" s="20"/>
      <c r="P12" s="20"/>
      <c r="Q12" s="20"/>
      <c r="R12" s="20"/>
      <c r="S12" s="21"/>
      <c r="V12" s="297"/>
      <c r="W12" s="297"/>
      <c r="AB12" s="28"/>
    </row>
    <row r="13" spans="1:28" ht="38.25" customHeight="1" x14ac:dyDescent="0.25">
      <c r="A13" s="18" t="s">
        <v>1035</v>
      </c>
      <c r="B13" s="323">
        <v>11.426792452830188</v>
      </c>
      <c r="C13" s="324">
        <v>1590</v>
      </c>
      <c r="D13" s="324">
        <v>5</v>
      </c>
      <c r="E13" s="20">
        <v>908.43</v>
      </c>
      <c r="F13" s="20">
        <f>E13*0.2409</f>
        <v>218.84078699999998</v>
      </c>
      <c r="G13" s="21">
        <f>E13+F13</f>
        <v>1127.2707869999999</v>
      </c>
      <c r="H13" s="833">
        <v>9.2428301886792461</v>
      </c>
      <c r="I13" s="324">
        <v>1590</v>
      </c>
      <c r="J13" s="324">
        <v>10</v>
      </c>
      <c r="K13" s="773">
        <v>1469.6100000000001</v>
      </c>
      <c r="L13" s="773">
        <f t="shared" ref="L13:L72" si="0">K13*0.2409</f>
        <v>354.02904900000004</v>
      </c>
      <c r="M13" s="774">
        <f t="shared" ref="M13:M72" si="1">K13+L13</f>
        <v>1823.6390490000001</v>
      </c>
      <c r="N13" s="19"/>
      <c r="O13" s="20"/>
      <c r="P13" s="20"/>
      <c r="Q13" s="20"/>
      <c r="R13" s="20"/>
      <c r="S13" s="21"/>
      <c r="V13" s="297"/>
      <c r="W13" s="297"/>
      <c r="AB13" s="28"/>
    </row>
    <row r="14" spans="1:28" ht="38.25" customHeight="1" x14ac:dyDescent="0.25">
      <c r="A14" s="18" t="s">
        <v>1035</v>
      </c>
      <c r="B14" s="323"/>
      <c r="C14" s="324"/>
      <c r="D14" s="324"/>
      <c r="E14" s="20"/>
      <c r="F14" s="20"/>
      <c r="G14" s="21"/>
      <c r="H14" s="833">
        <v>2.2706079664570229</v>
      </c>
      <c r="I14" s="324">
        <v>1590</v>
      </c>
      <c r="J14" s="324">
        <v>15</v>
      </c>
      <c r="K14" s="773">
        <v>541.54</v>
      </c>
      <c r="L14" s="773">
        <f t="shared" si="0"/>
        <v>130.456986</v>
      </c>
      <c r="M14" s="774">
        <f t="shared" si="1"/>
        <v>671.99698599999999</v>
      </c>
      <c r="N14" s="19"/>
      <c r="O14" s="20"/>
      <c r="P14" s="20"/>
      <c r="Q14" s="20"/>
      <c r="R14" s="20"/>
      <c r="S14" s="21"/>
      <c r="V14" s="297"/>
      <c r="W14" s="297"/>
      <c r="AB14" s="28"/>
    </row>
    <row r="15" spans="1:28" ht="19.5" customHeight="1" x14ac:dyDescent="0.25">
      <c r="A15" s="18" t="s">
        <v>1036</v>
      </c>
      <c r="B15" s="323">
        <v>1.9817816091954024</v>
      </c>
      <c r="C15" s="324">
        <v>1740</v>
      </c>
      <c r="D15" s="324">
        <v>30</v>
      </c>
      <c r="E15" s="20">
        <v>1034.49</v>
      </c>
      <c r="F15" s="20">
        <f>E15*0.2409</f>
        <v>249.208641</v>
      </c>
      <c r="G15" s="21">
        <f>E15+F15</f>
        <v>1283.698641</v>
      </c>
      <c r="H15" s="833">
        <v>2.0284482758620692</v>
      </c>
      <c r="I15" s="324">
        <v>1740</v>
      </c>
      <c r="J15" s="324">
        <v>10</v>
      </c>
      <c r="K15" s="773">
        <v>352.95000000000005</v>
      </c>
      <c r="L15" s="773">
        <f t="shared" si="0"/>
        <v>85.025655000000015</v>
      </c>
      <c r="M15" s="774">
        <f t="shared" si="1"/>
        <v>437.97565500000007</v>
      </c>
      <c r="N15" s="19"/>
      <c r="O15" s="20"/>
      <c r="P15" s="20"/>
      <c r="Q15" s="20"/>
      <c r="R15" s="20"/>
      <c r="S15" s="21"/>
      <c r="V15" s="297"/>
      <c r="W15" s="297"/>
      <c r="AB15" s="28"/>
    </row>
    <row r="16" spans="1:28" ht="34.5" customHeight="1" x14ac:dyDescent="0.25">
      <c r="A16" s="18" t="s">
        <v>1037</v>
      </c>
      <c r="B16" s="323">
        <v>2.6168345323741007</v>
      </c>
      <c r="C16" s="324">
        <v>1390</v>
      </c>
      <c r="D16" s="324">
        <v>15</v>
      </c>
      <c r="E16" s="20">
        <v>545.61</v>
      </c>
      <c r="F16" s="20">
        <f t="shared" ref="F16:F41" si="2">E16*0.2409</f>
        <v>131.43744900000002</v>
      </c>
      <c r="G16" s="21">
        <f t="shared" ref="G16:G41" si="3">E16+F16</f>
        <v>677.04744900000003</v>
      </c>
      <c r="H16" s="833">
        <v>6.9264748201438842</v>
      </c>
      <c r="I16" s="324">
        <v>1390</v>
      </c>
      <c r="J16" s="324">
        <v>5</v>
      </c>
      <c r="K16" s="773">
        <v>481.39</v>
      </c>
      <c r="L16" s="773">
        <f t="shared" si="0"/>
        <v>115.96685099999999</v>
      </c>
      <c r="M16" s="774">
        <f t="shared" si="1"/>
        <v>597.35685100000001</v>
      </c>
      <c r="N16" s="19"/>
      <c r="O16" s="20"/>
      <c r="P16" s="20"/>
      <c r="Q16" s="20"/>
      <c r="R16" s="20"/>
      <c r="S16" s="21"/>
      <c r="V16" s="297"/>
      <c r="W16" s="297"/>
      <c r="AB16" s="28"/>
    </row>
    <row r="17" spans="1:28" ht="35.25" customHeight="1" x14ac:dyDescent="0.25">
      <c r="A17" s="18" t="s">
        <v>1037</v>
      </c>
      <c r="B17" s="323">
        <v>11.11589928057554</v>
      </c>
      <c r="C17" s="324">
        <v>1390</v>
      </c>
      <c r="D17" s="324">
        <v>10</v>
      </c>
      <c r="E17" s="20">
        <v>1545.1100000000001</v>
      </c>
      <c r="F17" s="20">
        <f t="shared" si="2"/>
        <v>372.21699900000004</v>
      </c>
      <c r="G17" s="21">
        <f t="shared" si="3"/>
        <v>1917.3269990000001</v>
      </c>
      <c r="H17" s="833">
        <v>5.9833093525179866</v>
      </c>
      <c r="I17" s="324">
        <v>1390</v>
      </c>
      <c r="J17" s="324">
        <v>10</v>
      </c>
      <c r="K17" s="773">
        <v>831.68000000000006</v>
      </c>
      <c r="L17" s="773">
        <f t="shared" si="0"/>
        <v>200.35171200000002</v>
      </c>
      <c r="M17" s="774">
        <f t="shared" si="1"/>
        <v>1032.031712</v>
      </c>
      <c r="N17" s="19"/>
      <c r="O17" s="20"/>
      <c r="P17" s="20"/>
      <c r="Q17" s="20"/>
      <c r="R17" s="20"/>
      <c r="S17" s="21"/>
      <c r="V17" s="297"/>
      <c r="W17" s="297"/>
      <c r="AB17" s="28"/>
    </row>
    <row r="18" spans="1:28" ht="36.75" customHeight="1" x14ac:dyDescent="0.25">
      <c r="A18" s="18" t="s">
        <v>1037</v>
      </c>
      <c r="B18" s="323">
        <v>5.8444604316546762</v>
      </c>
      <c r="C18" s="324">
        <v>1390</v>
      </c>
      <c r="D18" s="324">
        <v>5</v>
      </c>
      <c r="E18" s="20">
        <v>406.19</v>
      </c>
      <c r="F18" s="20">
        <f t="shared" si="2"/>
        <v>97.851170999999994</v>
      </c>
      <c r="G18" s="21">
        <f t="shared" si="3"/>
        <v>504.04117099999996</v>
      </c>
      <c r="H18" s="833">
        <v>4.4311750599520385</v>
      </c>
      <c r="I18" s="324">
        <v>1390</v>
      </c>
      <c r="J18" s="324">
        <v>15</v>
      </c>
      <c r="K18" s="773">
        <v>923.90000000000009</v>
      </c>
      <c r="L18" s="773">
        <f t="shared" si="0"/>
        <v>222.56751000000003</v>
      </c>
      <c r="M18" s="774">
        <f t="shared" si="1"/>
        <v>1146.4675100000002</v>
      </c>
      <c r="N18" s="19"/>
      <c r="O18" s="20"/>
      <c r="P18" s="20"/>
      <c r="Q18" s="20"/>
      <c r="R18" s="20"/>
      <c r="S18" s="21"/>
      <c r="V18" s="297"/>
      <c r="W18" s="297"/>
      <c r="AB18" s="28"/>
    </row>
    <row r="19" spans="1:28" ht="39" customHeight="1" x14ac:dyDescent="0.25">
      <c r="A19" s="18" t="s">
        <v>1038</v>
      </c>
      <c r="B19" s="323">
        <v>1.4414081408140815</v>
      </c>
      <c r="C19" s="324">
        <v>1515</v>
      </c>
      <c r="D19" s="324">
        <v>15</v>
      </c>
      <c r="E19" s="20">
        <v>327.56</v>
      </c>
      <c r="F19" s="20">
        <f t="shared" si="2"/>
        <v>78.909204000000003</v>
      </c>
      <c r="G19" s="21">
        <f t="shared" si="3"/>
        <v>406.46920399999999</v>
      </c>
      <c r="H19" s="833">
        <v>0.71920792079207918</v>
      </c>
      <c r="I19" s="324">
        <v>1515</v>
      </c>
      <c r="J19" s="324">
        <v>5</v>
      </c>
      <c r="K19" s="773">
        <v>54.48</v>
      </c>
      <c r="L19" s="773">
        <f t="shared" si="0"/>
        <v>13.124231999999999</v>
      </c>
      <c r="M19" s="774">
        <f t="shared" si="1"/>
        <v>67.604231999999996</v>
      </c>
      <c r="N19" s="19"/>
      <c r="O19" s="20"/>
      <c r="P19" s="20"/>
      <c r="Q19" s="20"/>
      <c r="R19" s="20"/>
      <c r="S19" s="21"/>
      <c r="V19" s="297"/>
      <c r="W19" s="297"/>
      <c r="AB19" s="28"/>
    </row>
    <row r="20" spans="1:28" ht="34.5" customHeight="1" x14ac:dyDescent="0.25">
      <c r="A20" s="18" t="s">
        <v>1038</v>
      </c>
      <c r="B20" s="323">
        <v>2.2753135313531354</v>
      </c>
      <c r="C20" s="324">
        <v>1515</v>
      </c>
      <c r="D20" s="324">
        <v>10</v>
      </c>
      <c r="E20" s="20">
        <v>344.71000000000004</v>
      </c>
      <c r="F20" s="20">
        <f t="shared" si="2"/>
        <v>83.040639000000013</v>
      </c>
      <c r="G20" s="21">
        <f t="shared" si="3"/>
        <v>427.75063900000004</v>
      </c>
      <c r="H20" s="833">
        <v>4.0533333333333337</v>
      </c>
      <c r="I20" s="324">
        <v>1515</v>
      </c>
      <c r="J20" s="324">
        <v>10</v>
      </c>
      <c r="K20" s="773">
        <v>614.08000000000004</v>
      </c>
      <c r="L20" s="773">
        <f t="shared" si="0"/>
        <v>147.931872</v>
      </c>
      <c r="M20" s="774">
        <f t="shared" si="1"/>
        <v>762.01187200000004</v>
      </c>
      <c r="N20" s="19"/>
      <c r="O20" s="20"/>
      <c r="P20" s="20"/>
      <c r="Q20" s="20"/>
      <c r="R20" s="20"/>
      <c r="S20" s="21"/>
      <c r="V20" s="297"/>
      <c r="W20" s="297"/>
      <c r="AB20" s="28"/>
    </row>
    <row r="21" spans="1:28" ht="37.5" customHeight="1" x14ac:dyDescent="0.25">
      <c r="A21" s="18" t="s">
        <v>1038</v>
      </c>
      <c r="B21" s="323">
        <v>0.71920792079207918</v>
      </c>
      <c r="C21" s="324">
        <v>1515</v>
      </c>
      <c r="D21" s="324">
        <v>5</v>
      </c>
      <c r="E21" s="20">
        <v>54.48</v>
      </c>
      <c r="F21" s="20">
        <f t="shared" si="2"/>
        <v>13.124231999999999</v>
      </c>
      <c r="G21" s="21">
        <f t="shared" si="3"/>
        <v>67.604231999999996</v>
      </c>
      <c r="H21" s="833"/>
      <c r="I21" s="324"/>
      <c r="J21" s="324"/>
      <c r="K21" s="773"/>
      <c r="L21" s="773"/>
      <c r="M21" s="774"/>
      <c r="N21" s="19"/>
      <c r="O21" s="20"/>
      <c r="P21" s="20"/>
      <c r="Q21" s="20"/>
      <c r="R21" s="20"/>
      <c r="S21" s="21"/>
      <c r="V21" s="297"/>
      <c r="W21" s="297"/>
      <c r="AB21" s="28"/>
    </row>
    <row r="22" spans="1:28" ht="19.5" customHeight="1" x14ac:dyDescent="0.25">
      <c r="A22" s="18" t="s">
        <v>1039</v>
      </c>
      <c r="B22" s="323">
        <v>2.4775999999999998</v>
      </c>
      <c r="C22" s="324">
        <v>1250</v>
      </c>
      <c r="D22" s="324">
        <v>5</v>
      </c>
      <c r="E22" s="20">
        <f>127.89+26.96</f>
        <v>154.85</v>
      </c>
      <c r="F22" s="20">
        <f t="shared" si="2"/>
        <v>37.303364999999999</v>
      </c>
      <c r="G22" s="21">
        <f t="shared" si="3"/>
        <v>192.15336500000001</v>
      </c>
      <c r="H22" s="833">
        <v>1.58592</v>
      </c>
      <c r="I22" s="324">
        <v>1250</v>
      </c>
      <c r="J22" s="324">
        <v>5</v>
      </c>
      <c r="K22" s="773">
        <f>62.92+36.2</f>
        <v>99.12</v>
      </c>
      <c r="L22" s="773">
        <f t="shared" si="0"/>
        <v>23.878008000000001</v>
      </c>
      <c r="M22" s="774">
        <f t="shared" si="1"/>
        <v>122.998008</v>
      </c>
      <c r="N22" s="19"/>
      <c r="O22" s="20"/>
      <c r="P22" s="20"/>
      <c r="Q22" s="20"/>
      <c r="R22" s="20"/>
      <c r="S22" s="21"/>
      <c r="V22" s="297"/>
      <c r="W22" s="297"/>
      <c r="AB22" s="28"/>
    </row>
    <row r="23" spans="1:28" ht="21.75" customHeight="1" x14ac:dyDescent="0.25">
      <c r="A23" s="18" t="s">
        <v>1039</v>
      </c>
      <c r="B23" s="323">
        <v>2.7533600000000003</v>
      </c>
      <c r="C23" s="324">
        <v>1250</v>
      </c>
      <c r="D23" s="324">
        <v>10</v>
      </c>
      <c r="E23" s="20">
        <v>344.17</v>
      </c>
      <c r="F23" s="20">
        <f t="shared" si="2"/>
        <v>82.910553000000007</v>
      </c>
      <c r="G23" s="21">
        <f t="shared" si="3"/>
        <v>427.08055300000001</v>
      </c>
      <c r="H23" s="833">
        <v>3.5513599999999999</v>
      </c>
      <c r="I23" s="324">
        <v>1250</v>
      </c>
      <c r="J23" s="324">
        <v>10</v>
      </c>
      <c r="K23" s="773">
        <f>352.79+91.13</f>
        <v>443.92</v>
      </c>
      <c r="L23" s="773">
        <f t="shared" si="0"/>
        <v>106.94032800000001</v>
      </c>
      <c r="M23" s="774">
        <f t="shared" si="1"/>
        <v>550.86032799999998</v>
      </c>
      <c r="N23" s="19"/>
      <c r="O23" s="20"/>
      <c r="P23" s="20"/>
      <c r="Q23" s="20"/>
      <c r="R23" s="20"/>
      <c r="S23" s="21"/>
      <c r="V23" s="297"/>
      <c r="W23" s="297"/>
      <c r="AB23" s="28"/>
    </row>
    <row r="24" spans="1:28" ht="15.75" customHeight="1" x14ac:dyDescent="0.25">
      <c r="A24" s="18" t="s">
        <v>1039</v>
      </c>
      <c r="B24" s="323">
        <v>1.8954133333333332</v>
      </c>
      <c r="C24" s="324">
        <v>1250</v>
      </c>
      <c r="D24" s="324">
        <v>15</v>
      </c>
      <c r="E24" s="20">
        <v>355.39</v>
      </c>
      <c r="F24" s="20">
        <f t="shared" si="2"/>
        <v>85.613450999999998</v>
      </c>
      <c r="G24" s="21">
        <f t="shared" si="3"/>
        <v>441.00345099999998</v>
      </c>
      <c r="H24" s="833">
        <v>5.4681599999999992</v>
      </c>
      <c r="I24" s="324">
        <v>1250</v>
      </c>
      <c r="J24" s="324">
        <v>15</v>
      </c>
      <c r="K24" s="773">
        <f>652.3+372.98</f>
        <v>1025.28</v>
      </c>
      <c r="L24" s="773">
        <f t="shared" si="0"/>
        <v>246.98995199999999</v>
      </c>
      <c r="M24" s="774">
        <f t="shared" si="1"/>
        <v>1272.2699519999999</v>
      </c>
      <c r="N24" s="19"/>
      <c r="O24" s="20"/>
      <c r="P24" s="20"/>
      <c r="Q24" s="20"/>
      <c r="R24" s="20"/>
      <c r="S24" s="21"/>
      <c r="V24" s="297"/>
      <c r="W24" s="297"/>
      <c r="AB24" s="28"/>
    </row>
    <row r="25" spans="1:28" ht="15.75" customHeight="1" x14ac:dyDescent="0.25">
      <c r="A25" s="18" t="s">
        <v>1039</v>
      </c>
      <c r="B25" s="323">
        <v>1.5948800000000001</v>
      </c>
      <c r="C25" s="324">
        <v>1250</v>
      </c>
      <c r="D25" s="324">
        <v>20</v>
      </c>
      <c r="E25" s="20">
        <v>398.72</v>
      </c>
      <c r="F25" s="20">
        <f t="shared" si="2"/>
        <v>96.051648000000014</v>
      </c>
      <c r="G25" s="21">
        <f t="shared" si="3"/>
        <v>494.77164800000003</v>
      </c>
      <c r="H25" s="833"/>
      <c r="I25" s="773"/>
      <c r="J25" s="773"/>
      <c r="K25" s="773"/>
      <c r="L25" s="773">
        <f t="shared" si="0"/>
        <v>0</v>
      </c>
      <c r="M25" s="774">
        <f t="shared" si="1"/>
        <v>0</v>
      </c>
      <c r="N25" s="19"/>
      <c r="O25" s="20"/>
      <c r="P25" s="20"/>
      <c r="Q25" s="20"/>
      <c r="R25" s="20"/>
      <c r="S25" s="21"/>
      <c r="V25" s="297"/>
      <c r="W25" s="297"/>
      <c r="AB25" s="28"/>
    </row>
    <row r="26" spans="1:28" ht="37.5" customHeight="1" x14ac:dyDescent="0.25">
      <c r="A26" s="18" t="s">
        <v>1040</v>
      </c>
      <c r="B26" s="323">
        <v>0.2875318066157761</v>
      </c>
      <c r="C26" s="324">
        <v>786</v>
      </c>
      <c r="D26" s="324">
        <v>5</v>
      </c>
      <c r="E26" s="20">
        <v>11.3</v>
      </c>
      <c r="F26" s="20">
        <f t="shared" si="2"/>
        <v>2.7221700000000002</v>
      </c>
      <c r="G26" s="21">
        <f t="shared" si="3"/>
        <v>14.022170000000001</v>
      </c>
      <c r="H26" s="833">
        <v>0.28753180661577604</v>
      </c>
      <c r="I26" s="324">
        <v>786</v>
      </c>
      <c r="J26" s="324">
        <v>5</v>
      </c>
      <c r="K26" s="773">
        <v>11.3</v>
      </c>
      <c r="L26" s="773">
        <f t="shared" si="0"/>
        <v>2.7221700000000002</v>
      </c>
      <c r="M26" s="774">
        <f t="shared" si="1"/>
        <v>14.022170000000001</v>
      </c>
      <c r="N26" s="19"/>
      <c r="O26" s="20"/>
      <c r="P26" s="20"/>
      <c r="Q26" s="20"/>
      <c r="R26" s="20"/>
      <c r="S26" s="21"/>
      <c r="V26" s="297"/>
      <c r="W26" s="297"/>
      <c r="AB26" s="28"/>
    </row>
    <row r="27" spans="1:28" ht="37.5" customHeight="1" x14ac:dyDescent="0.25">
      <c r="A27" s="18" t="s">
        <v>1040</v>
      </c>
      <c r="B27" s="323">
        <v>1.2330788804071249</v>
      </c>
      <c r="C27" s="324">
        <v>786</v>
      </c>
      <c r="D27" s="324">
        <v>10</v>
      </c>
      <c r="E27" s="20">
        <f>63.35+33.57</f>
        <v>96.92</v>
      </c>
      <c r="F27" s="20">
        <f t="shared" si="2"/>
        <v>23.348027999999999</v>
      </c>
      <c r="G27" s="21">
        <f t="shared" si="3"/>
        <v>120.268028</v>
      </c>
      <c r="H27" s="833">
        <v>0.38651399491094146</v>
      </c>
      <c r="I27" s="324">
        <v>786</v>
      </c>
      <c r="J27" s="324">
        <v>10</v>
      </c>
      <c r="K27" s="773">
        <v>30.38</v>
      </c>
      <c r="L27" s="773">
        <f t="shared" si="0"/>
        <v>7.3185419999999999</v>
      </c>
      <c r="M27" s="774">
        <f t="shared" si="1"/>
        <v>37.698541999999996</v>
      </c>
      <c r="N27" s="19"/>
      <c r="O27" s="20"/>
      <c r="P27" s="20"/>
      <c r="Q27" s="20"/>
      <c r="R27" s="20"/>
      <c r="S27" s="21"/>
      <c r="V27" s="297"/>
      <c r="W27" s="297"/>
      <c r="AB27" s="28"/>
    </row>
    <row r="28" spans="1:28" ht="37.5" customHeight="1" x14ac:dyDescent="0.25">
      <c r="A28" s="18" t="s">
        <v>1040</v>
      </c>
      <c r="B28" s="323">
        <v>2.1644614079728584</v>
      </c>
      <c r="C28" s="324">
        <v>786</v>
      </c>
      <c r="D28" s="324">
        <v>15</v>
      </c>
      <c r="E28" s="20">
        <v>255.19</v>
      </c>
      <c r="F28" s="20">
        <f t="shared" si="2"/>
        <v>61.475270999999999</v>
      </c>
      <c r="G28" s="21">
        <f t="shared" si="3"/>
        <v>316.66527100000002</v>
      </c>
      <c r="H28" s="833">
        <v>2.9938931297709925</v>
      </c>
      <c r="I28" s="324">
        <v>786</v>
      </c>
      <c r="J28" s="324">
        <v>15</v>
      </c>
      <c r="K28" s="773">
        <f>207.5+145.48</f>
        <v>352.98</v>
      </c>
      <c r="L28" s="773">
        <f t="shared" si="0"/>
        <v>85.032882000000001</v>
      </c>
      <c r="M28" s="774">
        <f t="shared" si="1"/>
        <v>438.01288199999999</v>
      </c>
      <c r="N28" s="19"/>
      <c r="O28" s="20"/>
      <c r="P28" s="20"/>
      <c r="Q28" s="20"/>
      <c r="R28" s="20"/>
      <c r="S28" s="21"/>
      <c r="V28" s="297"/>
      <c r="W28" s="297"/>
      <c r="AB28" s="28"/>
    </row>
    <row r="29" spans="1:28" ht="37.5" customHeight="1" x14ac:dyDescent="0.25">
      <c r="A29" s="18" t="s">
        <v>1040</v>
      </c>
      <c r="B29" s="323">
        <v>0.37041984732824429</v>
      </c>
      <c r="C29" s="324">
        <v>786</v>
      </c>
      <c r="D29" s="324">
        <v>20</v>
      </c>
      <c r="E29" s="20">
        <v>58.23</v>
      </c>
      <c r="F29" s="20">
        <f t="shared" si="2"/>
        <v>14.027607</v>
      </c>
      <c r="G29" s="21">
        <f t="shared" si="3"/>
        <v>72.257606999999993</v>
      </c>
      <c r="H29" s="833">
        <v>0.37754452926208654</v>
      </c>
      <c r="I29" s="324">
        <v>786</v>
      </c>
      <c r="J29" s="324">
        <v>20</v>
      </c>
      <c r="K29" s="773">
        <v>59.35</v>
      </c>
      <c r="L29" s="773">
        <f t="shared" si="0"/>
        <v>14.297415000000001</v>
      </c>
      <c r="M29" s="774">
        <f t="shared" si="1"/>
        <v>73.647414999999995</v>
      </c>
      <c r="N29" s="19"/>
      <c r="O29" s="20"/>
      <c r="P29" s="20"/>
      <c r="Q29" s="20"/>
      <c r="R29" s="20"/>
      <c r="S29" s="21"/>
      <c r="V29" s="297"/>
      <c r="W29" s="297"/>
      <c r="AB29" s="28"/>
    </row>
    <row r="30" spans="1:28" ht="36.75" customHeight="1" x14ac:dyDescent="0.25">
      <c r="A30" s="18" t="s">
        <v>1041</v>
      </c>
      <c r="B30" s="323">
        <v>13.699901477832512</v>
      </c>
      <c r="C30" s="324">
        <v>1015</v>
      </c>
      <c r="D30" s="324">
        <v>5</v>
      </c>
      <c r="E30" s="20">
        <v>695.27</v>
      </c>
      <c r="F30" s="20">
        <f t="shared" si="2"/>
        <v>167.490543</v>
      </c>
      <c r="G30" s="21">
        <f t="shared" si="3"/>
        <v>862.76054299999998</v>
      </c>
      <c r="H30" s="833">
        <v>12.332807881773396</v>
      </c>
      <c r="I30" s="324">
        <v>1015</v>
      </c>
      <c r="J30" s="324">
        <v>5</v>
      </c>
      <c r="K30" s="773">
        <v>625.89</v>
      </c>
      <c r="L30" s="773">
        <f t="shared" si="0"/>
        <v>150.77690100000001</v>
      </c>
      <c r="M30" s="774">
        <f t="shared" si="1"/>
        <v>776.66690100000005</v>
      </c>
      <c r="N30" s="19"/>
      <c r="O30" s="20"/>
      <c r="P30" s="20"/>
      <c r="Q30" s="20"/>
      <c r="R30" s="20"/>
      <c r="S30" s="21"/>
      <c r="V30" s="297"/>
      <c r="W30" s="297"/>
      <c r="AB30" s="28"/>
    </row>
    <row r="31" spans="1:28" ht="34.5" customHeight="1" x14ac:dyDescent="0.25">
      <c r="A31" s="18" t="s">
        <v>1041</v>
      </c>
      <c r="B31" s="323">
        <v>29.367487684729067</v>
      </c>
      <c r="C31" s="324">
        <v>1015</v>
      </c>
      <c r="D31" s="324">
        <v>10</v>
      </c>
      <c r="E31" s="20">
        <v>2980.8</v>
      </c>
      <c r="F31" s="20">
        <f t="shared" si="2"/>
        <v>718.07472000000007</v>
      </c>
      <c r="G31" s="21">
        <f t="shared" si="3"/>
        <v>3698.8747200000003</v>
      </c>
      <c r="H31" s="833">
        <v>21.949753694581283</v>
      </c>
      <c r="I31" s="324">
        <v>1015</v>
      </c>
      <c r="J31" s="324">
        <v>10</v>
      </c>
      <c r="K31" s="773">
        <v>2227.9000000000005</v>
      </c>
      <c r="L31" s="773">
        <f t="shared" si="0"/>
        <v>536.70111000000009</v>
      </c>
      <c r="M31" s="774">
        <f t="shared" si="1"/>
        <v>2764.6011100000005</v>
      </c>
      <c r="N31" s="19"/>
      <c r="O31" s="20"/>
      <c r="P31" s="20"/>
      <c r="Q31" s="20"/>
      <c r="R31" s="20"/>
      <c r="S31" s="21"/>
      <c r="V31" s="297"/>
      <c r="W31" s="297"/>
      <c r="AB31" s="28"/>
    </row>
    <row r="32" spans="1:28" ht="35.25" customHeight="1" x14ac:dyDescent="0.25">
      <c r="A32" s="18" t="s">
        <v>1041</v>
      </c>
      <c r="B32" s="323">
        <v>16.420492610837439</v>
      </c>
      <c r="C32" s="324">
        <v>1015</v>
      </c>
      <c r="D32" s="324">
        <v>15</v>
      </c>
      <c r="E32" s="20">
        <v>2500.02</v>
      </c>
      <c r="F32" s="20">
        <f t="shared" si="2"/>
        <v>602.254818</v>
      </c>
      <c r="G32" s="21">
        <f t="shared" si="3"/>
        <v>3102.2748179999999</v>
      </c>
      <c r="H32" s="833">
        <v>27.546929392446636</v>
      </c>
      <c r="I32" s="324">
        <v>1015</v>
      </c>
      <c r="J32" s="324">
        <v>15</v>
      </c>
      <c r="K32" s="773">
        <v>4194.0200000000004</v>
      </c>
      <c r="L32" s="773">
        <f t="shared" si="0"/>
        <v>1010.3394180000001</v>
      </c>
      <c r="M32" s="774">
        <f t="shared" si="1"/>
        <v>5204.3594180000009</v>
      </c>
      <c r="N32" s="19"/>
      <c r="O32" s="20"/>
      <c r="P32" s="20"/>
      <c r="Q32" s="20"/>
      <c r="R32" s="20"/>
      <c r="S32" s="21"/>
      <c r="V32" s="297"/>
      <c r="W32" s="297"/>
      <c r="AB32" s="28"/>
    </row>
    <row r="33" spans="1:28" ht="34.5" customHeight="1" x14ac:dyDescent="0.25">
      <c r="A33" s="18" t="s">
        <v>1041</v>
      </c>
      <c r="B33" s="323">
        <v>4.693497536945813</v>
      </c>
      <c r="C33" s="324">
        <v>1015</v>
      </c>
      <c r="D33" s="324">
        <v>20</v>
      </c>
      <c r="E33" s="20">
        <v>952.78</v>
      </c>
      <c r="F33" s="20">
        <f t="shared" si="2"/>
        <v>229.52470199999999</v>
      </c>
      <c r="G33" s="21">
        <f t="shared" si="3"/>
        <v>1182.3047019999999</v>
      </c>
      <c r="H33" s="833"/>
      <c r="I33" s="773"/>
      <c r="J33" s="773"/>
      <c r="K33" s="773"/>
      <c r="L33" s="773"/>
      <c r="M33" s="774"/>
      <c r="N33" s="19"/>
      <c r="O33" s="20"/>
      <c r="P33" s="20"/>
      <c r="Q33" s="20"/>
      <c r="R33" s="20"/>
      <c r="S33" s="21"/>
      <c r="V33" s="297"/>
      <c r="W33" s="297"/>
      <c r="AB33" s="28"/>
    </row>
    <row r="34" spans="1:28" ht="36.75" customHeight="1" x14ac:dyDescent="0.25">
      <c r="A34" s="18" t="s">
        <v>1041</v>
      </c>
      <c r="B34" s="323">
        <v>2.084269293924466</v>
      </c>
      <c r="C34" s="324">
        <v>1015</v>
      </c>
      <c r="D34" s="324">
        <v>30</v>
      </c>
      <c r="E34" s="20">
        <v>634.66</v>
      </c>
      <c r="F34" s="20">
        <f t="shared" si="2"/>
        <v>152.88959399999999</v>
      </c>
      <c r="G34" s="21">
        <f t="shared" si="3"/>
        <v>787.54959399999996</v>
      </c>
      <c r="H34" s="833"/>
      <c r="I34" s="773"/>
      <c r="J34" s="773"/>
      <c r="K34" s="773"/>
      <c r="L34" s="773"/>
      <c r="M34" s="774"/>
      <c r="N34" s="19"/>
      <c r="O34" s="20"/>
      <c r="P34" s="20"/>
      <c r="Q34" s="20"/>
      <c r="R34" s="20"/>
      <c r="S34" s="21"/>
      <c r="V34" s="297"/>
      <c r="W34" s="297"/>
      <c r="AB34" s="28"/>
    </row>
    <row r="35" spans="1:28" ht="40.5" customHeight="1" x14ac:dyDescent="0.25">
      <c r="A35" s="18" t="s">
        <v>1041</v>
      </c>
      <c r="B35" s="323">
        <v>1.2235384615384615</v>
      </c>
      <c r="C35" s="324">
        <v>1300</v>
      </c>
      <c r="D35" s="324">
        <v>10</v>
      </c>
      <c r="E35" s="20">
        <v>159.06</v>
      </c>
      <c r="F35" s="20">
        <f t="shared" si="2"/>
        <v>38.317554000000001</v>
      </c>
      <c r="G35" s="21">
        <f t="shared" si="3"/>
        <v>197.377554</v>
      </c>
      <c r="H35" s="833"/>
      <c r="I35" s="773"/>
      <c r="J35" s="773"/>
      <c r="K35" s="773"/>
      <c r="L35" s="773"/>
      <c r="M35" s="774"/>
      <c r="N35" s="19"/>
      <c r="O35" s="20"/>
      <c r="P35" s="20"/>
      <c r="Q35" s="20"/>
      <c r="R35" s="20"/>
      <c r="S35" s="21"/>
      <c r="V35" s="297"/>
      <c r="W35" s="297"/>
      <c r="AB35" s="28"/>
    </row>
    <row r="36" spans="1:28" ht="34.5" customHeight="1" x14ac:dyDescent="0.25">
      <c r="A36" s="18" t="s">
        <v>1041</v>
      </c>
      <c r="B36" s="323">
        <v>1.5702051282051281</v>
      </c>
      <c r="C36" s="324">
        <v>1300</v>
      </c>
      <c r="D36" s="324">
        <v>15</v>
      </c>
      <c r="E36" s="20">
        <v>306.19</v>
      </c>
      <c r="F36" s="20">
        <f t="shared" si="2"/>
        <v>73.761171000000004</v>
      </c>
      <c r="G36" s="21">
        <f t="shared" si="3"/>
        <v>379.95117099999999</v>
      </c>
      <c r="H36" s="833"/>
      <c r="I36" s="773"/>
      <c r="J36" s="773"/>
      <c r="K36" s="773"/>
      <c r="L36" s="773"/>
      <c r="M36" s="774"/>
      <c r="N36" s="19"/>
      <c r="O36" s="20"/>
      <c r="P36" s="20"/>
      <c r="Q36" s="20"/>
      <c r="R36" s="20"/>
      <c r="S36" s="21"/>
      <c r="V36" s="297"/>
      <c r="W36" s="297"/>
      <c r="AB36" s="28"/>
    </row>
    <row r="37" spans="1:28" ht="19.5" customHeight="1" x14ac:dyDescent="0.25">
      <c r="A37" s="18" t="s">
        <v>1042</v>
      </c>
      <c r="B37" s="323">
        <v>8.3375555555555554</v>
      </c>
      <c r="C37" s="324">
        <v>1650</v>
      </c>
      <c r="D37" s="324">
        <v>30</v>
      </c>
      <c r="E37" s="20">
        <v>4127.09</v>
      </c>
      <c r="F37" s="20">
        <f t="shared" si="2"/>
        <v>994.21598100000006</v>
      </c>
      <c r="G37" s="21">
        <f t="shared" si="3"/>
        <v>5121.3059810000004</v>
      </c>
      <c r="H37" s="833">
        <v>6.1257575757575768</v>
      </c>
      <c r="I37" s="324">
        <v>1650</v>
      </c>
      <c r="J37" s="324">
        <v>10</v>
      </c>
      <c r="K37" s="773">
        <v>1010.7500000000001</v>
      </c>
      <c r="L37" s="773">
        <f t="shared" si="0"/>
        <v>243.48967500000003</v>
      </c>
      <c r="M37" s="774">
        <f t="shared" si="1"/>
        <v>1254.2396750000003</v>
      </c>
      <c r="N37" s="19"/>
      <c r="O37" s="20"/>
      <c r="P37" s="20"/>
      <c r="Q37" s="20"/>
      <c r="R37" s="20"/>
      <c r="S37" s="21"/>
      <c r="V37" s="297"/>
      <c r="W37" s="297"/>
      <c r="AB37" s="28"/>
    </row>
    <row r="38" spans="1:28" ht="19.5" customHeight="1" x14ac:dyDescent="0.25">
      <c r="A38" s="18" t="s">
        <v>1043</v>
      </c>
      <c r="B38" s="323">
        <v>4.6517668488160293</v>
      </c>
      <c r="C38" s="324">
        <v>1830</v>
      </c>
      <c r="D38" s="324">
        <v>30</v>
      </c>
      <c r="E38" s="20">
        <v>2553.8200000000002</v>
      </c>
      <c r="F38" s="20">
        <f t="shared" si="2"/>
        <v>615.215238</v>
      </c>
      <c r="G38" s="21">
        <f t="shared" si="3"/>
        <v>3169.0352380000004</v>
      </c>
      <c r="H38" s="833">
        <v>4.262131147540984</v>
      </c>
      <c r="I38" s="324">
        <v>1830</v>
      </c>
      <c r="J38" s="324">
        <v>10</v>
      </c>
      <c r="K38" s="773">
        <v>779.97</v>
      </c>
      <c r="L38" s="773">
        <f t="shared" si="0"/>
        <v>187.89477300000001</v>
      </c>
      <c r="M38" s="774">
        <f t="shared" si="1"/>
        <v>967.86477300000001</v>
      </c>
      <c r="N38" s="19"/>
      <c r="O38" s="20"/>
      <c r="P38" s="20"/>
      <c r="Q38" s="20"/>
      <c r="R38" s="20"/>
      <c r="S38" s="21"/>
      <c r="V38" s="297"/>
      <c r="W38" s="297"/>
      <c r="AB38" s="28"/>
    </row>
    <row r="39" spans="1:28" ht="19.5" customHeight="1" x14ac:dyDescent="0.25">
      <c r="A39" s="18" t="s">
        <v>1044</v>
      </c>
      <c r="B39" s="323">
        <v>2.4874747474747472</v>
      </c>
      <c r="C39" s="324">
        <v>1650</v>
      </c>
      <c r="D39" s="324">
        <v>30</v>
      </c>
      <c r="E39" s="20">
        <v>1231.3</v>
      </c>
      <c r="F39" s="20">
        <f t="shared" si="2"/>
        <v>296.62016999999997</v>
      </c>
      <c r="G39" s="21">
        <f t="shared" si="3"/>
        <v>1527.9201699999999</v>
      </c>
      <c r="H39" s="833"/>
      <c r="I39" s="773"/>
      <c r="J39" s="324"/>
      <c r="K39" s="773"/>
      <c r="L39" s="773">
        <f t="shared" si="0"/>
        <v>0</v>
      </c>
      <c r="M39" s="774">
        <f t="shared" si="1"/>
        <v>0</v>
      </c>
      <c r="N39" s="19"/>
      <c r="O39" s="20"/>
      <c r="P39" s="20"/>
      <c r="Q39" s="20"/>
      <c r="R39" s="20"/>
      <c r="S39" s="21"/>
      <c r="V39" s="297"/>
      <c r="W39" s="297"/>
      <c r="AB39" s="28"/>
    </row>
    <row r="40" spans="1:28" ht="19.5" customHeight="1" x14ac:dyDescent="0.25">
      <c r="A40" s="18" t="s">
        <v>1045</v>
      </c>
      <c r="B40" s="323">
        <v>8.9194460362941754</v>
      </c>
      <c r="C40" s="324">
        <v>1745</v>
      </c>
      <c r="D40" s="324">
        <v>30</v>
      </c>
      <c r="E40" s="20">
        <v>4669.3300000000008</v>
      </c>
      <c r="F40" s="20">
        <f t="shared" si="2"/>
        <v>1124.8415970000003</v>
      </c>
      <c r="G40" s="21">
        <f t="shared" si="3"/>
        <v>5794.1715970000014</v>
      </c>
      <c r="H40" s="833">
        <v>10.346074498567335</v>
      </c>
      <c r="I40" s="324">
        <v>1745</v>
      </c>
      <c r="J40" s="324">
        <v>10</v>
      </c>
      <c r="K40" s="773">
        <v>1805.3899999999999</v>
      </c>
      <c r="L40" s="773">
        <f t="shared" si="0"/>
        <v>434.91845099999995</v>
      </c>
      <c r="M40" s="774">
        <f t="shared" si="1"/>
        <v>2240.3084509999999</v>
      </c>
      <c r="N40" s="19"/>
      <c r="O40" s="20"/>
      <c r="P40" s="20"/>
      <c r="Q40" s="20"/>
      <c r="R40" s="20"/>
      <c r="S40" s="21"/>
      <c r="V40" s="297"/>
      <c r="W40" s="297"/>
      <c r="AB40" s="28"/>
    </row>
    <row r="41" spans="1:28" ht="37.5" customHeight="1" x14ac:dyDescent="0.25">
      <c r="A41" s="18" t="s">
        <v>1046</v>
      </c>
      <c r="B41" s="323">
        <v>8.7507430997876874</v>
      </c>
      <c r="C41" s="324">
        <v>1570</v>
      </c>
      <c r="D41" s="324">
        <v>30</v>
      </c>
      <c r="E41" s="20">
        <v>4121.6000000000004</v>
      </c>
      <c r="F41" s="20">
        <f t="shared" si="2"/>
        <v>992.89344000000006</v>
      </c>
      <c r="G41" s="21">
        <f t="shared" si="3"/>
        <v>5114.4934400000002</v>
      </c>
      <c r="H41" s="833">
        <v>10.375031847133757</v>
      </c>
      <c r="I41" s="324">
        <v>1570</v>
      </c>
      <c r="J41" s="324">
        <v>10</v>
      </c>
      <c r="K41" s="773">
        <v>1628.88</v>
      </c>
      <c r="L41" s="773">
        <f t="shared" si="0"/>
        <v>392.39719200000002</v>
      </c>
      <c r="M41" s="774">
        <f t="shared" si="1"/>
        <v>2021.277192</v>
      </c>
      <c r="N41" s="19"/>
      <c r="O41" s="20"/>
      <c r="P41" s="20"/>
      <c r="Q41" s="20"/>
      <c r="R41" s="20"/>
      <c r="S41" s="21"/>
      <c r="V41" s="297"/>
      <c r="W41" s="297"/>
      <c r="AB41" s="28"/>
    </row>
    <row r="42" spans="1:28" ht="66.75" customHeight="1" x14ac:dyDescent="0.25">
      <c r="A42" s="18" t="s">
        <v>12</v>
      </c>
      <c r="B42" s="323"/>
      <c r="C42" s="324"/>
      <c r="D42" s="20"/>
      <c r="E42" s="20"/>
      <c r="F42" s="20"/>
      <c r="G42" s="21"/>
      <c r="H42" s="833"/>
      <c r="I42" s="773"/>
      <c r="J42" s="773"/>
      <c r="K42" s="773"/>
      <c r="L42" s="773"/>
      <c r="M42" s="774"/>
      <c r="N42" s="19"/>
      <c r="O42" s="20"/>
      <c r="P42" s="20"/>
      <c r="Q42" s="20"/>
      <c r="R42" s="20"/>
      <c r="S42" s="21"/>
      <c r="V42" s="297"/>
      <c r="W42" s="297"/>
      <c r="AB42" s="28"/>
    </row>
    <row r="43" spans="1:28" ht="26.25" customHeight="1" x14ac:dyDescent="0.25">
      <c r="A43" s="18" t="s">
        <v>1047</v>
      </c>
      <c r="B43" s="323">
        <v>0.7727160493827161</v>
      </c>
      <c r="C43" s="324">
        <v>1620</v>
      </c>
      <c r="D43" s="324">
        <v>20</v>
      </c>
      <c r="E43" s="20">
        <v>250.36</v>
      </c>
      <c r="F43" s="20">
        <f t="shared" ref="F43:F105" si="4">E43*0.2409</f>
        <v>60.311724000000005</v>
      </c>
      <c r="G43" s="21">
        <f t="shared" ref="G43:G105" si="5">E43+F43</f>
        <v>310.67172400000004</v>
      </c>
      <c r="H43" s="833"/>
      <c r="I43" s="773"/>
      <c r="J43" s="773"/>
      <c r="K43" s="773"/>
      <c r="L43" s="773"/>
      <c r="M43" s="774"/>
      <c r="N43" s="19"/>
      <c r="O43" s="20"/>
      <c r="P43" s="20"/>
      <c r="Q43" s="20"/>
      <c r="R43" s="20"/>
      <c r="S43" s="21"/>
      <c r="V43" s="297"/>
      <c r="W43" s="297"/>
      <c r="AB43" s="28"/>
    </row>
    <row r="44" spans="1:28" ht="26.25" customHeight="1" x14ac:dyDescent="0.25">
      <c r="A44" s="18" t="s">
        <v>1048</v>
      </c>
      <c r="B44" s="323">
        <v>0.22729166666666664</v>
      </c>
      <c r="C44" s="324">
        <v>1600</v>
      </c>
      <c r="D44" s="324">
        <v>30</v>
      </c>
      <c r="E44" s="20">
        <v>109.1</v>
      </c>
      <c r="F44" s="20">
        <f t="shared" si="4"/>
        <v>26.28219</v>
      </c>
      <c r="G44" s="21">
        <f t="shared" si="5"/>
        <v>135.38218999999998</v>
      </c>
      <c r="H44" s="833"/>
      <c r="I44" s="773"/>
      <c r="J44" s="773"/>
      <c r="K44" s="773"/>
      <c r="L44" s="773"/>
      <c r="M44" s="774"/>
      <c r="N44" s="19"/>
      <c r="O44" s="20"/>
      <c r="P44" s="20"/>
      <c r="Q44" s="20"/>
      <c r="R44" s="20"/>
      <c r="S44" s="21"/>
      <c r="V44" s="297"/>
      <c r="W44" s="297"/>
      <c r="AB44" s="28"/>
    </row>
    <row r="45" spans="1:28" ht="33.75" customHeight="1" x14ac:dyDescent="0.25">
      <c r="A45" s="18" t="s">
        <v>1049</v>
      </c>
      <c r="B45" s="323">
        <v>7.8809195402298853</v>
      </c>
      <c r="C45" s="324">
        <v>870</v>
      </c>
      <c r="D45" s="324">
        <v>10</v>
      </c>
      <c r="E45" s="20">
        <f>685.64</f>
        <v>685.64</v>
      </c>
      <c r="F45" s="20">
        <f t="shared" si="4"/>
        <v>165.17067599999999</v>
      </c>
      <c r="G45" s="21">
        <f t="shared" si="5"/>
        <v>850.81067599999994</v>
      </c>
      <c r="H45" s="833"/>
      <c r="I45" s="773"/>
      <c r="J45" s="773"/>
      <c r="K45" s="773"/>
      <c r="L45" s="773"/>
      <c r="M45" s="774"/>
      <c r="N45" s="19"/>
      <c r="O45" s="20"/>
      <c r="P45" s="20"/>
      <c r="Q45" s="20"/>
      <c r="R45" s="20"/>
      <c r="S45" s="21"/>
      <c r="V45" s="297"/>
      <c r="W45" s="297"/>
      <c r="AB45" s="28"/>
    </row>
    <row r="46" spans="1:28" ht="33.75" customHeight="1" x14ac:dyDescent="0.25">
      <c r="A46" s="18" t="s">
        <v>1049</v>
      </c>
      <c r="B46" s="323">
        <v>0.86229885057471256</v>
      </c>
      <c r="C46" s="324">
        <v>870</v>
      </c>
      <c r="D46" s="324">
        <v>5</v>
      </c>
      <c r="E46" s="20">
        <v>37.51</v>
      </c>
      <c r="F46" s="20">
        <f t="shared" si="4"/>
        <v>9.0361589999999996</v>
      </c>
      <c r="G46" s="21">
        <f t="shared" si="5"/>
        <v>46.546158999999996</v>
      </c>
      <c r="H46" s="833"/>
      <c r="I46" s="773"/>
      <c r="J46" s="773"/>
      <c r="K46" s="773"/>
      <c r="L46" s="773"/>
      <c r="M46" s="774"/>
      <c r="N46" s="19"/>
      <c r="O46" s="20"/>
      <c r="P46" s="20"/>
      <c r="Q46" s="20"/>
      <c r="R46" s="20"/>
      <c r="S46" s="21"/>
      <c r="V46" s="297"/>
      <c r="W46" s="297"/>
      <c r="AB46" s="28"/>
    </row>
    <row r="47" spans="1:28" ht="33.75" customHeight="1" x14ac:dyDescent="0.3">
      <c r="A47" s="18" t="s">
        <v>1049</v>
      </c>
      <c r="B47" s="323">
        <v>31.03049504950495</v>
      </c>
      <c r="C47" s="324">
        <v>1010</v>
      </c>
      <c r="D47" s="324">
        <v>5</v>
      </c>
      <c r="E47" s="775">
        <v>1567.04</v>
      </c>
      <c r="F47" s="20">
        <f t="shared" si="4"/>
        <v>377.49993599999999</v>
      </c>
      <c r="G47" s="21">
        <f t="shared" si="5"/>
        <v>1944.5399359999999</v>
      </c>
      <c r="H47" s="833"/>
      <c r="I47" s="773"/>
      <c r="J47" s="773"/>
      <c r="K47" s="773"/>
      <c r="L47" s="773"/>
      <c r="M47" s="774"/>
      <c r="N47" s="19"/>
      <c r="O47" s="20"/>
      <c r="P47" s="20"/>
      <c r="Q47" s="20"/>
      <c r="R47" s="20"/>
      <c r="S47" s="21"/>
      <c r="V47" s="297"/>
      <c r="W47" s="297"/>
      <c r="AB47" s="28"/>
    </row>
    <row r="48" spans="1:28" ht="33.75" customHeight="1" x14ac:dyDescent="0.25">
      <c r="A48" s="18" t="s">
        <v>1049</v>
      </c>
      <c r="B48" s="323">
        <v>10.300198019801979</v>
      </c>
      <c r="C48" s="324">
        <v>1010</v>
      </c>
      <c r="D48" s="324">
        <v>10</v>
      </c>
      <c r="E48" s="20">
        <v>1040.32</v>
      </c>
      <c r="F48" s="20">
        <f t="shared" si="4"/>
        <v>250.61308799999998</v>
      </c>
      <c r="G48" s="21">
        <f t="shared" si="5"/>
        <v>1290.933088</v>
      </c>
      <c r="H48" s="833">
        <v>0.83871287128712868</v>
      </c>
      <c r="I48" s="324">
        <v>1010</v>
      </c>
      <c r="J48" s="324">
        <v>10</v>
      </c>
      <c r="K48" s="773">
        <v>84.710000000000008</v>
      </c>
      <c r="L48" s="773">
        <f t="shared" si="0"/>
        <v>20.406639000000002</v>
      </c>
      <c r="M48" s="774">
        <f t="shared" si="1"/>
        <v>105.11663900000001</v>
      </c>
      <c r="N48" s="19"/>
      <c r="O48" s="20"/>
      <c r="P48" s="20"/>
      <c r="Q48" s="20"/>
      <c r="R48" s="20"/>
      <c r="S48" s="21"/>
      <c r="V48" s="297"/>
      <c r="W48" s="297"/>
      <c r="AB48" s="28"/>
    </row>
    <row r="49" spans="1:28" ht="38.25" customHeight="1" x14ac:dyDescent="0.25">
      <c r="A49" s="18" t="s">
        <v>1050</v>
      </c>
      <c r="B49" s="323">
        <v>174.49675675675672</v>
      </c>
      <c r="C49" s="324">
        <v>740</v>
      </c>
      <c r="D49" s="324">
        <v>5</v>
      </c>
      <c r="E49" s="20">
        <v>6456.3799999999983</v>
      </c>
      <c r="F49" s="20">
        <f t="shared" si="4"/>
        <v>1555.3419419999996</v>
      </c>
      <c r="G49" s="21">
        <f t="shared" si="5"/>
        <v>8011.7219419999983</v>
      </c>
      <c r="H49" s="834">
        <v>164.96999999999997</v>
      </c>
      <c r="I49" s="776">
        <v>740</v>
      </c>
      <c r="J49" s="324">
        <v>5</v>
      </c>
      <c r="K49" s="773">
        <v>6103.8899999999985</v>
      </c>
      <c r="L49" s="773">
        <f t="shared" si="0"/>
        <v>1470.4271009999998</v>
      </c>
      <c r="M49" s="774">
        <f t="shared" si="1"/>
        <v>7574.3171009999987</v>
      </c>
      <c r="N49" s="19"/>
      <c r="O49" s="20"/>
      <c r="P49" s="20"/>
      <c r="Q49" s="20"/>
      <c r="R49" s="20"/>
      <c r="S49" s="21"/>
      <c r="V49" s="297"/>
      <c r="W49" s="297"/>
      <c r="AB49" s="28"/>
    </row>
    <row r="50" spans="1:28" ht="41.25" customHeight="1" x14ac:dyDescent="0.25">
      <c r="A50" s="18" t="s">
        <v>1050</v>
      </c>
      <c r="B50" s="323">
        <v>0.79239130434782612</v>
      </c>
      <c r="C50" s="324">
        <v>920</v>
      </c>
      <c r="D50" s="324">
        <v>5</v>
      </c>
      <c r="E50" s="20">
        <v>36.450000000000003</v>
      </c>
      <c r="F50" s="20">
        <f t="shared" si="4"/>
        <v>8.7808050000000009</v>
      </c>
      <c r="G50" s="21">
        <f t="shared" si="5"/>
        <v>45.230805000000004</v>
      </c>
      <c r="H50" s="834">
        <v>0.78456521739130436</v>
      </c>
      <c r="I50" s="776">
        <v>920</v>
      </c>
      <c r="J50" s="324">
        <v>5</v>
      </c>
      <c r="K50" s="773">
        <v>36.090000000000003</v>
      </c>
      <c r="L50" s="773">
        <f t="shared" si="0"/>
        <v>8.6940810000000006</v>
      </c>
      <c r="M50" s="774">
        <f t="shared" si="1"/>
        <v>44.784081</v>
      </c>
      <c r="N50" s="19"/>
      <c r="O50" s="20"/>
      <c r="P50" s="20"/>
      <c r="Q50" s="20"/>
      <c r="R50" s="20"/>
      <c r="S50" s="21"/>
      <c r="V50" s="297"/>
      <c r="W50" s="297"/>
      <c r="AB50" s="28"/>
    </row>
    <row r="51" spans="1:28" ht="45.75" customHeight="1" x14ac:dyDescent="0.25">
      <c r="A51" s="18" t="s">
        <v>1050</v>
      </c>
      <c r="B51" s="323">
        <v>45.836351351351354</v>
      </c>
      <c r="C51" s="324">
        <v>740</v>
      </c>
      <c r="D51" s="324">
        <v>10</v>
      </c>
      <c r="E51" s="20">
        <v>3391.8900000000003</v>
      </c>
      <c r="F51" s="20">
        <f t="shared" si="4"/>
        <v>817.10630100000014</v>
      </c>
      <c r="G51" s="21">
        <f t="shared" si="5"/>
        <v>4208.9963010000001</v>
      </c>
      <c r="H51" s="833">
        <v>37.025540540540533</v>
      </c>
      <c r="I51" s="324">
        <v>740</v>
      </c>
      <c r="J51" s="324">
        <v>10</v>
      </c>
      <c r="K51" s="773">
        <v>2739.89</v>
      </c>
      <c r="L51" s="773">
        <f t="shared" si="0"/>
        <v>660.03950099999997</v>
      </c>
      <c r="M51" s="774">
        <f t="shared" si="1"/>
        <v>3399.9295009999996</v>
      </c>
      <c r="N51" s="19"/>
      <c r="O51" s="20"/>
      <c r="P51" s="20"/>
      <c r="Q51" s="20"/>
      <c r="R51" s="20"/>
      <c r="S51" s="21"/>
      <c r="V51" s="297"/>
      <c r="W51" s="297"/>
      <c r="AB51" s="28"/>
    </row>
    <row r="52" spans="1:28" ht="45.75" customHeight="1" x14ac:dyDescent="0.25">
      <c r="A52" s="18" t="s">
        <v>1050</v>
      </c>
      <c r="B52" s="323"/>
      <c r="C52" s="324"/>
      <c r="D52" s="324"/>
      <c r="E52" s="20"/>
      <c r="F52" s="20"/>
      <c r="G52" s="21"/>
      <c r="H52" s="833">
        <v>0.82652173913043481</v>
      </c>
      <c r="I52" s="324">
        <v>920</v>
      </c>
      <c r="J52" s="324">
        <v>10</v>
      </c>
      <c r="K52" s="773">
        <v>76.040000000000006</v>
      </c>
      <c r="L52" s="773">
        <f t="shared" si="0"/>
        <v>18.318036000000003</v>
      </c>
      <c r="M52" s="774">
        <f t="shared" si="1"/>
        <v>94.358036000000013</v>
      </c>
      <c r="N52" s="19"/>
      <c r="O52" s="20"/>
      <c r="P52" s="20"/>
      <c r="Q52" s="20"/>
      <c r="R52" s="20"/>
      <c r="S52" s="21"/>
      <c r="V52" s="297"/>
      <c r="W52" s="297"/>
      <c r="AB52" s="28"/>
    </row>
    <row r="53" spans="1:28" ht="33" x14ac:dyDescent="0.25">
      <c r="A53" s="18" t="s">
        <v>1050</v>
      </c>
      <c r="B53" s="323">
        <v>44.263153153153155</v>
      </c>
      <c r="C53" s="324">
        <v>740</v>
      </c>
      <c r="D53" s="324">
        <v>15</v>
      </c>
      <c r="E53" s="20">
        <v>4913.21</v>
      </c>
      <c r="F53" s="20">
        <f t="shared" si="4"/>
        <v>1183.5922889999999</v>
      </c>
      <c r="G53" s="21">
        <f t="shared" si="5"/>
        <v>6096.8022890000002</v>
      </c>
      <c r="H53" s="833">
        <v>58.930810810810819</v>
      </c>
      <c r="I53" s="324">
        <v>740</v>
      </c>
      <c r="J53" s="324">
        <v>15</v>
      </c>
      <c r="K53" s="773">
        <v>6541.3200000000006</v>
      </c>
      <c r="L53" s="773">
        <f t="shared" si="0"/>
        <v>1575.8039880000001</v>
      </c>
      <c r="M53" s="774">
        <f t="shared" si="1"/>
        <v>8117.1239880000012</v>
      </c>
      <c r="N53" s="19"/>
      <c r="O53" s="20"/>
      <c r="P53" s="20"/>
      <c r="Q53" s="20"/>
      <c r="R53" s="20"/>
      <c r="S53" s="21"/>
      <c r="V53" s="297"/>
      <c r="W53" s="297"/>
      <c r="AB53" s="28"/>
    </row>
    <row r="54" spans="1:28" ht="33" x14ac:dyDescent="0.25">
      <c r="A54" s="18" t="s">
        <v>1050</v>
      </c>
      <c r="B54" s="323">
        <v>1.1264492753623188</v>
      </c>
      <c r="C54" s="324">
        <v>920</v>
      </c>
      <c r="D54" s="324">
        <v>15</v>
      </c>
      <c r="E54" s="20">
        <v>155.44999999999999</v>
      </c>
      <c r="F54" s="20">
        <f t="shared" si="4"/>
        <v>37.447904999999999</v>
      </c>
      <c r="G54" s="21">
        <f t="shared" si="5"/>
        <v>192.89790499999998</v>
      </c>
      <c r="H54" s="833">
        <v>2.6085507246376811</v>
      </c>
      <c r="I54" s="324">
        <v>920</v>
      </c>
      <c r="J54" s="324">
        <v>15</v>
      </c>
      <c r="K54" s="773">
        <v>359.98</v>
      </c>
      <c r="L54" s="773">
        <f t="shared" si="0"/>
        <v>86.719182000000004</v>
      </c>
      <c r="M54" s="774">
        <f t="shared" si="1"/>
        <v>446.69918200000001</v>
      </c>
      <c r="N54" s="19"/>
      <c r="O54" s="20"/>
      <c r="P54" s="20"/>
      <c r="Q54" s="20"/>
      <c r="R54" s="20"/>
      <c r="S54" s="21"/>
      <c r="V54" s="297"/>
      <c r="W54" s="297"/>
      <c r="AB54" s="28"/>
    </row>
    <row r="55" spans="1:28" ht="33" x14ac:dyDescent="0.25">
      <c r="A55" s="18" t="s">
        <v>1050</v>
      </c>
      <c r="B55" s="323">
        <v>15.838040540540538</v>
      </c>
      <c r="C55" s="324">
        <v>740</v>
      </c>
      <c r="D55" s="324">
        <v>20</v>
      </c>
      <c r="E55" s="20">
        <v>2344.0299999999997</v>
      </c>
      <c r="F55" s="20">
        <f t="shared" si="4"/>
        <v>564.67682699999989</v>
      </c>
      <c r="G55" s="21">
        <f t="shared" si="5"/>
        <v>2908.7068269999995</v>
      </c>
      <c r="H55" s="833">
        <v>22.002567567567564</v>
      </c>
      <c r="I55" s="324">
        <v>740</v>
      </c>
      <c r="J55" s="324">
        <v>20</v>
      </c>
      <c r="K55" s="773">
        <v>3256.3799999999997</v>
      </c>
      <c r="L55" s="773">
        <f t="shared" si="0"/>
        <v>784.46194199999991</v>
      </c>
      <c r="M55" s="774">
        <f t="shared" si="1"/>
        <v>4040.8419419999996</v>
      </c>
      <c r="N55" s="19"/>
      <c r="O55" s="20"/>
      <c r="P55" s="20"/>
      <c r="Q55" s="20"/>
      <c r="R55" s="20"/>
      <c r="S55" s="21"/>
      <c r="V55" s="297"/>
      <c r="W55" s="297"/>
      <c r="AB55" s="28"/>
    </row>
    <row r="56" spans="1:28" ht="33" x14ac:dyDescent="0.25">
      <c r="A56" s="18" t="s">
        <v>1050</v>
      </c>
      <c r="B56" s="323">
        <v>2.5941304347826089</v>
      </c>
      <c r="C56" s="324">
        <v>920</v>
      </c>
      <c r="D56" s="324">
        <v>20</v>
      </c>
      <c r="E56" s="20">
        <v>477.32000000000005</v>
      </c>
      <c r="F56" s="20">
        <f t="shared" si="4"/>
        <v>114.98638800000002</v>
      </c>
      <c r="G56" s="21">
        <f t="shared" si="5"/>
        <v>592.30638800000008</v>
      </c>
      <c r="H56" s="833">
        <v>5.2153804347826087</v>
      </c>
      <c r="I56" s="324">
        <v>920</v>
      </c>
      <c r="J56" s="324">
        <v>20</v>
      </c>
      <c r="K56" s="773">
        <v>959.62999999999988</v>
      </c>
      <c r="L56" s="773">
        <f t="shared" si="0"/>
        <v>231.17486699999998</v>
      </c>
      <c r="M56" s="774">
        <f t="shared" si="1"/>
        <v>1190.8048669999998</v>
      </c>
      <c r="N56" s="19"/>
      <c r="O56" s="20"/>
      <c r="P56" s="20"/>
      <c r="Q56" s="20"/>
      <c r="R56" s="20"/>
      <c r="S56" s="21"/>
      <c r="V56" s="297"/>
      <c r="W56" s="297"/>
      <c r="AB56" s="28"/>
    </row>
    <row r="57" spans="1:28" ht="33" x14ac:dyDescent="0.25">
      <c r="A57" s="18" t="s">
        <v>1050</v>
      </c>
      <c r="B57" s="323">
        <v>10.981891891891889</v>
      </c>
      <c r="C57" s="324">
        <v>740</v>
      </c>
      <c r="D57" s="324">
        <v>30</v>
      </c>
      <c r="E57" s="20">
        <v>2437.9799999999996</v>
      </c>
      <c r="F57" s="20">
        <f t="shared" si="4"/>
        <v>587.30938199999991</v>
      </c>
      <c r="G57" s="21">
        <f t="shared" si="5"/>
        <v>3025.2893819999995</v>
      </c>
      <c r="H57" s="833"/>
      <c r="I57" s="773"/>
      <c r="J57" s="773"/>
      <c r="K57" s="773"/>
      <c r="L57" s="773"/>
      <c r="M57" s="774"/>
      <c r="N57" s="19"/>
      <c r="O57" s="20"/>
      <c r="P57" s="20"/>
      <c r="Q57" s="20"/>
      <c r="R57" s="20"/>
      <c r="S57" s="21"/>
      <c r="V57" s="297"/>
      <c r="W57" s="297"/>
      <c r="AB57" s="28"/>
    </row>
    <row r="58" spans="1:28" ht="33" x14ac:dyDescent="0.25">
      <c r="A58" s="18" t="s">
        <v>1050</v>
      </c>
      <c r="B58" s="323">
        <v>1.8757971014492751</v>
      </c>
      <c r="C58" s="324">
        <v>920</v>
      </c>
      <c r="D58" s="324">
        <v>30</v>
      </c>
      <c r="E58" s="20">
        <v>517.71999999999991</v>
      </c>
      <c r="F58" s="20">
        <f t="shared" si="4"/>
        <v>124.71874799999998</v>
      </c>
      <c r="G58" s="21">
        <f t="shared" si="5"/>
        <v>642.43874799999992</v>
      </c>
      <c r="H58" s="833"/>
      <c r="I58" s="773"/>
      <c r="J58" s="773"/>
      <c r="K58" s="773"/>
      <c r="L58" s="773"/>
      <c r="M58" s="774"/>
      <c r="N58" s="19"/>
      <c r="O58" s="20"/>
      <c r="P58" s="20"/>
      <c r="Q58" s="20"/>
      <c r="R58" s="20"/>
      <c r="S58" s="21"/>
      <c r="V58" s="297"/>
      <c r="W58" s="297"/>
      <c r="AB58" s="28"/>
    </row>
    <row r="59" spans="1:28" ht="33" x14ac:dyDescent="0.25">
      <c r="A59" s="18" t="s">
        <v>1050</v>
      </c>
      <c r="B59" s="323">
        <v>5.0320270270270262</v>
      </c>
      <c r="C59" s="324">
        <v>740</v>
      </c>
      <c r="D59" s="324">
        <v>40</v>
      </c>
      <c r="E59" s="20">
        <v>1489.4799999999998</v>
      </c>
      <c r="F59" s="20">
        <f t="shared" si="4"/>
        <v>358.81573199999997</v>
      </c>
      <c r="G59" s="21">
        <f t="shared" si="5"/>
        <v>1848.2957319999998</v>
      </c>
      <c r="H59" s="833"/>
      <c r="I59" s="773"/>
      <c r="J59" s="773"/>
      <c r="K59" s="773"/>
      <c r="L59" s="773"/>
      <c r="M59" s="774"/>
      <c r="N59" s="19"/>
      <c r="O59" s="20"/>
      <c r="P59" s="20"/>
      <c r="Q59" s="20"/>
      <c r="R59" s="20"/>
      <c r="S59" s="21"/>
      <c r="V59" s="297"/>
      <c r="W59" s="297"/>
      <c r="AB59" s="28"/>
    </row>
    <row r="60" spans="1:28" ht="33" x14ac:dyDescent="0.25">
      <c r="A60" s="18" t="s">
        <v>1050</v>
      </c>
      <c r="B60" s="323">
        <v>2.0578804347826085</v>
      </c>
      <c r="C60" s="324">
        <v>920</v>
      </c>
      <c r="D60" s="324">
        <v>40</v>
      </c>
      <c r="E60" s="20">
        <v>757.3</v>
      </c>
      <c r="F60" s="20">
        <f t="shared" si="4"/>
        <v>182.43357</v>
      </c>
      <c r="G60" s="21">
        <f t="shared" si="5"/>
        <v>939.73356999999999</v>
      </c>
      <c r="H60" s="833"/>
      <c r="I60" s="773"/>
      <c r="J60" s="773"/>
      <c r="K60" s="773"/>
      <c r="L60" s="773"/>
      <c r="M60" s="774"/>
      <c r="N60" s="19"/>
      <c r="O60" s="20"/>
      <c r="P60" s="20"/>
      <c r="Q60" s="20"/>
      <c r="R60" s="20"/>
      <c r="S60" s="21"/>
      <c r="V60" s="297"/>
      <c r="W60" s="297"/>
      <c r="AB60" s="28"/>
    </row>
    <row r="61" spans="1:28" ht="33" x14ac:dyDescent="0.25">
      <c r="A61" s="18" t="s">
        <v>1050</v>
      </c>
      <c r="B61" s="323">
        <v>3.2266666666666666</v>
      </c>
      <c r="C61" s="324">
        <v>740</v>
      </c>
      <c r="D61" s="324">
        <v>45</v>
      </c>
      <c r="E61" s="20">
        <v>1074.48</v>
      </c>
      <c r="F61" s="20">
        <f t="shared" si="4"/>
        <v>258.84223200000002</v>
      </c>
      <c r="G61" s="21">
        <f t="shared" si="5"/>
        <v>1333.322232</v>
      </c>
      <c r="H61" s="833"/>
      <c r="I61" s="773"/>
      <c r="J61" s="773"/>
      <c r="K61" s="773"/>
      <c r="L61" s="773"/>
      <c r="M61" s="774"/>
      <c r="N61" s="19"/>
      <c r="O61" s="20"/>
      <c r="P61" s="20"/>
      <c r="Q61" s="20"/>
      <c r="R61" s="20"/>
      <c r="S61" s="21"/>
      <c r="V61" s="297"/>
      <c r="W61" s="297"/>
      <c r="AB61" s="28"/>
    </row>
    <row r="62" spans="1:28" ht="33" x14ac:dyDescent="0.25">
      <c r="A62" s="18" t="s">
        <v>1050</v>
      </c>
      <c r="B62" s="323">
        <v>0.60101449275362329</v>
      </c>
      <c r="C62" s="324">
        <v>920</v>
      </c>
      <c r="D62" s="324">
        <v>45</v>
      </c>
      <c r="E62" s="20">
        <v>248.82000000000002</v>
      </c>
      <c r="F62" s="20">
        <f t="shared" si="4"/>
        <v>59.940738000000003</v>
      </c>
      <c r="G62" s="21">
        <f t="shared" si="5"/>
        <v>308.760738</v>
      </c>
      <c r="H62" s="833"/>
      <c r="I62" s="773"/>
      <c r="J62" s="773"/>
      <c r="K62" s="773"/>
      <c r="L62" s="773"/>
      <c r="M62" s="774"/>
      <c r="N62" s="19"/>
      <c r="O62" s="20"/>
      <c r="P62" s="20"/>
      <c r="Q62" s="20"/>
      <c r="R62" s="20"/>
      <c r="S62" s="21"/>
      <c r="V62" s="297"/>
      <c r="W62" s="297"/>
      <c r="AB62" s="28"/>
    </row>
    <row r="63" spans="1:28" ht="35.25" customHeight="1" x14ac:dyDescent="0.25">
      <c r="A63" s="18" t="s">
        <v>1051</v>
      </c>
      <c r="B63" s="323">
        <v>38.766153846153834</v>
      </c>
      <c r="C63" s="324">
        <v>715</v>
      </c>
      <c r="D63" s="324">
        <v>5</v>
      </c>
      <c r="E63" s="20">
        <v>1385.8899999999996</v>
      </c>
      <c r="F63" s="20">
        <f t="shared" si="4"/>
        <v>333.8609009999999</v>
      </c>
      <c r="G63" s="21">
        <f t="shared" si="5"/>
        <v>1719.7509009999994</v>
      </c>
      <c r="H63" s="833">
        <v>35.319720279720272</v>
      </c>
      <c r="I63" s="324">
        <v>715</v>
      </c>
      <c r="J63" s="324">
        <v>5</v>
      </c>
      <c r="K63" s="773">
        <v>1262.6799999999998</v>
      </c>
      <c r="L63" s="773">
        <f t="shared" si="0"/>
        <v>304.17961199999996</v>
      </c>
      <c r="M63" s="774">
        <f t="shared" si="1"/>
        <v>1566.8596119999997</v>
      </c>
      <c r="N63" s="19"/>
      <c r="O63" s="20"/>
      <c r="P63" s="20"/>
      <c r="Q63" s="20"/>
      <c r="R63" s="20"/>
      <c r="S63" s="21"/>
      <c r="V63" s="297"/>
      <c r="W63" s="297"/>
      <c r="AB63" s="28"/>
    </row>
    <row r="64" spans="1:28" ht="33" x14ac:dyDescent="0.25">
      <c r="A64" s="18" t="s">
        <v>1051</v>
      </c>
      <c r="B64" s="323">
        <v>0.28195804195804197</v>
      </c>
      <c r="C64" s="324">
        <v>715</v>
      </c>
      <c r="D64" s="324">
        <v>10</v>
      </c>
      <c r="E64" s="20">
        <v>20.16</v>
      </c>
      <c r="F64" s="20">
        <f t="shared" si="4"/>
        <v>4.8565440000000004</v>
      </c>
      <c r="G64" s="21">
        <f t="shared" si="5"/>
        <v>25.016544</v>
      </c>
      <c r="H64" s="833">
        <v>0.28195804195804197</v>
      </c>
      <c r="I64" s="324">
        <v>715</v>
      </c>
      <c r="J64" s="324">
        <v>10</v>
      </c>
      <c r="K64" s="773">
        <v>20.16</v>
      </c>
      <c r="L64" s="773">
        <f t="shared" si="0"/>
        <v>4.8565440000000004</v>
      </c>
      <c r="M64" s="774">
        <f t="shared" si="1"/>
        <v>25.016544</v>
      </c>
      <c r="N64" s="19"/>
      <c r="O64" s="20"/>
      <c r="P64" s="20"/>
      <c r="Q64" s="20"/>
      <c r="R64" s="20"/>
      <c r="S64" s="21"/>
      <c r="V64" s="297"/>
      <c r="W64" s="297"/>
      <c r="AB64" s="28"/>
    </row>
    <row r="65" spans="1:28" ht="33" x14ac:dyDescent="0.25">
      <c r="A65" s="18" t="s">
        <v>1051</v>
      </c>
      <c r="B65" s="323">
        <v>3.5624242424242429</v>
      </c>
      <c r="C65" s="324">
        <v>715</v>
      </c>
      <c r="D65" s="324">
        <v>15</v>
      </c>
      <c r="E65" s="20">
        <v>382.07000000000005</v>
      </c>
      <c r="F65" s="20">
        <f t="shared" si="4"/>
        <v>92.040663000000009</v>
      </c>
      <c r="G65" s="21">
        <f t="shared" si="5"/>
        <v>474.11066300000005</v>
      </c>
      <c r="H65" s="833">
        <v>4.2997668997668992</v>
      </c>
      <c r="I65" s="324">
        <v>715</v>
      </c>
      <c r="J65" s="324">
        <v>15</v>
      </c>
      <c r="K65" s="773">
        <v>461.15</v>
      </c>
      <c r="L65" s="773">
        <f t="shared" si="0"/>
        <v>111.09103499999999</v>
      </c>
      <c r="M65" s="774">
        <f t="shared" si="1"/>
        <v>572.24103500000001</v>
      </c>
      <c r="N65" s="19"/>
      <c r="O65" s="20"/>
      <c r="P65" s="20"/>
      <c r="Q65" s="20"/>
      <c r="R65" s="20"/>
      <c r="S65" s="21"/>
      <c r="V65" s="297"/>
      <c r="W65" s="297"/>
      <c r="AB65" s="28"/>
    </row>
    <row r="66" spans="1:28" ht="33" x14ac:dyDescent="0.25">
      <c r="A66" s="18" t="s">
        <v>1051</v>
      </c>
      <c r="B66" s="323"/>
      <c r="C66" s="324"/>
      <c r="D66" s="324"/>
      <c r="E66" s="20"/>
      <c r="F66" s="20"/>
      <c r="G66" s="21"/>
      <c r="H66" s="833">
        <v>0.93062937062937079</v>
      </c>
      <c r="I66" s="324">
        <v>715</v>
      </c>
      <c r="J66" s="324">
        <v>20</v>
      </c>
      <c r="K66" s="773">
        <v>133.08000000000001</v>
      </c>
      <c r="L66" s="773">
        <f t="shared" si="0"/>
        <v>32.058972000000004</v>
      </c>
      <c r="M66" s="774">
        <f t="shared" si="1"/>
        <v>165.13897200000002</v>
      </c>
      <c r="N66" s="19"/>
      <c r="O66" s="20"/>
      <c r="P66" s="20"/>
      <c r="Q66" s="20"/>
      <c r="R66" s="20"/>
      <c r="S66" s="21"/>
      <c r="V66" s="297"/>
      <c r="W66" s="297"/>
      <c r="AB66" s="28"/>
    </row>
    <row r="67" spans="1:28" ht="34.5" customHeight="1" x14ac:dyDescent="0.25">
      <c r="A67" s="18" t="s">
        <v>1052</v>
      </c>
      <c r="B67" s="323">
        <v>20.593654266958424</v>
      </c>
      <c r="C67" s="324">
        <v>914</v>
      </c>
      <c r="D67" s="324">
        <v>5</v>
      </c>
      <c r="E67" s="20">
        <v>941.13</v>
      </c>
      <c r="F67" s="20">
        <f t="shared" si="4"/>
        <v>226.71821700000001</v>
      </c>
      <c r="G67" s="21">
        <f t="shared" si="5"/>
        <v>1167.848217</v>
      </c>
      <c r="H67" s="833">
        <v>22.527352297593001</v>
      </c>
      <c r="I67" s="324">
        <v>914</v>
      </c>
      <c r="J67" s="324">
        <v>5</v>
      </c>
      <c r="K67" s="773">
        <v>1029.5</v>
      </c>
      <c r="L67" s="773">
        <f t="shared" si="0"/>
        <v>248.00655</v>
      </c>
      <c r="M67" s="774">
        <f t="shared" si="1"/>
        <v>1277.5065500000001</v>
      </c>
      <c r="N67" s="19"/>
      <c r="O67" s="20"/>
      <c r="P67" s="20"/>
      <c r="Q67" s="20"/>
      <c r="R67" s="20"/>
      <c r="S67" s="21"/>
      <c r="V67" s="297"/>
      <c r="W67" s="297"/>
      <c r="AB67" s="28"/>
    </row>
    <row r="68" spans="1:28" ht="33" x14ac:dyDescent="0.25">
      <c r="A68" s="18" t="s">
        <v>1052</v>
      </c>
      <c r="B68" s="323">
        <v>3.5237606837606839</v>
      </c>
      <c r="C68" s="324">
        <v>1170</v>
      </c>
      <c r="D68" s="324">
        <v>5</v>
      </c>
      <c r="E68" s="20">
        <v>206.14000000000001</v>
      </c>
      <c r="F68" s="20">
        <f t="shared" si="4"/>
        <v>49.659126000000008</v>
      </c>
      <c r="G68" s="21">
        <f t="shared" si="5"/>
        <v>255.79912600000003</v>
      </c>
      <c r="H68" s="833">
        <v>6.5859829059829069</v>
      </c>
      <c r="I68" s="324">
        <v>1170</v>
      </c>
      <c r="J68" s="324">
        <v>5</v>
      </c>
      <c r="K68" s="773">
        <v>385.28000000000003</v>
      </c>
      <c r="L68" s="773">
        <f t="shared" si="0"/>
        <v>92.813952000000015</v>
      </c>
      <c r="M68" s="774">
        <f t="shared" si="1"/>
        <v>478.09395200000006</v>
      </c>
      <c r="N68" s="19"/>
      <c r="O68" s="20"/>
      <c r="P68" s="20"/>
      <c r="Q68" s="20"/>
      <c r="R68" s="20"/>
      <c r="S68" s="21"/>
      <c r="V68" s="297"/>
      <c r="W68" s="297"/>
      <c r="AB68" s="28"/>
    </row>
    <row r="69" spans="1:28" ht="33" x14ac:dyDescent="0.25">
      <c r="A69" s="18" t="s">
        <v>1052</v>
      </c>
      <c r="B69" s="323">
        <v>8.2299145299145291</v>
      </c>
      <c r="C69" s="324">
        <v>1170</v>
      </c>
      <c r="D69" s="324">
        <v>10</v>
      </c>
      <c r="E69" s="20">
        <v>962.9</v>
      </c>
      <c r="F69" s="20">
        <f t="shared" si="4"/>
        <v>231.96260999999998</v>
      </c>
      <c r="G69" s="21">
        <f t="shared" si="5"/>
        <v>1194.8626099999999</v>
      </c>
      <c r="H69" s="833">
        <v>6.535042735042734</v>
      </c>
      <c r="I69" s="324">
        <v>1170</v>
      </c>
      <c r="J69" s="324">
        <v>10</v>
      </c>
      <c r="K69" s="773">
        <v>764.59999999999991</v>
      </c>
      <c r="L69" s="773">
        <f t="shared" si="0"/>
        <v>184.19213999999997</v>
      </c>
      <c r="M69" s="774">
        <f t="shared" si="1"/>
        <v>948.7921399999999</v>
      </c>
      <c r="N69" s="19"/>
      <c r="O69" s="20"/>
      <c r="P69" s="20"/>
      <c r="Q69" s="20"/>
      <c r="R69" s="20"/>
      <c r="S69" s="21"/>
      <c r="V69" s="297"/>
      <c r="W69" s="297"/>
      <c r="AB69" s="28"/>
    </row>
    <row r="70" spans="1:28" ht="33" x14ac:dyDescent="0.25">
      <c r="A70" s="18" t="s">
        <v>1052</v>
      </c>
      <c r="B70" s="323">
        <v>2.1464624361779721</v>
      </c>
      <c r="C70" s="324">
        <v>914</v>
      </c>
      <c r="D70" s="324">
        <v>15</v>
      </c>
      <c r="E70" s="20">
        <v>294.27999999999997</v>
      </c>
      <c r="F70" s="20">
        <f t="shared" si="4"/>
        <v>70.892051999999993</v>
      </c>
      <c r="G70" s="21">
        <f t="shared" si="5"/>
        <v>365.17205199999995</v>
      </c>
      <c r="H70" s="833">
        <v>2.7836615609044491</v>
      </c>
      <c r="I70" s="324">
        <v>914</v>
      </c>
      <c r="J70" s="324">
        <v>15</v>
      </c>
      <c r="K70" s="773">
        <v>381.64</v>
      </c>
      <c r="L70" s="773">
        <f t="shared" si="0"/>
        <v>91.937076000000005</v>
      </c>
      <c r="M70" s="774">
        <f t="shared" si="1"/>
        <v>473.57707599999998</v>
      </c>
      <c r="N70" s="19"/>
      <c r="O70" s="20"/>
      <c r="P70" s="20"/>
      <c r="Q70" s="20"/>
      <c r="R70" s="20"/>
      <c r="S70" s="21"/>
      <c r="V70" s="297"/>
      <c r="W70" s="297"/>
      <c r="AB70" s="28"/>
    </row>
    <row r="71" spans="1:28" ht="33" x14ac:dyDescent="0.25">
      <c r="A71" s="18" t="s">
        <v>1052</v>
      </c>
      <c r="B71" s="323">
        <v>3.6013675213675214</v>
      </c>
      <c r="C71" s="324">
        <v>1170</v>
      </c>
      <c r="D71" s="324">
        <v>15</v>
      </c>
      <c r="E71" s="20">
        <v>632.04</v>
      </c>
      <c r="F71" s="20">
        <f t="shared" si="4"/>
        <v>152.25843599999999</v>
      </c>
      <c r="G71" s="21">
        <f t="shared" si="5"/>
        <v>784.29843599999992</v>
      </c>
      <c r="H71" s="833">
        <v>9.0451282051282043</v>
      </c>
      <c r="I71" s="324">
        <v>1170</v>
      </c>
      <c r="J71" s="324">
        <v>15</v>
      </c>
      <c r="K71" s="773">
        <v>1587.4199999999998</v>
      </c>
      <c r="L71" s="773">
        <f t="shared" si="0"/>
        <v>382.40947799999998</v>
      </c>
      <c r="M71" s="774">
        <f t="shared" si="1"/>
        <v>1969.8294779999999</v>
      </c>
      <c r="N71" s="19"/>
      <c r="O71" s="20"/>
      <c r="P71" s="20"/>
      <c r="Q71" s="20"/>
      <c r="R71" s="20"/>
      <c r="S71" s="21"/>
      <c r="V71" s="297"/>
      <c r="W71" s="297"/>
      <c r="AB71" s="28"/>
    </row>
    <row r="72" spans="1:28" ht="33" x14ac:dyDescent="0.25">
      <c r="A72" s="18" t="s">
        <v>1052</v>
      </c>
      <c r="B72" s="323">
        <v>0.3267505470459518</v>
      </c>
      <c r="C72" s="324">
        <v>914</v>
      </c>
      <c r="D72" s="324">
        <v>20</v>
      </c>
      <c r="E72" s="20">
        <v>59.73</v>
      </c>
      <c r="F72" s="20">
        <f t="shared" si="4"/>
        <v>14.388957</v>
      </c>
      <c r="G72" s="21">
        <f t="shared" si="5"/>
        <v>74.118956999999995</v>
      </c>
      <c r="H72" s="833">
        <v>1.1923076923076923</v>
      </c>
      <c r="I72" s="324">
        <v>1170</v>
      </c>
      <c r="J72" s="324">
        <v>20</v>
      </c>
      <c r="K72" s="773">
        <v>279</v>
      </c>
      <c r="L72" s="773">
        <f t="shared" si="0"/>
        <v>67.211100000000002</v>
      </c>
      <c r="M72" s="774">
        <f t="shared" si="1"/>
        <v>346.21109999999999</v>
      </c>
      <c r="N72" s="19"/>
      <c r="O72" s="20"/>
      <c r="P72" s="20"/>
      <c r="Q72" s="20"/>
      <c r="R72" s="20"/>
      <c r="S72" s="21"/>
      <c r="V72" s="297"/>
      <c r="W72" s="297"/>
      <c r="AB72" s="28"/>
    </row>
    <row r="73" spans="1:28" ht="33" x14ac:dyDescent="0.25">
      <c r="A73" s="18" t="s">
        <v>1052</v>
      </c>
      <c r="B73" s="323">
        <v>4.1393589743589745</v>
      </c>
      <c r="C73" s="324">
        <v>1170</v>
      </c>
      <c r="D73" s="324">
        <v>20</v>
      </c>
      <c r="E73" s="20">
        <v>968.61000000000013</v>
      </c>
      <c r="F73" s="20">
        <f t="shared" si="4"/>
        <v>233.33814900000004</v>
      </c>
      <c r="G73" s="21">
        <f t="shared" si="5"/>
        <v>1201.9481490000003</v>
      </c>
      <c r="H73" s="833"/>
      <c r="I73" s="773"/>
      <c r="J73" s="773"/>
      <c r="K73" s="773"/>
      <c r="L73" s="773"/>
      <c r="M73" s="774"/>
      <c r="N73" s="19"/>
      <c r="O73" s="20"/>
      <c r="P73" s="20"/>
      <c r="Q73" s="20"/>
      <c r="R73" s="20"/>
      <c r="S73" s="21"/>
      <c r="V73" s="297"/>
      <c r="W73" s="297"/>
      <c r="AB73" s="28"/>
    </row>
    <row r="74" spans="1:28" ht="33" x14ac:dyDescent="0.25">
      <c r="A74" s="18" t="s">
        <v>1052</v>
      </c>
      <c r="B74" s="323">
        <v>0.94857768052516422</v>
      </c>
      <c r="C74" s="324">
        <v>914</v>
      </c>
      <c r="D74" s="324">
        <v>30</v>
      </c>
      <c r="E74" s="20">
        <v>260.10000000000002</v>
      </c>
      <c r="F74" s="20">
        <f t="shared" si="4"/>
        <v>62.658090000000009</v>
      </c>
      <c r="G74" s="21">
        <f t="shared" si="5"/>
        <v>322.75809000000004</v>
      </c>
      <c r="H74" s="833"/>
      <c r="I74" s="773"/>
      <c r="J74" s="773"/>
      <c r="K74" s="773"/>
      <c r="L74" s="773"/>
      <c r="M74" s="774"/>
      <c r="N74" s="19"/>
      <c r="O74" s="20"/>
      <c r="P74" s="20"/>
      <c r="Q74" s="20"/>
      <c r="R74" s="20"/>
      <c r="S74" s="21"/>
      <c r="V74" s="297"/>
      <c r="W74" s="297"/>
      <c r="AB74" s="28"/>
    </row>
    <row r="75" spans="1:28" ht="33" x14ac:dyDescent="0.25">
      <c r="A75" s="18" t="s">
        <v>1052</v>
      </c>
      <c r="B75" s="323">
        <v>1.6266666666666667</v>
      </c>
      <c r="C75" s="324">
        <v>1170</v>
      </c>
      <c r="D75" s="324">
        <v>30</v>
      </c>
      <c r="E75" s="20">
        <v>570.96</v>
      </c>
      <c r="F75" s="20">
        <f t="shared" si="4"/>
        <v>137.544264</v>
      </c>
      <c r="G75" s="21">
        <f t="shared" si="5"/>
        <v>708.50426400000003</v>
      </c>
      <c r="H75" s="833"/>
      <c r="I75" s="773"/>
      <c r="J75" s="773"/>
      <c r="K75" s="773"/>
      <c r="L75" s="773"/>
      <c r="M75" s="774"/>
      <c r="N75" s="19"/>
      <c r="O75" s="20"/>
      <c r="P75" s="20"/>
      <c r="Q75" s="20"/>
      <c r="R75" s="20"/>
      <c r="S75" s="21"/>
      <c r="V75" s="297"/>
      <c r="W75" s="297"/>
      <c r="AB75" s="28"/>
    </row>
    <row r="76" spans="1:28" ht="33" x14ac:dyDescent="0.25">
      <c r="A76" s="18" t="s">
        <v>1052</v>
      </c>
      <c r="B76" s="323">
        <v>0.63510683760683762</v>
      </c>
      <c r="C76" s="324">
        <v>1170</v>
      </c>
      <c r="D76" s="324">
        <v>40</v>
      </c>
      <c r="E76" s="20">
        <v>297.23</v>
      </c>
      <c r="F76" s="20">
        <f t="shared" si="4"/>
        <v>71.602707000000009</v>
      </c>
      <c r="G76" s="21">
        <f t="shared" si="5"/>
        <v>368.83270700000003</v>
      </c>
      <c r="H76" s="833"/>
      <c r="I76" s="773"/>
      <c r="J76" s="773"/>
      <c r="K76" s="773"/>
      <c r="L76" s="773"/>
      <c r="M76" s="774"/>
      <c r="N76" s="19"/>
      <c r="O76" s="20"/>
      <c r="P76" s="20"/>
      <c r="Q76" s="20"/>
      <c r="R76" s="20"/>
      <c r="S76" s="21"/>
      <c r="V76" s="297"/>
      <c r="W76" s="297"/>
      <c r="AB76" s="28"/>
    </row>
    <row r="77" spans="1:28" x14ac:dyDescent="0.25">
      <c r="A77" s="18" t="s">
        <v>1053</v>
      </c>
      <c r="B77" s="323">
        <v>402.65812807881792</v>
      </c>
      <c r="C77" s="324">
        <v>1015</v>
      </c>
      <c r="D77" s="324">
        <v>5</v>
      </c>
      <c r="E77" s="20">
        <v>20434.900000000009</v>
      </c>
      <c r="F77" s="20">
        <f t="shared" si="4"/>
        <v>4922.7674100000022</v>
      </c>
      <c r="G77" s="21">
        <f t="shared" si="5"/>
        <v>25357.667410000009</v>
      </c>
      <c r="H77" s="833">
        <v>390.73596059113322</v>
      </c>
      <c r="I77" s="324">
        <v>1015</v>
      </c>
      <c r="J77" s="324">
        <v>5</v>
      </c>
      <c r="K77" s="773">
        <v>19829.850000000009</v>
      </c>
      <c r="L77" s="773">
        <f t="shared" ref="L77:L134" si="6">K77*0.2409</f>
        <v>4777.010865000002</v>
      </c>
      <c r="M77" s="774">
        <f t="shared" ref="M77:M134" si="7">K77+L77</f>
        <v>24606.86086500001</v>
      </c>
      <c r="N77" s="19"/>
      <c r="O77" s="20"/>
      <c r="P77" s="20"/>
      <c r="Q77" s="20"/>
      <c r="R77" s="20"/>
      <c r="S77" s="21"/>
      <c r="V77" s="297"/>
      <c r="W77" s="297"/>
      <c r="AB77" s="28"/>
    </row>
    <row r="78" spans="1:28" x14ac:dyDescent="0.25">
      <c r="A78" s="18" t="s">
        <v>1053</v>
      </c>
      <c r="B78" s="323">
        <v>1.2864615384615385</v>
      </c>
      <c r="C78" s="324">
        <v>1300</v>
      </c>
      <c r="D78" s="324">
        <v>5</v>
      </c>
      <c r="E78" s="20">
        <v>83.62</v>
      </c>
      <c r="F78" s="20">
        <f t="shared" si="4"/>
        <v>20.144058000000001</v>
      </c>
      <c r="G78" s="21">
        <f t="shared" si="5"/>
        <v>103.76405800000001</v>
      </c>
      <c r="H78" s="833">
        <v>2.5943076923076922</v>
      </c>
      <c r="I78" s="324">
        <v>1300</v>
      </c>
      <c r="J78" s="324">
        <v>5</v>
      </c>
      <c r="K78" s="773">
        <v>168.63</v>
      </c>
      <c r="L78" s="773">
        <f t="shared" si="6"/>
        <v>40.622967000000003</v>
      </c>
      <c r="M78" s="774">
        <f t="shared" si="7"/>
        <v>209.25296700000001</v>
      </c>
      <c r="N78" s="19"/>
      <c r="O78" s="20"/>
      <c r="P78" s="20"/>
      <c r="Q78" s="20"/>
      <c r="R78" s="20"/>
      <c r="S78" s="21"/>
      <c r="V78" s="297"/>
      <c r="W78" s="297"/>
      <c r="AB78" s="28"/>
    </row>
    <row r="79" spans="1:28" x14ac:dyDescent="0.25">
      <c r="A79" s="18" t="s">
        <v>1053</v>
      </c>
      <c r="B79" s="323">
        <v>75.947093596059091</v>
      </c>
      <c r="C79" s="324">
        <v>1015</v>
      </c>
      <c r="D79" s="324">
        <v>10</v>
      </c>
      <c r="E79" s="20">
        <v>7708.6299999999983</v>
      </c>
      <c r="F79" s="20">
        <f t="shared" si="4"/>
        <v>1857.0089669999995</v>
      </c>
      <c r="G79" s="21">
        <f t="shared" si="5"/>
        <v>9565.6389669999971</v>
      </c>
      <c r="H79" s="833">
        <v>69.328275862068949</v>
      </c>
      <c r="I79" s="324">
        <v>1015</v>
      </c>
      <c r="J79" s="324">
        <v>10</v>
      </c>
      <c r="K79" s="773">
        <v>7036.8199999999988</v>
      </c>
      <c r="L79" s="773">
        <f t="shared" si="6"/>
        <v>1695.1699379999998</v>
      </c>
      <c r="M79" s="774">
        <f t="shared" si="7"/>
        <v>8731.9899379999988</v>
      </c>
      <c r="N79" s="19"/>
      <c r="O79" s="20"/>
      <c r="P79" s="20"/>
      <c r="Q79" s="20"/>
      <c r="R79" s="20"/>
      <c r="S79" s="21"/>
      <c r="V79" s="297"/>
      <c r="W79" s="297"/>
      <c r="AB79" s="28"/>
    </row>
    <row r="80" spans="1:28" x14ac:dyDescent="0.25">
      <c r="A80" s="18" t="s">
        <v>1053</v>
      </c>
      <c r="B80" s="323">
        <v>5.4660000000000002</v>
      </c>
      <c r="C80" s="324">
        <v>1300</v>
      </c>
      <c r="D80" s="324">
        <v>10</v>
      </c>
      <c r="E80" s="20">
        <v>710.58</v>
      </c>
      <c r="F80" s="20">
        <f t="shared" si="4"/>
        <v>171.17872200000002</v>
      </c>
      <c r="G80" s="21">
        <f t="shared" si="5"/>
        <v>881.75872200000003</v>
      </c>
      <c r="H80" s="833">
        <v>3.16976923076923</v>
      </c>
      <c r="I80" s="324">
        <v>1300</v>
      </c>
      <c r="J80" s="324">
        <v>10</v>
      </c>
      <c r="K80" s="773">
        <v>412.07</v>
      </c>
      <c r="L80" s="773">
        <f t="shared" si="6"/>
        <v>99.267662999999999</v>
      </c>
      <c r="M80" s="774">
        <f t="shared" si="7"/>
        <v>511.33766300000002</v>
      </c>
      <c r="N80" s="19"/>
      <c r="O80" s="20"/>
      <c r="P80" s="20"/>
      <c r="Q80" s="20"/>
      <c r="R80" s="20"/>
      <c r="S80" s="21"/>
      <c r="V80" s="297"/>
      <c r="W80" s="297"/>
      <c r="AB80" s="28"/>
    </row>
    <row r="81" spans="1:28" x14ac:dyDescent="0.25">
      <c r="A81" s="18" t="s">
        <v>1053</v>
      </c>
      <c r="B81" s="323">
        <v>141.1816091954023</v>
      </c>
      <c r="C81" s="324">
        <v>1015</v>
      </c>
      <c r="D81" s="324">
        <v>15</v>
      </c>
      <c r="E81" s="20">
        <v>21494.9</v>
      </c>
      <c r="F81" s="20">
        <f t="shared" si="4"/>
        <v>5178.1214100000007</v>
      </c>
      <c r="G81" s="21">
        <f t="shared" si="5"/>
        <v>26673.021410000001</v>
      </c>
      <c r="H81" s="833">
        <v>208.49228243021352</v>
      </c>
      <c r="I81" s="324">
        <v>1015</v>
      </c>
      <c r="J81" s="324">
        <v>15</v>
      </c>
      <c r="K81" s="773">
        <v>31742.950000000008</v>
      </c>
      <c r="L81" s="773">
        <f t="shared" si="6"/>
        <v>7646.8766550000018</v>
      </c>
      <c r="M81" s="774">
        <f t="shared" si="7"/>
        <v>39389.826655000012</v>
      </c>
      <c r="N81" s="19"/>
      <c r="O81" s="20"/>
      <c r="P81" s="20"/>
      <c r="Q81" s="20"/>
      <c r="R81" s="20"/>
      <c r="S81" s="21"/>
      <c r="V81" s="297"/>
      <c r="W81" s="297"/>
      <c r="AB81" s="28"/>
    </row>
    <row r="82" spans="1:28" x14ac:dyDescent="0.25">
      <c r="A82" s="18" t="s">
        <v>1053</v>
      </c>
      <c r="B82" s="323">
        <v>7.0398461538461534</v>
      </c>
      <c r="C82" s="324">
        <v>1300</v>
      </c>
      <c r="D82" s="324">
        <v>15</v>
      </c>
      <c r="E82" s="20">
        <v>1372.77</v>
      </c>
      <c r="F82" s="20">
        <f t="shared" si="4"/>
        <v>330.70029299999999</v>
      </c>
      <c r="G82" s="21">
        <f t="shared" si="5"/>
        <v>1703.4702929999999</v>
      </c>
      <c r="H82" s="833">
        <v>15.388512820512821</v>
      </c>
      <c r="I82" s="324">
        <v>1300</v>
      </c>
      <c r="J82" s="324">
        <v>15</v>
      </c>
      <c r="K82" s="773">
        <v>3000.7599999999998</v>
      </c>
      <c r="L82" s="773">
        <f t="shared" si="6"/>
        <v>722.88308399999994</v>
      </c>
      <c r="M82" s="774">
        <f t="shared" si="7"/>
        <v>3723.6430839999998</v>
      </c>
      <c r="N82" s="19"/>
      <c r="O82" s="20"/>
      <c r="P82" s="20"/>
      <c r="Q82" s="20"/>
      <c r="R82" s="20"/>
      <c r="S82" s="21"/>
      <c r="V82" s="297"/>
      <c r="W82" s="297"/>
      <c r="AB82" s="28"/>
    </row>
    <row r="83" spans="1:28" x14ac:dyDescent="0.25">
      <c r="A83" s="18" t="s">
        <v>1053</v>
      </c>
      <c r="B83" s="323">
        <v>70.646945812807857</v>
      </c>
      <c r="C83" s="324">
        <v>1015</v>
      </c>
      <c r="D83" s="324">
        <v>20</v>
      </c>
      <c r="E83" s="20">
        <v>14341.329999999994</v>
      </c>
      <c r="F83" s="20">
        <f t="shared" si="4"/>
        <v>3454.8263969999989</v>
      </c>
      <c r="G83" s="21">
        <f t="shared" si="5"/>
        <v>17796.156396999992</v>
      </c>
      <c r="H83" s="833">
        <v>28.835517241379303</v>
      </c>
      <c r="I83" s="324">
        <v>1015</v>
      </c>
      <c r="J83" s="324">
        <v>20</v>
      </c>
      <c r="K83" s="773">
        <v>5853.61</v>
      </c>
      <c r="L83" s="773">
        <f t="shared" si="6"/>
        <v>1410.1346489999999</v>
      </c>
      <c r="M83" s="774">
        <f t="shared" si="7"/>
        <v>7263.7446489999993</v>
      </c>
      <c r="N83" s="19"/>
      <c r="O83" s="20"/>
      <c r="P83" s="20"/>
      <c r="Q83" s="20"/>
      <c r="R83" s="20"/>
      <c r="S83" s="21"/>
      <c r="V83" s="297"/>
      <c r="W83" s="297"/>
      <c r="AB83" s="28"/>
    </row>
    <row r="84" spans="1:28" x14ac:dyDescent="0.25">
      <c r="A84" s="18" t="s">
        <v>1053</v>
      </c>
      <c r="B84" s="323">
        <v>8.7323461538461551</v>
      </c>
      <c r="C84" s="324">
        <v>1300</v>
      </c>
      <c r="D84" s="324">
        <v>20</v>
      </c>
      <c r="E84" s="20">
        <v>2270.4100000000003</v>
      </c>
      <c r="F84" s="20">
        <f t="shared" si="4"/>
        <v>546.94176900000014</v>
      </c>
      <c r="G84" s="21">
        <f t="shared" si="5"/>
        <v>2817.3517690000003</v>
      </c>
      <c r="H84" s="833">
        <v>4.8434230769230773</v>
      </c>
      <c r="I84" s="324">
        <v>1300</v>
      </c>
      <c r="J84" s="324">
        <v>20</v>
      </c>
      <c r="K84" s="773">
        <v>1259.29</v>
      </c>
      <c r="L84" s="773">
        <f t="shared" si="6"/>
        <v>303.36296099999998</v>
      </c>
      <c r="M84" s="774">
        <f t="shared" si="7"/>
        <v>1562.652961</v>
      </c>
      <c r="N84" s="19"/>
      <c r="O84" s="20"/>
      <c r="P84" s="20"/>
      <c r="Q84" s="20"/>
      <c r="R84" s="20"/>
      <c r="S84" s="21"/>
      <c r="V84" s="297"/>
      <c r="W84" s="297"/>
      <c r="AB84" s="28"/>
    </row>
    <row r="85" spans="1:28" x14ac:dyDescent="0.25">
      <c r="A85" s="18" t="s">
        <v>1053</v>
      </c>
      <c r="B85" s="323">
        <v>19.887619047619047</v>
      </c>
      <c r="C85" s="324">
        <v>1015</v>
      </c>
      <c r="D85" s="324">
        <v>30</v>
      </c>
      <c r="E85" s="20">
        <v>6055.78</v>
      </c>
      <c r="F85" s="20">
        <f t="shared" si="4"/>
        <v>1458.8374019999999</v>
      </c>
      <c r="G85" s="21">
        <f t="shared" si="5"/>
        <v>7514.6174019999999</v>
      </c>
      <c r="H85" s="833"/>
      <c r="I85" s="773"/>
      <c r="J85" s="773"/>
      <c r="K85" s="773"/>
      <c r="L85" s="773"/>
      <c r="M85" s="774"/>
      <c r="N85" s="19"/>
      <c r="O85" s="20"/>
      <c r="P85" s="20"/>
      <c r="Q85" s="20"/>
      <c r="R85" s="20"/>
      <c r="S85" s="21"/>
      <c r="V85" s="297"/>
      <c r="W85" s="297"/>
      <c r="AB85" s="28"/>
    </row>
    <row r="86" spans="1:28" x14ac:dyDescent="0.25">
      <c r="A86" s="18" t="s">
        <v>1053</v>
      </c>
      <c r="B86" s="323">
        <v>3.1159230769230768</v>
      </c>
      <c r="C86" s="324">
        <v>1300</v>
      </c>
      <c r="D86" s="324">
        <v>30</v>
      </c>
      <c r="E86" s="20">
        <v>1215.21</v>
      </c>
      <c r="F86" s="20">
        <f t="shared" si="4"/>
        <v>292.74408900000003</v>
      </c>
      <c r="G86" s="21">
        <f t="shared" si="5"/>
        <v>1507.9540890000001</v>
      </c>
      <c r="H86" s="833"/>
      <c r="I86" s="773"/>
      <c r="J86" s="773"/>
      <c r="K86" s="773"/>
      <c r="L86" s="773"/>
      <c r="M86" s="774"/>
      <c r="N86" s="19"/>
      <c r="O86" s="20"/>
      <c r="P86" s="20"/>
      <c r="Q86" s="20"/>
      <c r="R86" s="20"/>
      <c r="S86" s="21"/>
      <c r="V86" s="297"/>
      <c r="W86" s="297"/>
      <c r="AB86" s="28"/>
    </row>
    <row r="87" spans="1:28" x14ac:dyDescent="0.25">
      <c r="A87" s="18" t="s">
        <v>1053</v>
      </c>
      <c r="B87" s="323">
        <v>7.4034236453201983</v>
      </c>
      <c r="C87" s="324">
        <v>1015</v>
      </c>
      <c r="D87" s="324">
        <v>40</v>
      </c>
      <c r="E87" s="20">
        <v>3005.7900000000004</v>
      </c>
      <c r="F87" s="20">
        <f t="shared" si="4"/>
        <v>724.09481100000016</v>
      </c>
      <c r="G87" s="21">
        <f t="shared" si="5"/>
        <v>3729.8848110000008</v>
      </c>
      <c r="H87" s="833"/>
      <c r="I87" s="773"/>
      <c r="J87" s="773"/>
      <c r="K87" s="773"/>
      <c r="L87" s="773"/>
      <c r="M87" s="774"/>
      <c r="N87" s="19"/>
      <c r="O87" s="20"/>
      <c r="P87" s="20"/>
      <c r="Q87" s="20"/>
      <c r="R87" s="20"/>
      <c r="S87" s="21"/>
      <c r="V87" s="297"/>
      <c r="W87" s="297"/>
      <c r="AB87" s="28"/>
    </row>
    <row r="88" spans="1:28" x14ac:dyDescent="0.25">
      <c r="A88" s="18" t="s">
        <v>1053</v>
      </c>
      <c r="B88" s="323">
        <v>0.54357692307692307</v>
      </c>
      <c r="C88" s="324">
        <v>1300</v>
      </c>
      <c r="D88" s="324">
        <v>40</v>
      </c>
      <c r="E88" s="20">
        <v>282.65999999999997</v>
      </c>
      <c r="F88" s="20">
        <f t="shared" si="4"/>
        <v>68.092793999999998</v>
      </c>
      <c r="G88" s="21">
        <f t="shared" si="5"/>
        <v>350.75279399999999</v>
      </c>
      <c r="H88" s="833"/>
      <c r="I88" s="773"/>
      <c r="J88" s="773"/>
      <c r="K88" s="773"/>
      <c r="L88" s="773"/>
      <c r="M88" s="774"/>
      <c r="N88" s="19"/>
      <c r="O88" s="20"/>
      <c r="P88" s="20"/>
      <c r="Q88" s="20"/>
      <c r="R88" s="20"/>
      <c r="S88" s="21"/>
      <c r="V88" s="297"/>
      <c r="W88" s="297"/>
      <c r="AB88" s="28"/>
    </row>
    <row r="89" spans="1:28" x14ac:dyDescent="0.25">
      <c r="A89" s="18" t="s">
        <v>1053</v>
      </c>
      <c r="B89" s="323">
        <v>1.5972851669403392</v>
      </c>
      <c r="C89" s="324">
        <v>1015</v>
      </c>
      <c r="D89" s="324">
        <v>45</v>
      </c>
      <c r="E89" s="20">
        <v>729.56</v>
      </c>
      <c r="F89" s="20">
        <f t="shared" si="4"/>
        <v>175.75100399999999</v>
      </c>
      <c r="G89" s="21">
        <f t="shared" si="5"/>
        <v>905.31100399999991</v>
      </c>
      <c r="H89" s="833"/>
      <c r="I89" s="773"/>
      <c r="J89" s="773"/>
      <c r="K89" s="773"/>
      <c r="L89" s="773"/>
      <c r="M89" s="774"/>
      <c r="N89" s="19"/>
      <c r="O89" s="20"/>
      <c r="P89" s="20"/>
      <c r="Q89" s="20"/>
      <c r="R89" s="20"/>
      <c r="S89" s="21"/>
      <c r="V89" s="297"/>
      <c r="W89" s="297"/>
      <c r="AB89" s="28"/>
    </row>
    <row r="90" spans="1:28" x14ac:dyDescent="0.25">
      <c r="A90" s="18" t="s">
        <v>1053</v>
      </c>
      <c r="B90" s="323">
        <v>0.66132019704433498</v>
      </c>
      <c r="C90" s="324">
        <v>1015</v>
      </c>
      <c r="D90" s="324">
        <v>50</v>
      </c>
      <c r="E90" s="20">
        <v>335.62</v>
      </c>
      <c r="F90" s="20">
        <f t="shared" si="4"/>
        <v>80.850858000000002</v>
      </c>
      <c r="G90" s="21">
        <f t="shared" si="5"/>
        <v>416.47085800000002</v>
      </c>
      <c r="H90" s="833"/>
      <c r="I90" s="773"/>
      <c r="J90" s="773"/>
      <c r="K90" s="773"/>
      <c r="L90" s="773"/>
      <c r="M90" s="774"/>
      <c r="N90" s="19"/>
      <c r="O90" s="20"/>
      <c r="P90" s="20"/>
      <c r="Q90" s="20"/>
      <c r="R90" s="20"/>
      <c r="S90" s="21"/>
      <c r="V90" s="297"/>
      <c r="W90" s="297"/>
      <c r="AB90" s="28"/>
    </row>
    <row r="91" spans="1:28" x14ac:dyDescent="0.25">
      <c r="A91" s="18" t="s">
        <v>1053</v>
      </c>
      <c r="B91" s="323">
        <v>8.6892307692307685E-2</v>
      </c>
      <c r="C91" s="324">
        <v>1300</v>
      </c>
      <c r="D91" s="324">
        <v>50</v>
      </c>
      <c r="E91" s="20">
        <v>56.48</v>
      </c>
      <c r="F91" s="20">
        <f t="shared" si="4"/>
        <v>13.606031999999999</v>
      </c>
      <c r="G91" s="21">
        <f t="shared" si="5"/>
        <v>70.086031999999989</v>
      </c>
      <c r="H91" s="833"/>
      <c r="I91" s="773"/>
      <c r="J91" s="773"/>
      <c r="K91" s="773"/>
      <c r="L91" s="773"/>
      <c r="M91" s="774"/>
      <c r="N91" s="19"/>
      <c r="O91" s="20"/>
      <c r="P91" s="20"/>
      <c r="Q91" s="20"/>
      <c r="R91" s="20"/>
      <c r="S91" s="21"/>
      <c r="V91" s="297"/>
      <c r="W91" s="297"/>
      <c r="AB91" s="28"/>
    </row>
    <row r="92" spans="1:28" x14ac:dyDescent="0.25">
      <c r="A92" s="18" t="s">
        <v>1054</v>
      </c>
      <c r="B92" s="323">
        <v>33.993302325581396</v>
      </c>
      <c r="C92" s="324">
        <v>1075</v>
      </c>
      <c r="D92" s="324">
        <v>5</v>
      </c>
      <c r="E92" s="20">
        <v>1827.14</v>
      </c>
      <c r="F92" s="20">
        <f t="shared" si="4"/>
        <v>440.15802600000001</v>
      </c>
      <c r="G92" s="21">
        <f t="shared" si="5"/>
        <v>2267.2980259999999</v>
      </c>
      <c r="H92" s="833">
        <v>40.911069767441859</v>
      </c>
      <c r="I92" s="324">
        <v>1075</v>
      </c>
      <c r="J92" s="324">
        <v>5</v>
      </c>
      <c r="K92" s="773">
        <v>2198.9699999999998</v>
      </c>
      <c r="L92" s="773">
        <f t="shared" si="6"/>
        <v>529.73187299999995</v>
      </c>
      <c r="M92" s="774">
        <f t="shared" si="7"/>
        <v>2728.701873</v>
      </c>
      <c r="N92" s="19"/>
      <c r="O92" s="20"/>
      <c r="P92" s="20"/>
      <c r="Q92" s="20"/>
      <c r="R92" s="20"/>
      <c r="S92" s="21"/>
      <c r="V92" s="297"/>
      <c r="W92" s="297"/>
      <c r="AB92" s="28"/>
    </row>
    <row r="93" spans="1:28" x14ac:dyDescent="0.25">
      <c r="A93" s="18" t="s">
        <v>1054</v>
      </c>
      <c r="B93" s="323">
        <v>1.3074418604651163</v>
      </c>
      <c r="C93" s="324">
        <v>1075</v>
      </c>
      <c r="D93" s="324">
        <v>10</v>
      </c>
      <c r="E93" s="20">
        <v>140.55000000000001</v>
      </c>
      <c r="F93" s="20">
        <f t="shared" si="4"/>
        <v>33.858495000000005</v>
      </c>
      <c r="G93" s="21">
        <f t="shared" si="5"/>
        <v>174.40849500000002</v>
      </c>
      <c r="H93" s="833">
        <v>0.71888372093023267</v>
      </c>
      <c r="I93" s="324">
        <v>1075</v>
      </c>
      <c r="J93" s="324">
        <v>10</v>
      </c>
      <c r="K93" s="773">
        <v>77.28</v>
      </c>
      <c r="L93" s="773">
        <f t="shared" si="6"/>
        <v>18.616752000000002</v>
      </c>
      <c r="M93" s="774">
        <f t="shared" si="7"/>
        <v>95.896752000000006</v>
      </c>
      <c r="N93" s="19"/>
      <c r="O93" s="20"/>
      <c r="P93" s="20"/>
      <c r="Q93" s="20"/>
      <c r="R93" s="20"/>
      <c r="S93" s="21"/>
      <c r="V93" s="297"/>
      <c r="W93" s="297"/>
      <c r="AB93" s="28"/>
    </row>
    <row r="94" spans="1:28" x14ac:dyDescent="0.25">
      <c r="A94" s="18" t="s">
        <v>1054</v>
      </c>
      <c r="B94" s="323">
        <v>7.5897054263565886</v>
      </c>
      <c r="C94" s="324">
        <v>1075</v>
      </c>
      <c r="D94" s="324">
        <v>15</v>
      </c>
      <c r="E94" s="20">
        <v>1223.8399999999999</v>
      </c>
      <c r="F94" s="20">
        <f t="shared" si="4"/>
        <v>294.82305600000001</v>
      </c>
      <c r="G94" s="21">
        <f t="shared" si="5"/>
        <v>1518.6630559999999</v>
      </c>
      <c r="H94" s="833">
        <v>7.224806201550388</v>
      </c>
      <c r="I94" s="324">
        <v>1075</v>
      </c>
      <c r="J94" s="324">
        <v>15</v>
      </c>
      <c r="K94" s="773">
        <v>1165</v>
      </c>
      <c r="L94" s="773">
        <f t="shared" si="6"/>
        <v>280.64850000000001</v>
      </c>
      <c r="M94" s="774">
        <f t="shared" si="7"/>
        <v>1445.6485</v>
      </c>
      <c r="N94" s="19"/>
      <c r="O94" s="20"/>
      <c r="P94" s="20"/>
      <c r="Q94" s="20"/>
      <c r="R94" s="20"/>
      <c r="S94" s="21"/>
      <c r="V94" s="297"/>
      <c r="W94" s="297"/>
      <c r="AB94" s="28"/>
    </row>
    <row r="95" spans="1:28" x14ac:dyDescent="0.25">
      <c r="A95" s="18" t="s">
        <v>1054</v>
      </c>
      <c r="B95" s="323">
        <v>4.8158604651162795</v>
      </c>
      <c r="C95" s="324">
        <v>1075</v>
      </c>
      <c r="D95" s="324">
        <v>20</v>
      </c>
      <c r="E95" s="20">
        <v>1035.4100000000001</v>
      </c>
      <c r="F95" s="20">
        <f t="shared" si="4"/>
        <v>249.43026900000001</v>
      </c>
      <c r="G95" s="21">
        <f t="shared" si="5"/>
        <v>1284.840269</v>
      </c>
      <c r="H95" s="833">
        <v>2.5542325581395344</v>
      </c>
      <c r="I95" s="324">
        <v>1075</v>
      </c>
      <c r="J95" s="324">
        <v>20</v>
      </c>
      <c r="K95" s="773">
        <v>549.16</v>
      </c>
      <c r="L95" s="773">
        <f t="shared" si="6"/>
        <v>132.292644</v>
      </c>
      <c r="M95" s="774">
        <f t="shared" si="7"/>
        <v>681.45264399999996</v>
      </c>
      <c r="N95" s="19"/>
      <c r="O95" s="20"/>
      <c r="P95" s="20"/>
      <c r="Q95" s="20"/>
      <c r="R95" s="20"/>
      <c r="S95" s="21"/>
      <c r="V95" s="297"/>
      <c r="W95" s="297"/>
      <c r="AB95" s="28"/>
    </row>
    <row r="96" spans="1:28" x14ac:dyDescent="0.25">
      <c r="A96" s="18" t="s">
        <v>1054</v>
      </c>
      <c r="B96" s="323">
        <v>1.4393178294573643</v>
      </c>
      <c r="C96" s="324">
        <v>1075</v>
      </c>
      <c r="D96" s="324">
        <v>30</v>
      </c>
      <c r="E96" s="20">
        <v>464.18</v>
      </c>
      <c r="F96" s="20">
        <f t="shared" si="4"/>
        <v>111.82096200000001</v>
      </c>
      <c r="G96" s="21">
        <f t="shared" si="5"/>
        <v>576.00096200000007</v>
      </c>
      <c r="H96" s="833"/>
      <c r="I96" s="773"/>
      <c r="J96" s="773"/>
      <c r="K96" s="773"/>
      <c r="L96" s="773">
        <f t="shared" si="6"/>
        <v>0</v>
      </c>
      <c r="M96" s="774">
        <f t="shared" si="7"/>
        <v>0</v>
      </c>
      <c r="N96" s="19"/>
      <c r="O96" s="20"/>
      <c r="P96" s="20"/>
      <c r="Q96" s="20"/>
      <c r="R96" s="20"/>
      <c r="S96" s="21"/>
      <c r="V96" s="297"/>
      <c r="W96" s="297"/>
      <c r="AB96" s="28"/>
    </row>
    <row r="97" spans="1:28" x14ac:dyDescent="0.25">
      <c r="A97" s="18" t="s">
        <v>1055</v>
      </c>
      <c r="B97" s="323">
        <v>4.3628605200945625</v>
      </c>
      <c r="C97" s="324">
        <v>1410</v>
      </c>
      <c r="D97" s="324">
        <v>30</v>
      </c>
      <c r="E97" s="20">
        <v>1845.4899999999998</v>
      </c>
      <c r="F97" s="20">
        <f t="shared" si="4"/>
        <v>444.57854099999997</v>
      </c>
      <c r="G97" s="21">
        <f t="shared" si="5"/>
        <v>2290.0685409999996</v>
      </c>
      <c r="H97" s="833">
        <v>4.2609929078014188</v>
      </c>
      <c r="I97" s="324">
        <v>1410</v>
      </c>
      <c r="J97" s="324">
        <v>10</v>
      </c>
      <c r="K97" s="773">
        <v>600.80000000000007</v>
      </c>
      <c r="L97" s="773">
        <f t="shared" si="6"/>
        <v>144.73272000000003</v>
      </c>
      <c r="M97" s="774">
        <f t="shared" si="7"/>
        <v>745.53272000000015</v>
      </c>
      <c r="N97" s="19"/>
      <c r="O97" s="20"/>
      <c r="P97" s="20"/>
      <c r="Q97" s="20"/>
      <c r="R97" s="20"/>
      <c r="S97" s="21"/>
      <c r="V97" s="297"/>
      <c r="W97" s="297"/>
      <c r="AB97" s="28"/>
    </row>
    <row r="98" spans="1:28" ht="33" x14ac:dyDescent="0.25">
      <c r="A98" s="18" t="s">
        <v>1056</v>
      </c>
      <c r="B98" s="323">
        <v>8.7654673721340401</v>
      </c>
      <c r="C98" s="324">
        <v>945</v>
      </c>
      <c r="D98" s="324">
        <v>30</v>
      </c>
      <c r="E98" s="20">
        <f>1022.19+351.49+1111.33</f>
        <v>2485.0100000000002</v>
      </c>
      <c r="F98" s="20">
        <f t="shared" si="4"/>
        <v>598.63890900000001</v>
      </c>
      <c r="G98" s="21">
        <f t="shared" si="5"/>
        <v>3083.6489090000005</v>
      </c>
      <c r="H98" s="833">
        <v>7.5535449735449731</v>
      </c>
      <c r="I98" s="324">
        <v>945</v>
      </c>
      <c r="J98" s="324">
        <v>10</v>
      </c>
      <c r="K98" s="773">
        <f>192.44+104.23+417.14</f>
        <v>713.81</v>
      </c>
      <c r="L98" s="773">
        <f t="shared" si="6"/>
        <v>171.956829</v>
      </c>
      <c r="M98" s="774">
        <f t="shared" si="7"/>
        <v>885.76682899999992</v>
      </c>
      <c r="N98" s="19"/>
      <c r="O98" s="20"/>
      <c r="P98" s="20"/>
      <c r="Q98" s="20"/>
      <c r="R98" s="20"/>
      <c r="S98" s="21"/>
      <c r="V98" s="297"/>
      <c r="W98" s="297"/>
      <c r="AB98" s="28"/>
    </row>
    <row r="99" spans="1:28" ht="33" x14ac:dyDescent="0.25">
      <c r="A99" s="18" t="s">
        <v>1057</v>
      </c>
      <c r="B99" s="323">
        <v>39.088245614035088</v>
      </c>
      <c r="C99" s="324">
        <v>1140</v>
      </c>
      <c r="D99" s="324">
        <v>30</v>
      </c>
      <c r="E99" s="20">
        <f>9976.58+3391.6</f>
        <v>13368.18</v>
      </c>
      <c r="F99" s="20">
        <f t="shared" si="4"/>
        <v>3220.394562</v>
      </c>
      <c r="G99" s="21">
        <f t="shared" si="5"/>
        <v>16588.574562000002</v>
      </c>
      <c r="H99" s="833">
        <v>23.749298245614035</v>
      </c>
      <c r="I99" s="324">
        <v>1140</v>
      </c>
      <c r="J99" s="324">
        <v>10</v>
      </c>
      <c r="K99" s="773">
        <f>1557.24+1150.18</f>
        <v>2707.42</v>
      </c>
      <c r="L99" s="773">
        <f t="shared" si="6"/>
        <v>652.21747800000003</v>
      </c>
      <c r="M99" s="774">
        <f t="shared" si="7"/>
        <v>3359.6374780000001</v>
      </c>
      <c r="N99" s="19"/>
      <c r="O99" s="20"/>
      <c r="P99" s="20"/>
      <c r="Q99" s="20"/>
      <c r="R99" s="20"/>
      <c r="S99" s="21"/>
      <c r="V99" s="297"/>
      <c r="W99" s="297"/>
      <c r="AB99" s="28"/>
    </row>
    <row r="100" spans="1:28" x14ac:dyDescent="0.25">
      <c r="A100" s="18" t="s">
        <v>1058</v>
      </c>
      <c r="B100" s="323">
        <v>31.40563685636856</v>
      </c>
      <c r="C100" s="324">
        <v>1230</v>
      </c>
      <c r="D100" s="324">
        <v>30</v>
      </c>
      <c r="E100" s="20">
        <f>11567.97+20.71</f>
        <v>11588.679999999998</v>
      </c>
      <c r="F100" s="20">
        <f t="shared" si="4"/>
        <v>2791.7130119999997</v>
      </c>
      <c r="G100" s="21">
        <f t="shared" si="5"/>
        <v>14380.393011999999</v>
      </c>
      <c r="H100" s="833">
        <v>25.178130081300807</v>
      </c>
      <c r="I100" s="324">
        <v>1230</v>
      </c>
      <c r="J100" s="324">
        <v>10</v>
      </c>
      <c r="K100" s="773">
        <v>3096.9099999999994</v>
      </c>
      <c r="L100" s="773">
        <f t="shared" si="6"/>
        <v>746.04561899999987</v>
      </c>
      <c r="M100" s="774">
        <f t="shared" si="7"/>
        <v>3842.9556189999994</v>
      </c>
      <c r="N100" s="19"/>
      <c r="O100" s="20"/>
      <c r="P100" s="20"/>
      <c r="Q100" s="20"/>
      <c r="R100" s="20"/>
      <c r="S100" s="21"/>
      <c r="V100" s="297"/>
      <c r="W100" s="297"/>
      <c r="AB100" s="28"/>
    </row>
    <row r="101" spans="1:28" x14ac:dyDescent="0.25">
      <c r="A101" s="18" t="s">
        <v>1059</v>
      </c>
      <c r="B101" s="323">
        <v>9.3018644067796608</v>
      </c>
      <c r="C101" s="324">
        <v>1180</v>
      </c>
      <c r="D101" s="324">
        <v>30</v>
      </c>
      <c r="E101" s="20">
        <v>3292.8599999999997</v>
      </c>
      <c r="F101" s="20">
        <f t="shared" si="4"/>
        <v>793.24997399999995</v>
      </c>
      <c r="G101" s="21">
        <f t="shared" si="5"/>
        <v>4086.1099739999995</v>
      </c>
      <c r="H101" s="833">
        <v>6.9262711864406787</v>
      </c>
      <c r="I101" s="324">
        <v>1180</v>
      </c>
      <c r="J101" s="324">
        <v>10</v>
      </c>
      <c r="K101" s="773">
        <v>817.30000000000018</v>
      </c>
      <c r="L101" s="773">
        <f t="shared" si="6"/>
        <v>196.88757000000004</v>
      </c>
      <c r="M101" s="774">
        <f t="shared" si="7"/>
        <v>1014.1875700000003</v>
      </c>
      <c r="N101" s="19"/>
      <c r="O101" s="20"/>
      <c r="P101" s="20"/>
      <c r="Q101" s="20"/>
      <c r="R101" s="20"/>
      <c r="S101" s="21"/>
      <c r="V101" s="297"/>
      <c r="W101" s="297"/>
      <c r="AB101" s="28"/>
    </row>
    <row r="102" spans="1:28" ht="33" x14ac:dyDescent="0.25">
      <c r="A102" s="18" t="s">
        <v>1060</v>
      </c>
      <c r="B102" s="323">
        <v>5.0621296296296299</v>
      </c>
      <c r="C102" s="324">
        <v>1080</v>
      </c>
      <c r="D102" s="324">
        <v>30</v>
      </c>
      <c r="E102" s="20">
        <v>1640.13</v>
      </c>
      <c r="F102" s="20">
        <f t="shared" si="4"/>
        <v>395.10731700000002</v>
      </c>
      <c r="G102" s="21">
        <f t="shared" si="5"/>
        <v>2035.2373170000001</v>
      </c>
      <c r="H102" s="833">
        <v>5.7931481481481484</v>
      </c>
      <c r="I102" s="773">
        <v>1080</v>
      </c>
      <c r="J102" s="324">
        <v>10</v>
      </c>
      <c r="K102" s="773">
        <v>625.66</v>
      </c>
      <c r="L102" s="773">
        <f t="shared" si="6"/>
        <v>150.72149400000001</v>
      </c>
      <c r="M102" s="774">
        <f t="shared" si="7"/>
        <v>776.38149399999998</v>
      </c>
      <c r="N102" s="19"/>
      <c r="O102" s="20"/>
      <c r="P102" s="20"/>
      <c r="Q102" s="20"/>
      <c r="R102" s="20"/>
      <c r="S102" s="21"/>
      <c r="V102" s="297"/>
      <c r="W102" s="297"/>
      <c r="AB102" s="28"/>
    </row>
    <row r="103" spans="1:28" ht="33" x14ac:dyDescent="0.25">
      <c r="A103" s="18" t="s">
        <v>1061</v>
      </c>
      <c r="B103" s="323">
        <v>1</v>
      </c>
      <c r="C103" s="324">
        <v>1240</v>
      </c>
      <c r="D103" s="324">
        <v>10</v>
      </c>
      <c r="E103" s="20">
        <v>124</v>
      </c>
      <c r="F103" s="20">
        <f t="shared" si="4"/>
        <v>29.871600000000001</v>
      </c>
      <c r="G103" s="21">
        <f t="shared" si="5"/>
        <v>153.8716</v>
      </c>
      <c r="H103" s="833"/>
      <c r="I103" s="773"/>
      <c r="J103" s="773"/>
      <c r="K103" s="773"/>
      <c r="L103" s="773"/>
      <c r="M103" s="774"/>
      <c r="N103" s="19"/>
      <c r="O103" s="20"/>
      <c r="P103" s="20"/>
      <c r="Q103" s="20"/>
      <c r="R103" s="20"/>
      <c r="S103" s="21"/>
      <c r="V103" s="297"/>
      <c r="W103" s="297"/>
      <c r="AB103" s="28"/>
    </row>
    <row r="104" spans="1:28" x14ac:dyDescent="0.25">
      <c r="A104" s="18" t="s">
        <v>1062</v>
      </c>
      <c r="B104" s="323">
        <v>1</v>
      </c>
      <c r="C104" s="324">
        <v>1695</v>
      </c>
      <c r="D104" s="324">
        <v>10</v>
      </c>
      <c r="E104" s="20">
        <v>169.5</v>
      </c>
      <c r="F104" s="20">
        <f t="shared" si="4"/>
        <v>40.832549999999998</v>
      </c>
      <c r="G104" s="21">
        <f t="shared" si="5"/>
        <v>210.33255</v>
      </c>
      <c r="H104" s="833"/>
      <c r="I104" s="773"/>
      <c r="J104" s="773"/>
      <c r="K104" s="773"/>
      <c r="L104" s="773"/>
      <c r="M104" s="774"/>
      <c r="N104" s="19"/>
      <c r="O104" s="20"/>
      <c r="P104" s="20"/>
      <c r="Q104" s="20"/>
      <c r="R104" s="20"/>
      <c r="S104" s="21"/>
      <c r="V104" s="297"/>
      <c r="W104" s="297"/>
      <c r="AB104" s="28"/>
    </row>
    <row r="105" spans="1:28" x14ac:dyDescent="0.25">
      <c r="A105" s="18" t="s">
        <v>1063</v>
      </c>
      <c r="B105" s="323">
        <v>0.87503506311360457</v>
      </c>
      <c r="C105" s="324">
        <v>1426</v>
      </c>
      <c r="D105" s="324">
        <v>10</v>
      </c>
      <c r="E105" s="20">
        <v>124.78</v>
      </c>
      <c r="F105" s="20">
        <f t="shared" si="4"/>
        <v>30.059502000000002</v>
      </c>
      <c r="G105" s="21">
        <f t="shared" si="5"/>
        <v>154.83950200000001</v>
      </c>
      <c r="H105" s="833"/>
      <c r="I105" s="773"/>
      <c r="J105" s="773"/>
      <c r="K105" s="773"/>
      <c r="L105" s="773"/>
      <c r="M105" s="774"/>
      <c r="N105" s="19"/>
      <c r="O105" s="20"/>
      <c r="P105" s="20"/>
      <c r="Q105" s="20"/>
      <c r="R105" s="20"/>
      <c r="S105" s="21"/>
      <c r="V105" s="297"/>
      <c r="W105" s="297"/>
      <c r="AB105" s="28"/>
    </row>
    <row r="106" spans="1:28" ht="57" customHeight="1" x14ac:dyDescent="0.25">
      <c r="A106" s="18" t="s">
        <v>13</v>
      </c>
      <c r="B106" s="323"/>
      <c r="C106" s="324"/>
      <c r="D106" s="20"/>
      <c r="E106" s="20"/>
      <c r="F106" s="20"/>
      <c r="G106" s="21"/>
      <c r="H106" s="833"/>
      <c r="I106" s="773"/>
      <c r="J106" s="773"/>
      <c r="K106" s="773"/>
      <c r="L106" s="773"/>
      <c r="M106" s="774"/>
      <c r="N106" s="19"/>
      <c r="O106" s="20"/>
      <c r="P106" s="20"/>
      <c r="Q106" s="20"/>
      <c r="R106" s="20"/>
      <c r="S106" s="21"/>
      <c r="V106" s="297"/>
      <c r="W106" s="297"/>
      <c r="AB106" s="28"/>
    </row>
    <row r="107" spans="1:28" ht="19.5" customHeight="1" x14ac:dyDescent="0.25">
      <c r="A107" s="18" t="s">
        <v>1064</v>
      </c>
      <c r="B107" s="323">
        <v>53.281481481481464</v>
      </c>
      <c r="C107" s="324">
        <v>540</v>
      </c>
      <c r="D107" s="324">
        <v>5</v>
      </c>
      <c r="E107" s="20">
        <v>1438.5999999999995</v>
      </c>
      <c r="F107" s="20">
        <f t="shared" ref="F107:F122" si="8">E107*0.2409</f>
        <v>346.55873999999989</v>
      </c>
      <c r="G107" s="21">
        <f t="shared" ref="G107:G122" si="9">E107+F107</f>
        <v>1785.1587399999994</v>
      </c>
      <c r="H107" s="833">
        <v>46.976296296296319</v>
      </c>
      <c r="I107" s="324">
        <v>540</v>
      </c>
      <c r="J107" s="324">
        <v>5</v>
      </c>
      <c r="K107" s="773">
        <v>1268.3600000000006</v>
      </c>
      <c r="L107" s="773">
        <f t="shared" si="6"/>
        <v>305.54792400000014</v>
      </c>
      <c r="M107" s="774">
        <f t="shared" si="7"/>
        <v>1573.9079240000008</v>
      </c>
      <c r="N107" s="19"/>
      <c r="O107" s="20"/>
      <c r="P107" s="20"/>
      <c r="Q107" s="20"/>
      <c r="R107" s="20"/>
      <c r="S107" s="21"/>
      <c r="V107" s="297"/>
      <c r="W107" s="297"/>
      <c r="AB107" s="28"/>
    </row>
    <row r="108" spans="1:28" ht="19.5" customHeight="1" x14ac:dyDescent="0.25">
      <c r="A108" s="18" t="s">
        <v>1064</v>
      </c>
      <c r="B108" s="323">
        <v>8.630181818181816</v>
      </c>
      <c r="C108" s="324">
        <v>550</v>
      </c>
      <c r="D108" s="324">
        <v>5</v>
      </c>
      <c r="E108" s="20">
        <v>237.32999999999996</v>
      </c>
      <c r="F108" s="20">
        <f t="shared" si="8"/>
        <v>57.172796999999989</v>
      </c>
      <c r="G108" s="21">
        <f t="shared" si="9"/>
        <v>294.50279699999993</v>
      </c>
      <c r="H108" s="833">
        <v>9.0523636363636353</v>
      </c>
      <c r="I108" s="324">
        <v>550</v>
      </c>
      <c r="J108" s="324">
        <v>5</v>
      </c>
      <c r="K108" s="773">
        <v>248.93999999999997</v>
      </c>
      <c r="L108" s="773">
        <f t="shared" si="6"/>
        <v>59.96964599999999</v>
      </c>
      <c r="M108" s="774">
        <f t="shared" si="7"/>
        <v>308.90964599999995</v>
      </c>
      <c r="N108" s="19"/>
      <c r="O108" s="20"/>
      <c r="P108" s="20"/>
      <c r="Q108" s="20"/>
      <c r="R108" s="20"/>
      <c r="S108" s="21"/>
      <c r="V108" s="297"/>
      <c r="W108" s="297"/>
      <c r="AB108" s="28"/>
    </row>
    <row r="109" spans="1:28" ht="19.5" customHeight="1" x14ac:dyDescent="0.25">
      <c r="A109" s="18" t="s">
        <v>1064</v>
      </c>
      <c r="B109" s="323">
        <v>9.3299999999999983</v>
      </c>
      <c r="C109" s="324">
        <v>560</v>
      </c>
      <c r="D109" s="324">
        <v>5</v>
      </c>
      <c r="E109" s="20">
        <v>261.23999999999995</v>
      </c>
      <c r="F109" s="20">
        <f t="shared" si="8"/>
        <v>62.932715999999992</v>
      </c>
      <c r="G109" s="21">
        <f t="shared" si="9"/>
        <v>324.17271599999992</v>
      </c>
      <c r="H109" s="833">
        <v>8.2614285714285725</v>
      </c>
      <c r="I109" s="324">
        <v>560</v>
      </c>
      <c r="J109" s="324">
        <v>5</v>
      </c>
      <c r="K109" s="773">
        <v>231.32000000000002</v>
      </c>
      <c r="L109" s="773">
        <f t="shared" si="6"/>
        <v>55.724988000000003</v>
      </c>
      <c r="M109" s="774">
        <f t="shared" si="7"/>
        <v>287.04498800000005</v>
      </c>
      <c r="N109" s="19"/>
      <c r="O109" s="20"/>
      <c r="P109" s="20"/>
      <c r="Q109" s="20"/>
      <c r="R109" s="20"/>
      <c r="S109" s="21"/>
      <c r="V109" s="297"/>
      <c r="W109" s="297"/>
      <c r="AB109" s="28"/>
    </row>
    <row r="110" spans="1:28" ht="19.5" customHeight="1" x14ac:dyDescent="0.25">
      <c r="A110" s="18" t="s">
        <v>1064</v>
      </c>
      <c r="B110" s="323">
        <v>32.878703703703692</v>
      </c>
      <c r="C110" s="324">
        <v>540</v>
      </c>
      <c r="D110" s="324">
        <v>10</v>
      </c>
      <c r="E110" s="20">
        <v>1775.4499999999994</v>
      </c>
      <c r="F110" s="20">
        <f t="shared" si="8"/>
        <v>427.70590499999986</v>
      </c>
      <c r="G110" s="21">
        <f t="shared" si="9"/>
        <v>2203.1559049999992</v>
      </c>
      <c r="H110" s="833">
        <v>32.729814814814802</v>
      </c>
      <c r="I110" s="324">
        <v>540</v>
      </c>
      <c r="J110" s="324">
        <v>10</v>
      </c>
      <c r="K110" s="773">
        <v>1767.4099999999994</v>
      </c>
      <c r="L110" s="773">
        <f t="shared" si="6"/>
        <v>425.76906899999989</v>
      </c>
      <c r="M110" s="774">
        <f t="shared" si="7"/>
        <v>2193.1790689999993</v>
      </c>
      <c r="N110" s="19"/>
      <c r="O110" s="20"/>
      <c r="P110" s="20"/>
      <c r="Q110" s="20"/>
      <c r="R110" s="20"/>
      <c r="S110" s="21"/>
      <c r="V110" s="297"/>
      <c r="W110" s="297"/>
      <c r="AB110" s="28"/>
    </row>
    <row r="111" spans="1:28" ht="19.5" customHeight="1" x14ac:dyDescent="0.25">
      <c r="A111" s="18" t="s">
        <v>1064</v>
      </c>
      <c r="B111" s="323">
        <v>18.698</v>
      </c>
      <c r="C111" s="324">
        <v>550</v>
      </c>
      <c r="D111" s="324">
        <v>10</v>
      </c>
      <c r="E111" s="20">
        <v>1028.3900000000001</v>
      </c>
      <c r="F111" s="20">
        <f t="shared" si="8"/>
        <v>247.73915100000002</v>
      </c>
      <c r="G111" s="21">
        <f t="shared" si="9"/>
        <v>1276.1291510000001</v>
      </c>
      <c r="H111" s="833">
        <v>16.172000000000001</v>
      </c>
      <c r="I111" s="324">
        <v>550</v>
      </c>
      <c r="J111" s="324">
        <v>10</v>
      </c>
      <c r="K111" s="773">
        <v>889.46</v>
      </c>
      <c r="L111" s="773">
        <f t="shared" si="6"/>
        <v>214.270914</v>
      </c>
      <c r="M111" s="774">
        <f t="shared" si="7"/>
        <v>1103.730914</v>
      </c>
      <c r="N111" s="19"/>
      <c r="O111" s="20"/>
      <c r="P111" s="20"/>
      <c r="Q111" s="20"/>
      <c r="R111" s="20"/>
      <c r="S111" s="21"/>
      <c r="V111" s="297"/>
      <c r="W111" s="297"/>
      <c r="AB111" s="28"/>
    </row>
    <row r="112" spans="1:28" ht="19.5" customHeight="1" x14ac:dyDescent="0.25">
      <c r="A112" s="18" t="s">
        <v>1064</v>
      </c>
      <c r="B112" s="323">
        <v>4.4744642857142853</v>
      </c>
      <c r="C112" s="324">
        <v>560</v>
      </c>
      <c r="D112" s="324">
        <v>10</v>
      </c>
      <c r="E112" s="20">
        <v>250.56999999999996</v>
      </c>
      <c r="F112" s="20">
        <f t="shared" si="8"/>
        <v>60.362312999999993</v>
      </c>
      <c r="G112" s="21">
        <f t="shared" si="9"/>
        <v>310.93231299999997</v>
      </c>
      <c r="H112" s="833">
        <v>2.0742857142857143</v>
      </c>
      <c r="I112" s="324">
        <v>560</v>
      </c>
      <c r="J112" s="324">
        <v>10</v>
      </c>
      <c r="K112" s="773">
        <v>116.16</v>
      </c>
      <c r="L112" s="773">
        <f t="shared" si="6"/>
        <v>27.982944</v>
      </c>
      <c r="M112" s="774">
        <f t="shared" si="7"/>
        <v>144.142944</v>
      </c>
      <c r="N112" s="19"/>
      <c r="O112" s="20"/>
      <c r="P112" s="20"/>
      <c r="Q112" s="20"/>
      <c r="R112" s="20"/>
      <c r="S112" s="21"/>
      <c r="V112" s="297"/>
      <c r="W112" s="297"/>
      <c r="AB112" s="28"/>
    </row>
    <row r="113" spans="1:28" ht="19.5" customHeight="1" x14ac:dyDescent="0.25">
      <c r="A113" s="18" t="s">
        <v>1064</v>
      </c>
      <c r="B113" s="323">
        <v>14.25135802469136</v>
      </c>
      <c r="C113" s="324">
        <v>540</v>
      </c>
      <c r="D113" s="324">
        <v>15</v>
      </c>
      <c r="E113" s="20">
        <v>1154.3600000000001</v>
      </c>
      <c r="F113" s="20">
        <f t="shared" si="8"/>
        <v>278.08532400000001</v>
      </c>
      <c r="G113" s="21">
        <f t="shared" si="9"/>
        <v>1432.4453240000003</v>
      </c>
      <c r="H113" s="833">
        <v>34.911975308641971</v>
      </c>
      <c r="I113" s="324">
        <v>540</v>
      </c>
      <c r="J113" s="324">
        <v>15</v>
      </c>
      <c r="K113" s="773">
        <v>2827.8699999999994</v>
      </c>
      <c r="L113" s="773">
        <f t="shared" si="6"/>
        <v>681.23388299999988</v>
      </c>
      <c r="M113" s="774">
        <f t="shared" si="7"/>
        <v>3509.1038829999993</v>
      </c>
      <c r="N113" s="19"/>
      <c r="O113" s="20"/>
      <c r="P113" s="20"/>
      <c r="Q113" s="20"/>
      <c r="R113" s="20"/>
      <c r="S113" s="21"/>
      <c r="V113" s="297"/>
      <c r="W113" s="297"/>
      <c r="AB113" s="28"/>
    </row>
    <row r="114" spans="1:28" ht="19.5" customHeight="1" x14ac:dyDescent="0.25">
      <c r="A114" s="18" t="s">
        <v>1064</v>
      </c>
      <c r="B114" s="323">
        <v>9.0473939393939382</v>
      </c>
      <c r="C114" s="324">
        <v>550</v>
      </c>
      <c r="D114" s="324">
        <v>15</v>
      </c>
      <c r="E114" s="20">
        <v>746.41</v>
      </c>
      <c r="F114" s="20">
        <f t="shared" si="8"/>
        <v>179.810169</v>
      </c>
      <c r="G114" s="21">
        <f t="shared" si="9"/>
        <v>926.22016899999994</v>
      </c>
      <c r="H114" s="833">
        <v>16.779757575757575</v>
      </c>
      <c r="I114" s="324">
        <v>550</v>
      </c>
      <c r="J114" s="324">
        <v>15</v>
      </c>
      <c r="K114" s="773">
        <v>1384.3300000000002</v>
      </c>
      <c r="L114" s="773">
        <f t="shared" si="6"/>
        <v>333.48509700000005</v>
      </c>
      <c r="M114" s="774">
        <f t="shared" si="7"/>
        <v>1717.8150970000002</v>
      </c>
      <c r="N114" s="19"/>
      <c r="O114" s="20"/>
      <c r="P114" s="20"/>
      <c r="Q114" s="20"/>
      <c r="R114" s="20"/>
      <c r="S114" s="21"/>
      <c r="V114" s="297"/>
      <c r="W114" s="297"/>
      <c r="AB114" s="28"/>
    </row>
    <row r="115" spans="1:28" ht="19.5" customHeight="1" x14ac:dyDescent="0.25">
      <c r="A115" s="18" t="s">
        <v>1064</v>
      </c>
      <c r="B115" s="323">
        <v>6.3305952380952375</v>
      </c>
      <c r="C115" s="324">
        <v>560</v>
      </c>
      <c r="D115" s="324">
        <v>15</v>
      </c>
      <c r="E115" s="20">
        <v>531.77</v>
      </c>
      <c r="F115" s="20">
        <f t="shared" si="8"/>
        <v>128.10339300000001</v>
      </c>
      <c r="G115" s="21">
        <f t="shared" si="9"/>
        <v>659.87339299999996</v>
      </c>
      <c r="H115" s="833">
        <v>13.460833333333333</v>
      </c>
      <c r="I115" s="324">
        <v>560</v>
      </c>
      <c r="J115" s="324">
        <v>15</v>
      </c>
      <c r="K115" s="773">
        <v>1130.7099999999998</v>
      </c>
      <c r="L115" s="773">
        <f t="shared" si="6"/>
        <v>272.38803899999994</v>
      </c>
      <c r="M115" s="774">
        <f t="shared" si="7"/>
        <v>1403.0980389999997</v>
      </c>
      <c r="N115" s="19"/>
      <c r="O115" s="20"/>
      <c r="P115" s="20"/>
      <c r="Q115" s="20"/>
      <c r="R115" s="20"/>
      <c r="S115" s="21"/>
      <c r="V115" s="297"/>
      <c r="W115" s="297"/>
      <c r="AB115" s="28"/>
    </row>
    <row r="116" spans="1:28" ht="19.5" customHeight="1" x14ac:dyDescent="0.25">
      <c r="A116" s="18" t="s">
        <v>1064</v>
      </c>
      <c r="B116" s="323">
        <v>6.9032407407407428</v>
      </c>
      <c r="C116" s="324">
        <v>540</v>
      </c>
      <c r="D116" s="324">
        <v>20</v>
      </c>
      <c r="E116" s="20">
        <v>745.55000000000018</v>
      </c>
      <c r="F116" s="20">
        <f t="shared" si="8"/>
        <v>179.60299500000005</v>
      </c>
      <c r="G116" s="21">
        <f t="shared" si="9"/>
        <v>925.15299500000026</v>
      </c>
      <c r="H116" s="833">
        <v>5.2703703703703715</v>
      </c>
      <c r="I116" s="324">
        <v>540</v>
      </c>
      <c r="J116" s="324">
        <v>20</v>
      </c>
      <c r="K116" s="773">
        <v>569.20000000000005</v>
      </c>
      <c r="L116" s="773">
        <f t="shared" si="6"/>
        <v>137.12028000000001</v>
      </c>
      <c r="M116" s="774">
        <f t="shared" si="7"/>
        <v>706.32028000000003</v>
      </c>
      <c r="N116" s="19"/>
      <c r="O116" s="20"/>
      <c r="P116" s="20"/>
      <c r="Q116" s="20"/>
      <c r="R116" s="20"/>
      <c r="S116" s="21"/>
      <c r="V116" s="297"/>
      <c r="W116" s="297"/>
      <c r="AB116" s="28"/>
    </row>
    <row r="117" spans="1:28" ht="19.5" customHeight="1" x14ac:dyDescent="0.25">
      <c r="A117" s="18" t="s">
        <v>1064</v>
      </c>
      <c r="B117" s="323">
        <v>2.8308181818181817</v>
      </c>
      <c r="C117" s="324">
        <v>550</v>
      </c>
      <c r="D117" s="324">
        <v>20</v>
      </c>
      <c r="E117" s="20">
        <v>311.39</v>
      </c>
      <c r="F117" s="20">
        <f t="shared" si="8"/>
        <v>75.013851000000003</v>
      </c>
      <c r="G117" s="21">
        <f t="shared" si="9"/>
        <v>386.40385099999997</v>
      </c>
      <c r="H117" s="833">
        <v>1.1930000000000001</v>
      </c>
      <c r="I117" s="324">
        <v>550</v>
      </c>
      <c r="J117" s="324">
        <v>20</v>
      </c>
      <c r="K117" s="773">
        <v>131.22999999999999</v>
      </c>
      <c r="L117" s="773">
        <f t="shared" si="6"/>
        <v>31.613306999999999</v>
      </c>
      <c r="M117" s="774">
        <f t="shared" si="7"/>
        <v>162.84330699999998</v>
      </c>
      <c r="N117" s="19"/>
      <c r="O117" s="20"/>
      <c r="P117" s="20"/>
      <c r="Q117" s="20"/>
      <c r="R117" s="20"/>
      <c r="S117" s="21"/>
      <c r="V117" s="297"/>
      <c r="W117" s="297"/>
      <c r="AB117" s="28"/>
    </row>
    <row r="118" spans="1:28" ht="19.5" customHeight="1" x14ac:dyDescent="0.25">
      <c r="A118" s="18" t="s">
        <v>1064</v>
      </c>
      <c r="B118" s="323">
        <v>1.4369642857142857</v>
      </c>
      <c r="C118" s="324">
        <v>560</v>
      </c>
      <c r="D118" s="324">
        <v>20</v>
      </c>
      <c r="E118" s="20">
        <v>160.94</v>
      </c>
      <c r="F118" s="20">
        <f t="shared" si="8"/>
        <v>38.770446</v>
      </c>
      <c r="G118" s="21">
        <f t="shared" si="9"/>
        <v>199.71044599999999</v>
      </c>
      <c r="H118" s="833">
        <v>0.96250000000000002</v>
      </c>
      <c r="I118" s="324">
        <v>560</v>
      </c>
      <c r="J118" s="324">
        <v>20</v>
      </c>
      <c r="K118" s="773">
        <v>107.8</v>
      </c>
      <c r="L118" s="773">
        <f t="shared" si="6"/>
        <v>25.96902</v>
      </c>
      <c r="M118" s="774">
        <f t="shared" si="7"/>
        <v>133.76902000000001</v>
      </c>
      <c r="N118" s="19"/>
      <c r="O118" s="20"/>
      <c r="P118" s="20"/>
      <c r="Q118" s="20"/>
      <c r="R118" s="20"/>
      <c r="S118" s="21"/>
      <c r="V118" s="297"/>
      <c r="W118" s="297"/>
      <c r="AB118" s="28"/>
    </row>
    <row r="119" spans="1:28" ht="19.5" customHeight="1" x14ac:dyDescent="0.25">
      <c r="A119" s="18" t="s">
        <v>1064</v>
      </c>
      <c r="B119" s="323">
        <v>3.9914814814814816</v>
      </c>
      <c r="C119" s="324">
        <v>540</v>
      </c>
      <c r="D119" s="324">
        <v>30</v>
      </c>
      <c r="E119" s="20">
        <v>646.62</v>
      </c>
      <c r="F119" s="20">
        <f t="shared" si="8"/>
        <v>155.770758</v>
      </c>
      <c r="G119" s="21">
        <f t="shared" si="9"/>
        <v>802.39075800000001</v>
      </c>
      <c r="H119" s="833"/>
      <c r="I119" s="773"/>
      <c r="J119" s="773"/>
      <c r="K119" s="773"/>
      <c r="L119" s="773"/>
      <c r="M119" s="774"/>
      <c r="N119" s="19"/>
      <c r="O119" s="20"/>
      <c r="P119" s="20"/>
      <c r="Q119" s="20"/>
      <c r="R119" s="20"/>
      <c r="S119" s="21"/>
      <c r="V119" s="297"/>
      <c r="W119" s="297"/>
      <c r="AB119" s="28"/>
    </row>
    <row r="120" spans="1:28" x14ac:dyDescent="0.25">
      <c r="A120" s="18" t="s">
        <v>1064</v>
      </c>
      <c r="B120" s="323">
        <v>4.6329696969696972</v>
      </c>
      <c r="C120" s="324">
        <v>550</v>
      </c>
      <c r="D120" s="324">
        <v>30</v>
      </c>
      <c r="E120" s="20">
        <v>764.44</v>
      </c>
      <c r="F120" s="20">
        <f t="shared" si="8"/>
        <v>184.15359600000002</v>
      </c>
      <c r="G120" s="21">
        <f t="shared" si="9"/>
        <v>948.59359600000005</v>
      </c>
      <c r="H120" s="833"/>
      <c r="I120" s="773"/>
      <c r="J120" s="773"/>
      <c r="K120" s="773"/>
      <c r="L120" s="773"/>
      <c r="M120" s="774"/>
      <c r="N120" s="19"/>
      <c r="O120" s="20"/>
      <c r="P120" s="20"/>
      <c r="Q120" s="20"/>
      <c r="R120" s="20"/>
      <c r="S120" s="21"/>
      <c r="V120" s="297"/>
      <c r="W120" s="297"/>
      <c r="AB120" s="28"/>
    </row>
    <row r="121" spans="1:28" x14ac:dyDescent="0.25">
      <c r="A121" s="18" t="s">
        <v>1064</v>
      </c>
      <c r="B121" s="323">
        <v>1.9336818181818183</v>
      </c>
      <c r="C121" s="324">
        <v>550</v>
      </c>
      <c r="D121" s="324">
        <v>40</v>
      </c>
      <c r="E121" s="20">
        <v>425.41</v>
      </c>
      <c r="F121" s="20">
        <f t="shared" si="8"/>
        <v>102.48126900000001</v>
      </c>
      <c r="G121" s="21">
        <f t="shared" si="9"/>
        <v>527.89126900000008</v>
      </c>
      <c r="H121" s="833"/>
      <c r="I121" s="773"/>
      <c r="J121" s="773"/>
      <c r="K121" s="773"/>
      <c r="L121" s="773"/>
      <c r="M121" s="774"/>
      <c r="N121" s="19"/>
      <c r="O121" s="20"/>
      <c r="P121" s="20"/>
      <c r="Q121" s="20"/>
      <c r="R121" s="20"/>
      <c r="S121" s="21"/>
      <c r="V121" s="297"/>
      <c r="W121" s="297"/>
      <c r="AB121" s="28"/>
    </row>
    <row r="122" spans="1:28" x14ac:dyDescent="0.25">
      <c r="A122" s="18" t="s">
        <v>1064</v>
      </c>
      <c r="B122" s="323">
        <v>1.5286607142857143</v>
      </c>
      <c r="C122" s="324">
        <v>560</v>
      </c>
      <c r="D122" s="324">
        <v>40</v>
      </c>
      <c r="E122" s="20">
        <v>342.42</v>
      </c>
      <c r="F122" s="20">
        <f t="shared" si="8"/>
        <v>82.488978000000003</v>
      </c>
      <c r="G122" s="21">
        <f t="shared" si="9"/>
        <v>424.90897800000005</v>
      </c>
      <c r="H122" s="833"/>
      <c r="I122" s="773"/>
      <c r="J122" s="773"/>
      <c r="K122" s="773"/>
      <c r="L122" s="773"/>
      <c r="M122" s="774"/>
      <c r="N122" s="19"/>
      <c r="O122" s="20"/>
      <c r="P122" s="20"/>
      <c r="Q122" s="20"/>
      <c r="R122" s="20"/>
      <c r="S122" s="21"/>
      <c r="V122" s="297"/>
      <c r="W122" s="297"/>
      <c r="AB122" s="28"/>
    </row>
    <row r="123" spans="1:28" ht="36" customHeight="1" x14ac:dyDescent="0.25">
      <c r="A123" s="18" t="s">
        <v>11</v>
      </c>
      <c r="B123" s="323"/>
      <c r="C123" s="324"/>
      <c r="D123" s="20"/>
      <c r="E123" s="20"/>
      <c r="F123" s="20"/>
      <c r="G123" s="21"/>
      <c r="H123" s="833"/>
      <c r="I123" s="773"/>
      <c r="J123" s="773"/>
      <c r="K123" s="773"/>
      <c r="L123" s="773"/>
      <c r="M123" s="774"/>
      <c r="N123" s="19"/>
      <c r="O123" s="20"/>
      <c r="P123" s="20"/>
      <c r="Q123" s="20"/>
      <c r="R123" s="20"/>
      <c r="S123" s="21"/>
      <c r="V123" s="297"/>
      <c r="W123" s="297"/>
      <c r="AB123" s="28"/>
    </row>
    <row r="124" spans="1:28" ht="20.25" customHeight="1" x14ac:dyDescent="0.25">
      <c r="A124" s="18" t="s">
        <v>1065</v>
      </c>
      <c r="B124" s="323">
        <v>346.61420289855022</v>
      </c>
      <c r="C124" s="324">
        <v>690</v>
      </c>
      <c r="D124" s="324">
        <v>5</v>
      </c>
      <c r="E124" s="20">
        <v>11958.189999999982</v>
      </c>
      <c r="F124" s="20">
        <f t="shared" ref="F124:F135" si="10">E124*0.2409</f>
        <v>2880.7279709999957</v>
      </c>
      <c r="G124" s="21">
        <f t="shared" ref="G124:G135" si="11">E124+F124</f>
        <v>14838.917970999977</v>
      </c>
      <c r="H124" s="833">
        <v>317.31623188405791</v>
      </c>
      <c r="I124" s="324">
        <v>690</v>
      </c>
      <c r="J124" s="324">
        <v>5</v>
      </c>
      <c r="K124" s="773">
        <v>10947.409999999998</v>
      </c>
      <c r="L124" s="773">
        <f t="shared" si="6"/>
        <v>2637.2310689999995</v>
      </c>
      <c r="M124" s="774">
        <f t="shared" si="7"/>
        <v>13584.641068999998</v>
      </c>
      <c r="N124" s="19"/>
      <c r="O124" s="20"/>
      <c r="P124" s="20"/>
      <c r="Q124" s="20"/>
      <c r="R124" s="20"/>
      <c r="S124" s="21"/>
      <c r="V124" s="297"/>
      <c r="W124" s="297"/>
      <c r="AB124" s="28"/>
    </row>
    <row r="125" spans="1:28" ht="21" customHeight="1" x14ac:dyDescent="0.25">
      <c r="A125" s="18" t="s">
        <v>1065</v>
      </c>
      <c r="B125" s="323">
        <v>80.63463768115939</v>
      </c>
      <c r="C125" s="324">
        <v>690</v>
      </c>
      <c r="D125" s="324">
        <v>10</v>
      </c>
      <c r="E125" s="20">
        <v>5563.7899999999981</v>
      </c>
      <c r="F125" s="20">
        <f t="shared" si="10"/>
        <v>1340.3170109999996</v>
      </c>
      <c r="G125" s="21">
        <f t="shared" si="11"/>
        <v>6904.1070109999982</v>
      </c>
      <c r="H125" s="833">
        <v>81.737826086956517</v>
      </c>
      <c r="I125" s="324">
        <v>690</v>
      </c>
      <c r="J125" s="324">
        <v>10</v>
      </c>
      <c r="K125" s="773">
        <v>5639.9099999999989</v>
      </c>
      <c r="L125" s="773">
        <f t="shared" si="6"/>
        <v>1358.6543189999998</v>
      </c>
      <c r="M125" s="774">
        <f t="shared" si="7"/>
        <v>6998.5643189999992</v>
      </c>
      <c r="N125" s="19"/>
      <c r="O125" s="20"/>
      <c r="P125" s="20"/>
      <c r="Q125" s="20"/>
      <c r="R125" s="20"/>
      <c r="S125" s="21"/>
      <c r="V125" s="297"/>
      <c r="W125" s="297"/>
      <c r="AB125" s="28"/>
    </row>
    <row r="126" spans="1:28" ht="17.25" customHeight="1" x14ac:dyDescent="0.25">
      <c r="A126" s="18" t="s">
        <v>1065</v>
      </c>
      <c r="B126" s="323">
        <v>163.03787439613529</v>
      </c>
      <c r="C126" s="324">
        <v>690</v>
      </c>
      <c r="D126" s="324">
        <v>15</v>
      </c>
      <c r="E126" s="20">
        <v>16874.420000000002</v>
      </c>
      <c r="F126" s="20">
        <f t="shared" si="10"/>
        <v>4065.0477780000006</v>
      </c>
      <c r="G126" s="21">
        <f t="shared" si="11"/>
        <v>20939.467778000002</v>
      </c>
      <c r="H126" s="833">
        <v>231.78289855072472</v>
      </c>
      <c r="I126" s="324">
        <v>690</v>
      </c>
      <c r="J126" s="324">
        <v>15</v>
      </c>
      <c r="K126" s="773">
        <v>23989.53000000001</v>
      </c>
      <c r="L126" s="773">
        <f t="shared" si="6"/>
        <v>5779.0777770000022</v>
      </c>
      <c r="M126" s="774">
        <f t="shared" si="7"/>
        <v>29768.607777000012</v>
      </c>
      <c r="N126" s="19"/>
      <c r="O126" s="20"/>
      <c r="P126" s="20"/>
      <c r="Q126" s="20"/>
      <c r="R126" s="20"/>
      <c r="S126" s="21"/>
      <c r="V126" s="297"/>
      <c r="W126" s="297"/>
      <c r="AB126" s="28"/>
    </row>
    <row r="127" spans="1:28" ht="17.25" customHeight="1" x14ac:dyDescent="0.25">
      <c r="A127" s="18" t="s">
        <v>1065</v>
      </c>
      <c r="B127" s="323">
        <v>71.769782608695664</v>
      </c>
      <c r="C127" s="324">
        <v>690</v>
      </c>
      <c r="D127" s="324">
        <v>20</v>
      </c>
      <c r="E127" s="20">
        <v>9904.2300000000014</v>
      </c>
      <c r="F127" s="20">
        <f t="shared" si="10"/>
        <v>2385.9290070000002</v>
      </c>
      <c r="G127" s="21">
        <f t="shared" si="11"/>
        <v>12290.159007000002</v>
      </c>
      <c r="H127" s="833">
        <v>34.200869565217388</v>
      </c>
      <c r="I127" s="324">
        <v>690</v>
      </c>
      <c r="J127" s="324">
        <v>20</v>
      </c>
      <c r="K127" s="773">
        <v>4719.72</v>
      </c>
      <c r="L127" s="773">
        <f t="shared" si="6"/>
        <v>1136.980548</v>
      </c>
      <c r="M127" s="774">
        <f t="shared" si="7"/>
        <v>5856.7005480000007</v>
      </c>
      <c r="N127" s="19"/>
      <c r="O127" s="20"/>
      <c r="P127" s="20"/>
      <c r="Q127" s="20"/>
      <c r="R127" s="20"/>
      <c r="S127" s="21"/>
      <c r="V127" s="297"/>
      <c r="W127" s="297"/>
      <c r="AB127" s="28"/>
    </row>
    <row r="128" spans="1:28" ht="17.25" customHeight="1" x14ac:dyDescent="0.25">
      <c r="A128" s="18" t="s">
        <v>1065</v>
      </c>
      <c r="B128" s="323">
        <v>34.155652173913033</v>
      </c>
      <c r="C128" s="324">
        <v>690</v>
      </c>
      <c r="D128" s="324">
        <v>30</v>
      </c>
      <c r="E128" s="20">
        <v>7070.2199999999984</v>
      </c>
      <c r="F128" s="20">
        <f t="shared" si="10"/>
        <v>1703.2159979999997</v>
      </c>
      <c r="G128" s="21">
        <f t="shared" si="11"/>
        <v>8773.4359979999972</v>
      </c>
      <c r="H128" s="833"/>
      <c r="I128" s="773"/>
      <c r="J128" s="773"/>
      <c r="K128" s="773"/>
      <c r="L128" s="773"/>
      <c r="M128" s="774"/>
      <c r="N128" s="19"/>
      <c r="O128" s="20"/>
      <c r="P128" s="20"/>
      <c r="Q128" s="20"/>
      <c r="R128" s="20"/>
      <c r="S128" s="21"/>
      <c r="V128" s="297"/>
      <c r="W128" s="297"/>
      <c r="AB128" s="28"/>
    </row>
    <row r="129" spans="1:28" ht="17.25" customHeight="1" x14ac:dyDescent="0.25">
      <c r="A129" s="18" t="s">
        <v>1065</v>
      </c>
      <c r="B129" s="323">
        <v>5.7183695652173911</v>
      </c>
      <c r="C129" s="324">
        <v>690</v>
      </c>
      <c r="D129" s="324">
        <v>40</v>
      </c>
      <c r="E129" s="20">
        <v>1578.27</v>
      </c>
      <c r="F129" s="20">
        <f t="shared" si="10"/>
        <v>380.205243</v>
      </c>
      <c r="G129" s="21">
        <f t="shared" si="11"/>
        <v>1958.4752429999999</v>
      </c>
      <c r="H129" s="833"/>
      <c r="I129" s="773"/>
      <c r="J129" s="773"/>
      <c r="K129" s="773"/>
      <c r="L129" s="773"/>
      <c r="M129" s="774"/>
      <c r="N129" s="19"/>
      <c r="O129" s="20"/>
      <c r="P129" s="20"/>
      <c r="Q129" s="20"/>
      <c r="R129" s="20"/>
      <c r="S129" s="21"/>
      <c r="V129" s="297"/>
      <c r="W129" s="297"/>
      <c r="AB129" s="28"/>
    </row>
    <row r="130" spans="1:28" ht="17.25" customHeight="1" x14ac:dyDescent="0.25">
      <c r="A130" s="18" t="s">
        <v>1065</v>
      </c>
      <c r="B130" s="323">
        <v>1.0985829307568438</v>
      </c>
      <c r="C130" s="324">
        <v>690</v>
      </c>
      <c r="D130" s="324">
        <v>45</v>
      </c>
      <c r="E130" s="20">
        <v>341.11</v>
      </c>
      <c r="F130" s="20">
        <f t="shared" si="10"/>
        <v>82.173399000000003</v>
      </c>
      <c r="G130" s="21">
        <f t="shared" si="11"/>
        <v>423.28339900000003</v>
      </c>
      <c r="H130" s="833"/>
      <c r="I130" s="773"/>
      <c r="J130" s="773"/>
      <c r="K130" s="773"/>
      <c r="L130" s="773"/>
      <c r="M130" s="774"/>
      <c r="N130" s="19"/>
      <c r="O130" s="20"/>
      <c r="P130" s="20"/>
      <c r="Q130" s="20"/>
      <c r="R130" s="20"/>
      <c r="S130" s="21"/>
      <c r="V130" s="297"/>
      <c r="W130" s="297"/>
      <c r="AB130" s="28"/>
    </row>
    <row r="131" spans="1:28" ht="17.25" customHeight="1" x14ac:dyDescent="0.25">
      <c r="A131" s="18" t="s">
        <v>1066</v>
      </c>
      <c r="B131" s="323">
        <v>45.251351351351346</v>
      </c>
      <c r="C131" s="324">
        <v>740</v>
      </c>
      <c r="D131" s="324">
        <v>5</v>
      </c>
      <c r="E131" s="20">
        <v>1674.2999999999997</v>
      </c>
      <c r="F131" s="20">
        <f t="shared" si="10"/>
        <v>403.33886999999993</v>
      </c>
      <c r="G131" s="21">
        <f t="shared" si="11"/>
        <v>2077.6388699999998</v>
      </c>
      <c r="H131" s="833">
        <v>40.508108108108111</v>
      </c>
      <c r="I131" s="324">
        <v>740</v>
      </c>
      <c r="J131" s="324">
        <v>5</v>
      </c>
      <c r="K131" s="773">
        <v>1498.8</v>
      </c>
      <c r="L131" s="773">
        <f t="shared" si="6"/>
        <v>361.06092000000001</v>
      </c>
      <c r="M131" s="774">
        <f t="shared" si="7"/>
        <v>1859.8609200000001</v>
      </c>
      <c r="N131" s="19"/>
      <c r="O131" s="20"/>
      <c r="P131" s="20"/>
      <c r="Q131" s="20"/>
      <c r="R131" s="20"/>
      <c r="S131" s="21"/>
      <c r="V131" s="297"/>
      <c r="W131" s="297"/>
      <c r="AB131" s="28"/>
    </row>
    <row r="132" spans="1:28" ht="17.25" customHeight="1" x14ac:dyDescent="0.25">
      <c r="A132" s="18" t="s">
        <v>1066</v>
      </c>
      <c r="B132" s="323">
        <v>3.9613513513513521</v>
      </c>
      <c r="C132" s="324">
        <v>740</v>
      </c>
      <c r="D132" s="324">
        <v>10</v>
      </c>
      <c r="E132" s="20">
        <v>293.14000000000004</v>
      </c>
      <c r="F132" s="20">
        <f t="shared" si="10"/>
        <v>70.617426000000009</v>
      </c>
      <c r="G132" s="21">
        <f t="shared" si="11"/>
        <v>363.75742600000007</v>
      </c>
      <c r="H132" s="833">
        <v>3.7409459459459464</v>
      </c>
      <c r="I132" s="324">
        <v>740</v>
      </c>
      <c r="J132" s="324">
        <v>10</v>
      </c>
      <c r="K132" s="773">
        <v>276.83</v>
      </c>
      <c r="L132" s="773">
        <f t="shared" si="6"/>
        <v>66.688346999999993</v>
      </c>
      <c r="M132" s="774">
        <f t="shared" si="7"/>
        <v>343.51834699999995</v>
      </c>
      <c r="N132" s="19"/>
      <c r="O132" s="20"/>
      <c r="P132" s="20"/>
      <c r="Q132" s="20"/>
      <c r="R132" s="20"/>
      <c r="S132" s="21"/>
      <c r="V132" s="297"/>
      <c r="W132" s="297"/>
      <c r="AB132" s="28"/>
    </row>
    <row r="133" spans="1:28" ht="17.25" customHeight="1" x14ac:dyDescent="0.25">
      <c r="A133" s="18" t="s">
        <v>1066</v>
      </c>
      <c r="B133" s="323">
        <v>17.600720720720723</v>
      </c>
      <c r="C133" s="324">
        <v>740</v>
      </c>
      <c r="D133" s="324">
        <v>15</v>
      </c>
      <c r="E133" s="20">
        <v>1953.6800000000003</v>
      </c>
      <c r="F133" s="20">
        <f t="shared" si="10"/>
        <v>470.64151200000009</v>
      </c>
      <c r="G133" s="21">
        <f t="shared" si="11"/>
        <v>2424.3215120000004</v>
      </c>
      <c r="H133" s="833">
        <v>20.796486486486497</v>
      </c>
      <c r="I133" s="324">
        <v>740</v>
      </c>
      <c r="J133" s="324">
        <v>15</v>
      </c>
      <c r="K133" s="773">
        <v>2308.4100000000008</v>
      </c>
      <c r="L133" s="773">
        <f t="shared" si="6"/>
        <v>556.0959690000002</v>
      </c>
      <c r="M133" s="774">
        <f t="shared" si="7"/>
        <v>2864.5059690000007</v>
      </c>
      <c r="N133" s="19"/>
      <c r="O133" s="20"/>
      <c r="P133" s="20"/>
      <c r="Q133" s="20"/>
      <c r="R133" s="20"/>
      <c r="S133" s="21"/>
      <c r="V133" s="297"/>
      <c r="W133" s="297"/>
      <c r="AB133" s="28"/>
    </row>
    <row r="134" spans="1:28" ht="17.25" customHeight="1" x14ac:dyDescent="0.25">
      <c r="A134" s="18" t="s">
        <v>1066</v>
      </c>
      <c r="B134" s="323">
        <v>2.6902702702702701</v>
      </c>
      <c r="C134" s="324">
        <v>740</v>
      </c>
      <c r="D134" s="324">
        <v>20</v>
      </c>
      <c r="E134" s="20">
        <v>398.15999999999997</v>
      </c>
      <c r="F134" s="20">
        <f t="shared" si="10"/>
        <v>95.916743999999994</v>
      </c>
      <c r="G134" s="21">
        <f t="shared" si="11"/>
        <v>494.07674399999996</v>
      </c>
      <c r="H134" s="833">
        <v>4.9775675675675677</v>
      </c>
      <c r="I134" s="324">
        <v>740</v>
      </c>
      <c r="J134" s="324">
        <v>20</v>
      </c>
      <c r="K134" s="773">
        <v>736.68000000000006</v>
      </c>
      <c r="L134" s="773">
        <f t="shared" si="6"/>
        <v>177.46621200000001</v>
      </c>
      <c r="M134" s="774">
        <f t="shared" si="7"/>
        <v>914.14621200000011</v>
      </c>
      <c r="N134" s="19"/>
      <c r="O134" s="20"/>
      <c r="P134" s="20"/>
      <c r="Q134" s="20"/>
      <c r="R134" s="20"/>
      <c r="S134" s="21"/>
      <c r="V134" s="297"/>
      <c r="W134" s="297"/>
      <c r="AB134" s="28"/>
    </row>
    <row r="135" spans="1:28" ht="15" customHeight="1" x14ac:dyDescent="0.25">
      <c r="A135" s="18" t="s">
        <v>1066</v>
      </c>
      <c r="B135" s="323">
        <v>4.7786936936936932</v>
      </c>
      <c r="C135" s="324">
        <v>740</v>
      </c>
      <c r="D135" s="324">
        <v>30</v>
      </c>
      <c r="E135" s="20">
        <v>1060.8699999999999</v>
      </c>
      <c r="F135" s="20">
        <f t="shared" si="10"/>
        <v>255.56358299999997</v>
      </c>
      <c r="G135" s="21">
        <f t="shared" si="11"/>
        <v>1316.4335829999998</v>
      </c>
      <c r="H135" s="833"/>
      <c r="I135" s="324"/>
      <c r="J135" s="324"/>
      <c r="K135" s="773"/>
      <c r="L135" s="773"/>
      <c r="M135" s="774"/>
      <c r="N135" s="19"/>
      <c r="O135" s="20"/>
      <c r="P135" s="20"/>
      <c r="Q135" s="20"/>
      <c r="R135" s="20"/>
      <c r="S135" s="21"/>
      <c r="V135" s="297"/>
      <c r="W135" s="297"/>
      <c r="AB135" s="28"/>
    </row>
    <row r="136" spans="1:28" ht="21" customHeight="1" x14ac:dyDescent="0.25">
      <c r="A136" s="18" t="s">
        <v>1067</v>
      </c>
      <c r="B136" s="323">
        <v>3.9299999999999997</v>
      </c>
      <c r="C136" s="324">
        <v>800</v>
      </c>
      <c r="D136" s="324">
        <v>5</v>
      </c>
      <c r="E136" s="20">
        <v>157.19999999999999</v>
      </c>
      <c r="F136" s="20">
        <f>E136*0.2409</f>
        <v>37.869479999999996</v>
      </c>
      <c r="G136" s="21">
        <f>E136+F136</f>
        <v>195.06948</v>
      </c>
      <c r="H136" s="833"/>
      <c r="I136" s="324"/>
      <c r="J136" s="324"/>
      <c r="K136" s="773"/>
      <c r="L136" s="773"/>
      <c r="M136" s="774"/>
      <c r="N136" s="19"/>
      <c r="O136" s="20"/>
      <c r="P136" s="20"/>
      <c r="Q136" s="20"/>
      <c r="R136" s="20"/>
      <c r="S136" s="21"/>
      <c r="V136" s="297"/>
      <c r="W136" s="297"/>
      <c r="AB136" s="28"/>
    </row>
    <row r="137" spans="1:28" ht="36" customHeight="1" x14ac:dyDescent="0.25">
      <c r="A137" s="18" t="s">
        <v>1068</v>
      </c>
      <c r="B137" s="323">
        <v>4.544444444444444E-2</v>
      </c>
      <c r="C137" s="324">
        <v>1500</v>
      </c>
      <c r="D137" s="324">
        <v>30</v>
      </c>
      <c r="E137" s="20">
        <v>20.45</v>
      </c>
      <c r="F137" s="20">
        <f t="shared" ref="F137:F182" si="12">E137*0.2409</f>
        <v>4.9264049999999999</v>
      </c>
      <c r="G137" s="21">
        <f t="shared" ref="G137:G182" si="13">E137+F137</f>
        <v>25.376404999999998</v>
      </c>
      <c r="H137" s="833"/>
      <c r="I137" s="773"/>
      <c r="J137" s="773"/>
      <c r="K137" s="773"/>
      <c r="L137" s="773"/>
      <c r="M137" s="774"/>
      <c r="N137" s="19"/>
      <c r="O137" s="20"/>
      <c r="P137" s="20"/>
      <c r="Q137" s="20"/>
      <c r="R137" s="20"/>
      <c r="S137" s="21"/>
      <c r="V137" s="297"/>
      <c r="W137" s="297"/>
      <c r="AB137" s="28"/>
    </row>
    <row r="138" spans="1:28" ht="36" customHeight="1" x14ac:dyDescent="0.25">
      <c r="A138" s="18" t="s">
        <v>1069</v>
      </c>
      <c r="B138" s="323">
        <v>0.95000000000000007</v>
      </c>
      <c r="C138" s="324">
        <v>1287</v>
      </c>
      <c r="D138" s="324">
        <v>20</v>
      </c>
      <c r="E138" s="20">
        <v>244.53</v>
      </c>
      <c r="F138" s="20">
        <f t="shared" si="12"/>
        <v>58.907277000000001</v>
      </c>
      <c r="G138" s="21">
        <f t="shared" si="13"/>
        <v>303.43727699999999</v>
      </c>
      <c r="H138" s="833"/>
      <c r="I138" s="773"/>
      <c r="J138" s="773"/>
      <c r="K138" s="773"/>
      <c r="L138" s="773"/>
      <c r="M138" s="774"/>
      <c r="N138" s="19"/>
      <c r="O138" s="20"/>
      <c r="P138" s="20"/>
      <c r="Q138" s="20"/>
      <c r="R138" s="20"/>
      <c r="S138" s="21"/>
      <c r="V138" s="297"/>
      <c r="W138" s="297"/>
      <c r="AB138" s="28"/>
    </row>
    <row r="139" spans="1:28" ht="21.75" customHeight="1" x14ac:dyDescent="0.25">
      <c r="A139" s="18" t="s">
        <v>1070</v>
      </c>
      <c r="B139" s="831">
        <v>5.161286039527277E-4</v>
      </c>
      <c r="C139" s="324">
        <v>1382</v>
      </c>
      <c r="D139" s="777" t="s">
        <v>1071</v>
      </c>
      <c r="E139" s="20">
        <f>276.4+37.69</f>
        <v>314.08999999999997</v>
      </c>
      <c r="F139" s="20">
        <f t="shared" si="12"/>
        <v>75.664280999999988</v>
      </c>
      <c r="G139" s="21">
        <f t="shared" si="13"/>
        <v>389.75428099999999</v>
      </c>
      <c r="H139" s="833"/>
      <c r="I139" s="773"/>
      <c r="J139" s="773"/>
      <c r="K139" s="773"/>
      <c r="L139" s="773"/>
      <c r="M139" s="774"/>
      <c r="N139" s="19"/>
      <c r="O139" s="20"/>
      <c r="P139" s="20"/>
      <c r="Q139" s="20"/>
      <c r="R139" s="20"/>
      <c r="S139" s="21"/>
      <c r="V139" s="835"/>
      <c r="W139" s="297"/>
      <c r="AB139" s="28"/>
    </row>
    <row r="140" spans="1:28" ht="18.75" customHeight="1" x14ac:dyDescent="0.25">
      <c r="A140" s="18" t="s">
        <v>1072</v>
      </c>
      <c r="B140" s="832">
        <v>0.36363796995304326</v>
      </c>
      <c r="C140" s="324" t="s">
        <v>1073</v>
      </c>
      <c r="D140" s="324">
        <v>20</v>
      </c>
      <c r="E140" s="20">
        <v>164.64</v>
      </c>
      <c r="F140" s="20">
        <f t="shared" si="12"/>
        <v>39.661775999999996</v>
      </c>
      <c r="G140" s="21">
        <f t="shared" si="13"/>
        <v>204.30177599999999</v>
      </c>
      <c r="H140" s="833"/>
      <c r="I140" s="773"/>
      <c r="J140" s="773"/>
      <c r="K140" s="773"/>
      <c r="L140" s="773"/>
      <c r="M140" s="774"/>
      <c r="N140" s="19"/>
      <c r="O140" s="20"/>
      <c r="P140" s="20"/>
      <c r="Q140" s="20"/>
      <c r="R140" s="20"/>
      <c r="S140" s="21"/>
      <c r="V140" s="297"/>
      <c r="W140" s="297"/>
      <c r="AB140" s="28"/>
    </row>
    <row r="141" spans="1:28" ht="36" customHeight="1" x14ac:dyDescent="0.25">
      <c r="A141" s="18" t="s">
        <v>1074</v>
      </c>
      <c r="B141" s="323">
        <v>1</v>
      </c>
      <c r="C141" s="324">
        <v>2277</v>
      </c>
      <c r="D141" s="324">
        <v>20</v>
      </c>
      <c r="E141" s="20">
        <f>20.7+434.7</f>
        <v>455.4</v>
      </c>
      <c r="F141" s="20">
        <f t="shared" si="12"/>
        <v>109.70586</v>
      </c>
      <c r="G141" s="21">
        <f t="shared" si="13"/>
        <v>565.10586000000001</v>
      </c>
      <c r="H141" s="833"/>
      <c r="I141" s="773"/>
      <c r="J141" s="773"/>
      <c r="K141" s="773"/>
      <c r="L141" s="773"/>
      <c r="M141" s="774"/>
      <c r="N141" s="19"/>
      <c r="O141" s="20"/>
      <c r="P141" s="20"/>
      <c r="Q141" s="20"/>
      <c r="R141" s="20"/>
      <c r="S141" s="21"/>
      <c r="V141" s="297"/>
      <c r="W141" s="297"/>
      <c r="AB141" s="28"/>
    </row>
    <row r="142" spans="1:28" ht="21" customHeight="1" x14ac:dyDescent="0.25">
      <c r="A142" s="18" t="s">
        <v>1075</v>
      </c>
      <c r="B142" s="323">
        <v>1</v>
      </c>
      <c r="C142" s="324">
        <v>2353</v>
      </c>
      <c r="D142" s="324">
        <v>20</v>
      </c>
      <c r="E142" s="20">
        <v>470.6</v>
      </c>
      <c r="F142" s="20">
        <f t="shared" si="12"/>
        <v>113.36754000000001</v>
      </c>
      <c r="G142" s="21">
        <f t="shared" si="13"/>
        <v>583.96753999999999</v>
      </c>
      <c r="H142" s="833">
        <v>1</v>
      </c>
      <c r="I142" s="324">
        <v>2353</v>
      </c>
      <c r="J142" s="324">
        <v>20</v>
      </c>
      <c r="K142" s="773">
        <v>470.6</v>
      </c>
      <c r="L142" s="773">
        <f t="shared" ref="L142" si="14">K142*0.2409</f>
        <v>113.36754000000001</v>
      </c>
      <c r="M142" s="774">
        <f t="shared" ref="M142" si="15">K142+L142</f>
        <v>583.96753999999999</v>
      </c>
      <c r="N142" s="19"/>
      <c r="O142" s="20"/>
      <c r="P142" s="20"/>
      <c r="Q142" s="20"/>
      <c r="R142" s="20"/>
      <c r="S142" s="21"/>
      <c r="V142" s="297"/>
      <c r="W142" s="297"/>
      <c r="AB142" s="28"/>
    </row>
    <row r="143" spans="1:28" ht="36" customHeight="1" x14ac:dyDescent="0.25">
      <c r="A143" s="18" t="s">
        <v>1076</v>
      </c>
      <c r="B143" s="323">
        <v>0.95453834115805958</v>
      </c>
      <c r="C143" s="324">
        <v>1917</v>
      </c>
      <c r="D143" s="324">
        <v>20</v>
      </c>
      <c r="E143" s="20">
        <v>365.97</v>
      </c>
      <c r="F143" s="20">
        <f t="shared" si="12"/>
        <v>88.16217300000001</v>
      </c>
      <c r="G143" s="21">
        <f t="shared" si="13"/>
        <v>454.13217300000002</v>
      </c>
      <c r="H143" s="833"/>
      <c r="I143" s="773"/>
      <c r="J143" s="773"/>
      <c r="K143" s="773"/>
      <c r="L143" s="773"/>
      <c r="M143" s="774"/>
      <c r="N143" s="19"/>
      <c r="O143" s="20"/>
      <c r="P143" s="20"/>
      <c r="Q143" s="20"/>
      <c r="R143" s="20"/>
      <c r="S143" s="21"/>
      <c r="V143" s="297"/>
      <c r="W143" s="297"/>
      <c r="AB143" s="28"/>
    </row>
    <row r="144" spans="1:28" ht="20.25" customHeight="1" x14ac:dyDescent="0.25">
      <c r="A144" s="18" t="s">
        <v>1077</v>
      </c>
      <c r="B144" s="323">
        <v>1</v>
      </c>
      <c r="C144" s="324">
        <v>1647</v>
      </c>
      <c r="D144" s="324">
        <v>20</v>
      </c>
      <c r="E144" s="20">
        <v>329.4</v>
      </c>
      <c r="F144" s="20">
        <f t="shared" si="12"/>
        <v>79.352459999999994</v>
      </c>
      <c r="G144" s="21">
        <f t="shared" si="13"/>
        <v>408.75245999999999</v>
      </c>
      <c r="H144" s="833"/>
      <c r="I144" s="773"/>
      <c r="J144" s="773"/>
      <c r="K144" s="773"/>
      <c r="L144" s="773"/>
      <c r="M144" s="774"/>
      <c r="N144" s="19"/>
      <c r="O144" s="20"/>
      <c r="P144" s="20"/>
      <c r="Q144" s="20"/>
      <c r="R144" s="20"/>
      <c r="S144" s="21"/>
      <c r="V144" s="297"/>
      <c r="W144" s="297"/>
      <c r="AB144" s="28"/>
    </row>
    <row r="145" spans="1:28" ht="17.25" customHeight="1" x14ac:dyDescent="0.25">
      <c r="A145" s="18" t="s">
        <v>1078</v>
      </c>
      <c r="B145" s="323">
        <v>1</v>
      </c>
      <c r="C145" s="324">
        <v>1532</v>
      </c>
      <c r="D145" s="324">
        <v>10</v>
      </c>
      <c r="E145" s="20">
        <v>153.19999999999999</v>
      </c>
      <c r="F145" s="20">
        <f t="shared" si="12"/>
        <v>36.905879999999996</v>
      </c>
      <c r="G145" s="21">
        <f t="shared" si="13"/>
        <v>190.10587999999998</v>
      </c>
      <c r="H145" s="833"/>
      <c r="I145" s="773"/>
      <c r="J145" s="773"/>
      <c r="K145" s="773"/>
      <c r="L145" s="773"/>
      <c r="M145" s="774"/>
      <c r="N145" s="19"/>
      <c r="O145" s="20"/>
      <c r="P145" s="20"/>
      <c r="Q145" s="20"/>
      <c r="R145" s="20"/>
      <c r="S145" s="21"/>
      <c r="V145" s="297"/>
      <c r="W145" s="297"/>
      <c r="AB145" s="28"/>
    </row>
    <row r="146" spans="1:28" x14ac:dyDescent="0.25">
      <c r="A146" s="18" t="s">
        <v>1079</v>
      </c>
      <c r="B146" s="323">
        <v>0.18181571815718153</v>
      </c>
      <c r="C146" s="324">
        <v>1230</v>
      </c>
      <c r="D146" s="324">
        <v>30</v>
      </c>
      <c r="E146" s="20">
        <v>67.089999999999989</v>
      </c>
      <c r="F146" s="20">
        <f t="shared" si="12"/>
        <v>16.161980999999997</v>
      </c>
      <c r="G146" s="21">
        <f t="shared" si="13"/>
        <v>83.251980999999986</v>
      </c>
      <c r="H146" s="833"/>
      <c r="I146" s="773"/>
      <c r="J146" s="773"/>
      <c r="K146" s="773"/>
      <c r="L146" s="773"/>
      <c r="M146" s="774"/>
      <c r="N146" s="19"/>
      <c r="O146" s="20"/>
      <c r="P146" s="20"/>
      <c r="Q146" s="20"/>
      <c r="R146" s="20"/>
      <c r="S146" s="21"/>
      <c r="V146" s="297"/>
      <c r="W146" s="297"/>
      <c r="AB146" s="28"/>
    </row>
    <row r="147" spans="1:28" x14ac:dyDescent="0.25">
      <c r="A147" s="18" t="s">
        <v>1079</v>
      </c>
      <c r="B147" s="323">
        <v>4.5454545454545456E-2</v>
      </c>
      <c r="C147" s="324">
        <v>1287</v>
      </c>
      <c r="D147" s="324">
        <v>30</v>
      </c>
      <c r="E147" s="20">
        <v>17.55</v>
      </c>
      <c r="F147" s="20">
        <f t="shared" si="12"/>
        <v>4.2277950000000004</v>
      </c>
      <c r="G147" s="21">
        <f t="shared" si="13"/>
        <v>21.777795000000001</v>
      </c>
      <c r="H147" s="833"/>
      <c r="I147" s="773"/>
      <c r="J147" s="773"/>
      <c r="K147" s="773"/>
      <c r="L147" s="773"/>
      <c r="M147" s="774"/>
      <c r="N147" s="19"/>
      <c r="O147" s="20"/>
      <c r="P147" s="20"/>
      <c r="Q147" s="20"/>
      <c r="R147" s="20"/>
      <c r="S147" s="21"/>
      <c r="V147" s="297"/>
      <c r="W147" s="297"/>
      <c r="AB147" s="28"/>
    </row>
    <row r="148" spans="1:28" ht="17.25" customHeight="1" x14ac:dyDescent="0.25">
      <c r="A148" s="18" t="s">
        <v>1080</v>
      </c>
      <c r="B148" s="323">
        <v>0.25</v>
      </c>
      <c r="C148" s="324">
        <v>1090</v>
      </c>
      <c r="D148" s="324">
        <v>20</v>
      </c>
      <c r="E148" s="20">
        <v>54.5</v>
      </c>
      <c r="F148" s="20">
        <f t="shared" si="12"/>
        <v>13.129049999999999</v>
      </c>
      <c r="G148" s="21">
        <f t="shared" si="13"/>
        <v>67.629050000000007</v>
      </c>
      <c r="H148" s="833"/>
      <c r="I148" s="773"/>
      <c r="J148" s="773"/>
      <c r="K148" s="773"/>
      <c r="L148" s="773"/>
      <c r="M148" s="774"/>
      <c r="N148" s="19"/>
      <c r="O148" s="20"/>
      <c r="P148" s="20"/>
      <c r="Q148" s="20"/>
      <c r="R148" s="20"/>
      <c r="S148" s="21"/>
      <c r="V148" s="297"/>
      <c r="W148" s="297"/>
      <c r="AB148" s="28"/>
    </row>
    <row r="149" spans="1:28" x14ac:dyDescent="0.25">
      <c r="A149" s="18" t="s">
        <v>1080</v>
      </c>
      <c r="B149" s="323">
        <v>0.45455072463768115</v>
      </c>
      <c r="C149" s="324">
        <v>1150</v>
      </c>
      <c r="D149" s="324">
        <v>30</v>
      </c>
      <c r="E149" s="20">
        <v>156.82</v>
      </c>
      <c r="F149" s="20">
        <f t="shared" si="12"/>
        <v>37.777937999999999</v>
      </c>
      <c r="G149" s="21">
        <f t="shared" si="13"/>
        <v>194.597938</v>
      </c>
      <c r="H149" s="833"/>
      <c r="I149" s="773"/>
      <c r="J149" s="773"/>
      <c r="K149" s="773"/>
      <c r="L149" s="773"/>
      <c r="M149" s="774"/>
      <c r="N149" s="19"/>
      <c r="O149" s="20"/>
      <c r="P149" s="20"/>
      <c r="Q149" s="20"/>
      <c r="R149" s="20"/>
      <c r="S149" s="21"/>
      <c r="V149" s="297"/>
      <c r="W149" s="297"/>
      <c r="AB149" s="28"/>
    </row>
    <row r="150" spans="1:28" x14ac:dyDescent="0.25">
      <c r="A150" s="18" t="s">
        <v>1080</v>
      </c>
      <c r="B150" s="323">
        <v>0.45453781512605046</v>
      </c>
      <c r="C150" s="324">
        <v>1190</v>
      </c>
      <c r="D150" s="324">
        <v>30</v>
      </c>
      <c r="E150" s="20">
        <v>162.27000000000001</v>
      </c>
      <c r="F150" s="20">
        <f t="shared" si="12"/>
        <v>39.090843</v>
      </c>
      <c r="G150" s="21">
        <f t="shared" si="13"/>
        <v>201.36084300000002</v>
      </c>
      <c r="H150" s="833"/>
      <c r="I150" s="773"/>
      <c r="J150" s="773"/>
      <c r="K150" s="773"/>
      <c r="L150" s="773"/>
      <c r="M150" s="774"/>
      <c r="N150" s="19"/>
      <c r="O150" s="20"/>
      <c r="P150" s="20"/>
      <c r="Q150" s="20"/>
      <c r="R150" s="20"/>
      <c r="S150" s="21"/>
      <c r="V150" s="297"/>
      <c r="W150" s="297"/>
      <c r="AB150" s="28"/>
    </row>
    <row r="151" spans="1:28" x14ac:dyDescent="0.25">
      <c r="A151" s="18" t="s">
        <v>1080</v>
      </c>
      <c r="B151" s="323">
        <v>0.75</v>
      </c>
      <c r="C151" s="324">
        <v>835</v>
      </c>
      <c r="D151" s="324">
        <v>20</v>
      </c>
      <c r="E151" s="20">
        <v>125.25</v>
      </c>
      <c r="F151" s="20">
        <f t="shared" si="12"/>
        <v>30.172725</v>
      </c>
      <c r="G151" s="21">
        <f t="shared" si="13"/>
        <v>155.42272500000001</v>
      </c>
      <c r="H151" s="833"/>
      <c r="I151" s="773"/>
      <c r="J151" s="773"/>
      <c r="K151" s="773"/>
      <c r="L151" s="773"/>
      <c r="M151" s="774"/>
      <c r="N151" s="19"/>
      <c r="O151" s="20"/>
      <c r="P151" s="20"/>
      <c r="Q151" s="20"/>
      <c r="R151" s="20"/>
      <c r="S151" s="21"/>
      <c r="V151" s="297"/>
      <c r="W151" s="297"/>
      <c r="AB151" s="28"/>
    </row>
    <row r="152" spans="1:28" ht="36" customHeight="1" x14ac:dyDescent="0.25">
      <c r="A152" s="18" t="s">
        <v>1081</v>
      </c>
      <c r="B152" s="323">
        <v>0.54546550892426438</v>
      </c>
      <c r="C152" s="324">
        <v>1382</v>
      </c>
      <c r="D152" s="324">
        <v>30</v>
      </c>
      <c r="E152" s="20">
        <v>226.15</v>
      </c>
      <c r="F152" s="20">
        <f t="shared" si="12"/>
        <v>54.479535000000006</v>
      </c>
      <c r="G152" s="21">
        <f t="shared" si="13"/>
        <v>280.62953500000003</v>
      </c>
      <c r="H152" s="833"/>
      <c r="I152" s="773"/>
      <c r="J152" s="773"/>
      <c r="K152" s="773"/>
      <c r="L152" s="773"/>
      <c r="M152" s="774"/>
      <c r="N152" s="19"/>
      <c r="O152" s="20"/>
      <c r="P152" s="20"/>
      <c r="Q152" s="20"/>
      <c r="R152" s="20"/>
      <c r="S152" s="21"/>
      <c r="V152" s="297"/>
      <c r="W152" s="297"/>
      <c r="AB152" s="28"/>
    </row>
    <row r="153" spans="1:28" x14ac:dyDescent="0.25">
      <c r="A153" s="18" t="s">
        <v>1082</v>
      </c>
      <c r="B153" s="323">
        <v>0.45455861070911724</v>
      </c>
      <c r="C153" s="324">
        <v>1382</v>
      </c>
      <c r="D153" s="324">
        <v>30</v>
      </c>
      <c r="E153" s="20">
        <v>188.46</v>
      </c>
      <c r="F153" s="20">
        <f t="shared" si="12"/>
        <v>45.400014000000006</v>
      </c>
      <c r="G153" s="21">
        <f t="shared" si="13"/>
        <v>233.86001400000001</v>
      </c>
      <c r="H153" s="833"/>
      <c r="I153" s="773"/>
      <c r="J153" s="773"/>
      <c r="K153" s="773"/>
      <c r="L153" s="773"/>
      <c r="M153" s="774"/>
      <c r="N153" s="19"/>
      <c r="O153" s="20"/>
      <c r="P153" s="20"/>
      <c r="Q153" s="20"/>
      <c r="R153" s="20"/>
      <c r="S153" s="21"/>
      <c r="V153" s="297"/>
      <c r="W153" s="297"/>
      <c r="AB153" s="28"/>
    </row>
    <row r="154" spans="1:28" ht="20.25" customHeight="1" x14ac:dyDescent="0.25">
      <c r="A154" s="18" t="s">
        <v>1083</v>
      </c>
      <c r="B154" s="323">
        <v>0.95453834115805958</v>
      </c>
      <c r="C154" s="324">
        <v>1917</v>
      </c>
      <c r="D154" s="324">
        <v>20</v>
      </c>
      <c r="E154" s="20">
        <v>365.97</v>
      </c>
      <c r="F154" s="20">
        <f t="shared" si="12"/>
        <v>88.16217300000001</v>
      </c>
      <c r="G154" s="21">
        <f t="shared" si="13"/>
        <v>454.13217300000002</v>
      </c>
      <c r="H154" s="833"/>
      <c r="I154" s="773"/>
      <c r="J154" s="773"/>
      <c r="K154" s="773"/>
      <c r="L154" s="773"/>
      <c r="M154" s="774"/>
      <c r="N154" s="19"/>
      <c r="O154" s="20"/>
      <c r="P154" s="20"/>
      <c r="Q154" s="20"/>
      <c r="R154" s="20"/>
      <c r="S154" s="21"/>
      <c r="V154" s="297"/>
      <c r="W154" s="297"/>
      <c r="AB154" s="28"/>
    </row>
    <row r="155" spans="1:28" x14ac:dyDescent="0.25">
      <c r="A155" s="18" t="s">
        <v>1084</v>
      </c>
      <c r="B155" s="323">
        <v>0.86363084395871292</v>
      </c>
      <c r="C155" s="324">
        <v>1647</v>
      </c>
      <c r="D155" s="324">
        <v>20</v>
      </c>
      <c r="E155" s="20">
        <v>284.48</v>
      </c>
      <c r="F155" s="20">
        <f t="shared" si="12"/>
        <v>68.531232000000003</v>
      </c>
      <c r="G155" s="21">
        <f t="shared" si="13"/>
        <v>353.01123200000001</v>
      </c>
      <c r="H155" s="833"/>
      <c r="I155" s="773"/>
      <c r="J155" s="773"/>
      <c r="K155" s="773"/>
      <c r="L155" s="773"/>
      <c r="M155" s="774"/>
      <c r="N155" s="19"/>
      <c r="O155" s="20"/>
      <c r="P155" s="20"/>
      <c r="Q155" s="20"/>
      <c r="R155" s="20"/>
      <c r="S155" s="21"/>
      <c r="V155" s="297"/>
      <c r="W155" s="297"/>
      <c r="AB155" s="28"/>
    </row>
    <row r="156" spans="1:28" x14ac:dyDescent="0.25">
      <c r="A156" s="18" t="s">
        <v>1085</v>
      </c>
      <c r="B156" s="323">
        <v>1</v>
      </c>
      <c r="C156" s="324">
        <v>2050</v>
      </c>
      <c r="D156" s="324">
        <v>20</v>
      </c>
      <c r="E156" s="20">
        <v>410</v>
      </c>
      <c r="F156" s="20">
        <f t="shared" si="12"/>
        <v>98.769000000000005</v>
      </c>
      <c r="G156" s="21">
        <f t="shared" si="13"/>
        <v>508.76900000000001</v>
      </c>
      <c r="H156" s="833"/>
      <c r="I156" s="773"/>
      <c r="J156" s="773"/>
      <c r="K156" s="773"/>
      <c r="L156" s="773"/>
      <c r="M156" s="774"/>
      <c r="N156" s="19"/>
      <c r="O156" s="20"/>
      <c r="P156" s="20"/>
      <c r="Q156" s="20"/>
      <c r="R156" s="20"/>
      <c r="S156" s="21"/>
      <c r="V156" s="297"/>
      <c r="W156" s="297"/>
      <c r="AB156" s="28"/>
    </row>
    <row r="157" spans="1:28" ht="36" customHeight="1" x14ac:dyDescent="0.25">
      <c r="A157" s="18" t="s">
        <v>1086</v>
      </c>
      <c r="B157" s="323">
        <v>0.62044138929088288</v>
      </c>
      <c r="C157" s="324">
        <v>1382</v>
      </c>
      <c r="D157" s="324">
        <v>20</v>
      </c>
      <c r="E157" s="20">
        <v>171.49</v>
      </c>
      <c r="F157" s="20">
        <f t="shared" si="12"/>
        <v>41.311941000000004</v>
      </c>
      <c r="G157" s="21">
        <f t="shared" si="13"/>
        <v>212.801941</v>
      </c>
      <c r="H157" s="833"/>
      <c r="I157" s="773"/>
      <c r="J157" s="773"/>
      <c r="K157" s="773"/>
      <c r="L157" s="773"/>
      <c r="M157" s="774"/>
      <c r="N157" s="19"/>
      <c r="O157" s="20"/>
      <c r="P157" s="20"/>
      <c r="Q157" s="20"/>
      <c r="R157" s="20"/>
      <c r="S157" s="21"/>
      <c r="V157" s="297"/>
      <c r="W157" s="297"/>
      <c r="AB157" s="28"/>
    </row>
    <row r="158" spans="1:28" ht="36" customHeight="1" x14ac:dyDescent="0.25">
      <c r="A158" s="18" t="s">
        <v>1087</v>
      </c>
      <c r="B158" s="323">
        <v>0.65000000000000013</v>
      </c>
      <c r="C158" s="324">
        <v>1647</v>
      </c>
      <c r="D158" s="324">
        <v>20</v>
      </c>
      <c r="E158" s="20">
        <v>214.11</v>
      </c>
      <c r="F158" s="20">
        <f t="shared" si="12"/>
        <v>51.579099000000006</v>
      </c>
      <c r="G158" s="21">
        <f t="shared" si="13"/>
        <v>265.689099</v>
      </c>
      <c r="H158" s="833"/>
      <c r="I158" s="773"/>
      <c r="J158" s="773"/>
      <c r="K158" s="773"/>
      <c r="L158" s="773"/>
      <c r="M158" s="774"/>
      <c r="N158" s="19"/>
      <c r="O158" s="20"/>
      <c r="P158" s="20"/>
      <c r="Q158" s="20"/>
      <c r="R158" s="20"/>
      <c r="S158" s="21"/>
      <c r="V158" s="297"/>
      <c r="W158" s="297"/>
      <c r="AB158" s="28"/>
    </row>
    <row r="159" spans="1:28" x14ac:dyDescent="0.25">
      <c r="A159" s="18" t="s">
        <v>1088</v>
      </c>
      <c r="B159" s="323">
        <v>1</v>
      </c>
      <c r="C159" s="324">
        <v>1550</v>
      </c>
      <c r="D159" s="324">
        <v>20</v>
      </c>
      <c r="E159" s="20">
        <v>310</v>
      </c>
      <c r="F159" s="20">
        <f t="shared" si="12"/>
        <v>74.679000000000002</v>
      </c>
      <c r="G159" s="21">
        <f t="shared" si="13"/>
        <v>384.67899999999997</v>
      </c>
      <c r="H159" s="833"/>
      <c r="I159" s="773"/>
      <c r="J159" s="773"/>
      <c r="K159" s="773"/>
      <c r="L159" s="773"/>
      <c r="M159" s="774"/>
      <c r="N159" s="19"/>
      <c r="O159" s="20"/>
      <c r="P159" s="20"/>
      <c r="Q159" s="20"/>
      <c r="R159" s="20"/>
      <c r="S159" s="21"/>
      <c r="V159" s="297"/>
      <c r="W159" s="297"/>
      <c r="AB159" s="28"/>
    </row>
    <row r="160" spans="1:28" x14ac:dyDescent="0.25">
      <c r="A160" s="18" t="s">
        <v>1089</v>
      </c>
      <c r="B160" s="323">
        <v>0.22730158730158728</v>
      </c>
      <c r="C160" s="324">
        <v>1050</v>
      </c>
      <c r="D160" s="324">
        <v>30</v>
      </c>
      <c r="E160" s="20">
        <v>71.599999999999994</v>
      </c>
      <c r="F160" s="20">
        <f t="shared" si="12"/>
        <v>17.248439999999999</v>
      </c>
      <c r="G160" s="21">
        <f t="shared" si="13"/>
        <v>88.848439999999997</v>
      </c>
      <c r="H160" s="833"/>
      <c r="I160" s="773"/>
      <c r="J160" s="773"/>
      <c r="K160" s="773"/>
      <c r="L160" s="773"/>
      <c r="M160" s="774"/>
      <c r="N160" s="19"/>
      <c r="O160" s="20"/>
      <c r="P160" s="20"/>
      <c r="Q160" s="20"/>
      <c r="R160" s="20"/>
      <c r="S160" s="21"/>
      <c r="V160" s="297"/>
      <c r="W160" s="297"/>
      <c r="AB160" s="28"/>
    </row>
    <row r="161" spans="1:28" x14ac:dyDescent="0.25">
      <c r="A161" s="18" t="s">
        <v>1090</v>
      </c>
      <c r="B161" s="323">
        <v>9.087719298245614E-2</v>
      </c>
      <c r="C161" s="324">
        <v>950</v>
      </c>
      <c r="D161" s="324">
        <v>30</v>
      </c>
      <c r="E161" s="20">
        <v>25.9</v>
      </c>
      <c r="F161" s="20">
        <f t="shared" si="12"/>
        <v>6.2393099999999997</v>
      </c>
      <c r="G161" s="21">
        <f t="shared" si="13"/>
        <v>32.139309999999995</v>
      </c>
      <c r="H161" s="833"/>
      <c r="I161" s="773"/>
      <c r="J161" s="773"/>
      <c r="K161" s="773"/>
      <c r="L161" s="773"/>
      <c r="M161" s="774"/>
      <c r="N161" s="19"/>
      <c r="O161" s="20"/>
      <c r="P161" s="20"/>
      <c r="Q161" s="20"/>
      <c r="R161" s="20"/>
      <c r="S161" s="21"/>
      <c r="V161" s="297"/>
      <c r="W161" s="297"/>
      <c r="AB161" s="28"/>
    </row>
    <row r="162" spans="1:28" x14ac:dyDescent="0.25">
      <c r="A162" s="18" t="s">
        <v>1091</v>
      </c>
      <c r="B162" s="323">
        <v>1</v>
      </c>
      <c r="C162" s="324">
        <v>1287</v>
      </c>
      <c r="D162" s="324">
        <v>10</v>
      </c>
      <c r="E162" s="20">
        <v>128.69999999999999</v>
      </c>
      <c r="F162" s="20">
        <f t="shared" si="12"/>
        <v>31.003829999999997</v>
      </c>
      <c r="G162" s="21">
        <f t="shared" si="13"/>
        <v>159.70382999999998</v>
      </c>
      <c r="H162" s="833"/>
      <c r="I162" s="773"/>
      <c r="J162" s="773"/>
      <c r="K162" s="773"/>
      <c r="L162" s="773"/>
      <c r="M162" s="774"/>
      <c r="N162" s="19"/>
      <c r="O162" s="20"/>
      <c r="P162" s="20"/>
      <c r="Q162" s="20"/>
      <c r="R162" s="20"/>
      <c r="S162" s="21"/>
      <c r="V162" s="297"/>
      <c r="W162" s="297"/>
      <c r="AB162" s="28"/>
    </row>
    <row r="163" spans="1:28" x14ac:dyDescent="0.25">
      <c r="A163" s="18" t="s">
        <v>1092</v>
      </c>
      <c r="B163" s="323">
        <v>1</v>
      </c>
      <c r="C163" s="324">
        <v>1850</v>
      </c>
      <c r="D163" s="324">
        <v>20</v>
      </c>
      <c r="E163" s="20">
        <v>370</v>
      </c>
      <c r="F163" s="20">
        <f t="shared" si="12"/>
        <v>89.132999999999996</v>
      </c>
      <c r="G163" s="21">
        <f t="shared" si="13"/>
        <v>459.13299999999998</v>
      </c>
      <c r="H163" s="833"/>
      <c r="I163" s="773"/>
      <c r="J163" s="773"/>
      <c r="K163" s="773"/>
      <c r="L163" s="773"/>
      <c r="M163" s="774"/>
      <c r="N163" s="19"/>
      <c r="O163" s="20"/>
      <c r="P163" s="20"/>
      <c r="Q163" s="20"/>
      <c r="R163" s="20"/>
      <c r="S163" s="21"/>
      <c r="V163" s="297"/>
      <c r="W163" s="297"/>
      <c r="AB163" s="28"/>
    </row>
    <row r="164" spans="1:28" ht="36" customHeight="1" x14ac:dyDescent="0.25">
      <c r="A164" s="18" t="s">
        <v>1093</v>
      </c>
      <c r="B164" s="323">
        <v>1</v>
      </c>
      <c r="C164" s="324">
        <v>2200</v>
      </c>
      <c r="D164" s="324">
        <v>20</v>
      </c>
      <c r="E164" s="20">
        <v>440</v>
      </c>
      <c r="F164" s="20">
        <f t="shared" si="12"/>
        <v>105.996</v>
      </c>
      <c r="G164" s="21">
        <f t="shared" si="13"/>
        <v>545.99599999999998</v>
      </c>
      <c r="H164" s="833"/>
      <c r="I164" s="773"/>
      <c r="J164" s="773"/>
      <c r="K164" s="773"/>
      <c r="L164" s="773"/>
      <c r="M164" s="774"/>
      <c r="N164" s="19"/>
      <c r="O164" s="20"/>
      <c r="P164" s="20"/>
      <c r="Q164" s="20"/>
      <c r="R164" s="20"/>
      <c r="S164" s="21"/>
      <c r="V164" s="297"/>
      <c r="W164" s="297"/>
      <c r="AB164" s="28"/>
    </row>
    <row r="165" spans="1:28" x14ac:dyDescent="0.25">
      <c r="A165" s="18" t="s">
        <v>1094</v>
      </c>
      <c r="B165" s="323">
        <v>1</v>
      </c>
      <c r="C165" s="324">
        <v>1647</v>
      </c>
      <c r="D165" s="324">
        <v>10</v>
      </c>
      <c r="E165" s="20">
        <v>164.7</v>
      </c>
      <c r="F165" s="20">
        <f t="shared" si="12"/>
        <v>39.676229999999997</v>
      </c>
      <c r="G165" s="21">
        <f t="shared" si="13"/>
        <v>204.37622999999999</v>
      </c>
      <c r="H165" s="833"/>
      <c r="I165" s="773"/>
      <c r="J165" s="773"/>
      <c r="K165" s="773"/>
      <c r="L165" s="773"/>
      <c r="M165" s="774"/>
      <c r="N165" s="19"/>
      <c r="O165" s="20"/>
      <c r="P165" s="20"/>
      <c r="Q165" s="20"/>
      <c r="R165" s="20"/>
      <c r="S165" s="21"/>
      <c r="V165" s="297"/>
      <c r="W165" s="297"/>
      <c r="AB165" s="28"/>
    </row>
    <row r="166" spans="1:28" x14ac:dyDescent="0.25">
      <c r="A166" s="18" t="s">
        <v>1095</v>
      </c>
      <c r="B166" s="323">
        <v>1</v>
      </c>
      <c r="C166" s="324">
        <v>1382</v>
      </c>
      <c r="D166" s="324">
        <v>20</v>
      </c>
      <c r="E166" s="20">
        <v>276.39999999999998</v>
      </c>
      <c r="F166" s="20">
        <f t="shared" si="12"/>
        <v>66.584759999999989</v>
      </c>
      <c r="G166" s="21">
        <f t="shared" si="13"/>
        <v>342.98475999999994</v>
      </c>
      <c r="H166" s="833"/>
      <c r="I166" s="773"/>
      <c r="J166" s="773"/>
      <c r="K166" s="773"/>
      <c r="L166" s="773"/>
      <c r="M166" s="774"/>
      <c r="N166" s="19"/>
      <c r="O166" s="20"/>
      <c r="P166" s="20"/>
      <c r="Q166" s="20"/>
      <c r="R166" s="20"/>
      <c r="S166" s="21"/>
      <c r="V166" s="297"/>
      <c r="W166" s="297"/>
      <c r="AB166" s="28"/>
    </row>
    <row r="167" spans="1:28" x14ac:dyDescent="0.25">
      <c r="A167" s="18" t="s">
        <v>1096</v>
      </c>
      <c r="B167" s="323">
        <v>0.95</v>
      </c>
      <c r="C167" s="324">
        <v>1850</v>
      </c>
      <c r="D167" s="324">
        <v>20</v>
      </c>
      <c r="E167" s="20">
        <v>351.5</v>
      </c>
      <c r="F167" s="20">
        <f t="shared" si="12"/>
        <v>84.676349999999999</v>
      </c>
      <c r="G167" s="21">
        <f t="shared" si="13"/>
        <v>436.17635000000001</v>
      </c>
      <c r="H167" s="833"/>
      <c r="I167" s="773"/>
      <c r="J167" s="773"/>
      <c r="K167" s="773"/>
      <c r="L167" s="773"/>
      <c r="M167" s="774"/>
      <c r="N167" s="19"/>
      <c r="O167" s="20"/>
      <c r="P167" s="20"/>
      <c r="Q167" s="20"/>
      <c r="R167" s="20"/>
      <c r="S167" s="21"/>
      <c r="V167" s="297"/>
      <c r="W167" s="297"/>
      <c r="AB167" s="28"/>
    </row>
    <row r="168" spans="1:28" x14ac:dyDescent="0.25">
      <c r="A168" s="18" t="s">
        <v>1097</v>
      </c>
      <c r="B168" s="323">
        <v>1</v>
      </c>
      <c r="C168" s="324">
        <v>1860</v>
      </c>
      <c r="D168" s="324">
        <v>20</v>
      </c>
      <c r="E168" s="20">
        <v>372</v>
      </c>
      <c r="F168" s="20">
        <f t="shared" si="12"/>
        <v>89.614800000000002</v>
      </c>
      <c r="G168" s="21">
        <f t="shared" si="13"/>
        <v>461.6148</v>
      </c>
      <c r="H168" s="833"/>
      <c r="I168" s="773"/>
      <c r="J168" s="773"/>
      <c r="K168" s="773"/>
      <c r="L168" s="773"/>
      <c r="M168" s="774"/>
      <c r="N168" s="19"/>
      <c r="O168" s="20"/>
      <c r="P168" s="20"/>
      <c r="Q168" s="20"/>
      <c r="R168" s="20"/>
      <c r="S168" s="21"/>
      <c r="V168" s="297"/>
      <c r="W168" s="297"/>
      <c r="AB168" s="28"/>
    </row>
    <row r="169" spans="1:28" x14ac:dyDescent="0.25">
      <c r="A169" s="18" t="s">
        <v>1098</v>
      </c>
      <c r="B169" s="323">
        <v>0.86363636363636365</v>
      </c>
      <c r="C169" s="324">
        <v>2200</v>
      </c>
      <c r="D169" s="324">
        <v>20</v>
      </c>
      <c r="E169" s="20">
        <v>380</v>
      </c>
      <c r="F169" s="20">
        <f t="shared" si="12"/>
        <v>91.542000000000002</v>
      </c>
      <c r="G169" s="21">
        <f t="shared" si="13"/>
        <v>471.54200000000003</v>
      </c>
      <c r="H169" s="833"/>
      <c r="I169" s="773"/>
      <c r="J169" s="773"/>
      <c r="K169" s="773"/>
      <c r="L169" s="773"/>
      <c r="M169" s="774"/>
      <c r="N169" s="19"/>
      <c r="O169" s="20"/>
      <c r="P169" s="20"/>
      <c r="Q169" s="20"/>
      <c r="R169" s="20"/>
      <c r="S169" s="21"/>
      <c r="V169" s="297"/>
      <c r="W169" s="297"/>
      <c r="AB169" s="28"/>
    </row>
    <row r="170" spans="1:28" x14ac:dyDescent="0.25">
      <c r="A170" s="18" t="s">
        <v>1099</v>
      </c>
      <c r="B170" s="323">
        <v>0.18182554138838292</v>
      </c>
      <c r="C170" s="324">
        <v>1647</v>
      </c>
      <c r="D170" s="324">
        <v>30</v>
      </c>
      <c r="E170" s="20">
        <v>89.84</v>
      </c>
      <c r="F170" s="20">
        <f t="shared" si="12"/>
        <v>21.642456000000003</v>
      </c>
      <c r="G170" s="21">
        <f t="shared" si="13"/>
        <v>111.48245600000001</v>
      </c>
      <c r="H170" s="833"/>
      <c r="I170" s="773"/>
      <c r="J170" s="773"/>
      <c r="K170" s="773"/>
      <c r="L170" s="773"/>
      <c r="M170" s="774"/>
      <c r="N170" s="19"/>
      <c r="O170" s="20"/>
      <c r="P170" s="20"/>
      <c r="Q170" s="20"/>
      <c r="R170" s="20"/>
      <c r="S170" s="21"/>
      <c r="V170" s="297"/>
      <c r="W170" s="297"/>
      <c r="AB170" s="28"/>
    </row>
    <row r="171" spans="1:28" x14ac:dyDescent="0.25">
      <c r="A171" s="18" t="s">
        <v>116</v>
      </c>
      <c r="B171" s="323">
        <v>0.36363636363636365</v>
      </c>
      <c r="C171" s="324">
        <v>1100</v>
      </c>
      <c r="D171" s="324">
        <v>30</v>
      </c>
      <c r="E171" s="20">
        <v>120</v>
      </c>
      <c r="F171" s="20">
        <f t="shared" si="12"/>
        <v>28.908000000000001</v>
      </c>
      <c r="G171" s="21">
        <f t="shared" si="13"/>
        <v>148.90800000000002</v>
      </c>
      <c r="H171" s="833"/>
      <c r="I171" s="773"/>
      <c r="J171" s="773"/>
      <c r="K171" s="773"/>
      <c r="L171" s="773"/>
      <c r="M171" s="774"/>
      <c r="N171" s="19"/>
      <c r="O171" s="20"/>
      <c r="P171" s="20"/>
      <c r="Q171" s="20"/>
      <c r="R171" s="20"/>
      <c r="S171" s="21"/>
      <c r="V171" s="297"/>
      <c r="W171" s="297"/>
      <c r="AB171" s="28"/>
    </row>
    <row r="172" spans="1:28" x14ac:dyDescent="0.25">
      <c r="A172" s="18" t="s">
        <v>1100</v>
      </c>
      <c r="B172" s="323">
        <v>9.0913978494623654E-2</v>
      </c>
      <c r="C172" s="324">
        <v>1860</v>
      </c>
      <c r="D172" s="324">
        <v>30</v>
      </c>
      <c r="E172" s="20">
        <v>50.73</v>
      </c>
      <c r="F172" s="20">
        <f t="shared" si="12"/>
        <v>12.220856999999999</v>
      </c>
      <c r="G172" s="21">
        <f t="shared" si="13"/>
        <v>62.950856999999999</v>
      </c>
      <c r="H172" s="833"/>
      <c r="I172" s="773"/>
      <c r="J172" s="773"/>
      <c r="K172" s="773"/>
      <c r="L172" s="773"/>
      <c r="M172" s="774"/>
      <c r="N172" s="19"/>
      <c r="O172" s="20"/>
      <c r="P172" s="20"/>
      <c r="Q172" s="20"/>
      <c r="R172" s="20"/>
      <c r="S172" s="21"/>
      <c r="V172" s="297"/>
      <c r="W172" s="297"/>
      <c r="AB172" s="28"/>
    </row>
    <row r="173" spans="1:28" x14ac:dyDescent="0.25">
      <c r="A173" s="18" t="s">
        <v>1101</v>
      </c>
      <c r="B173" s="323">
        <v>1</v>
      </c>
      <c r="C173" s="324">
        <v>1917</v>
      </c>
      <c r="D173" s="324">
        <v>20</v>
      </c>
      <c r="E173" s="20">
        <v>383.4</v>
      </c>
      <c r="F173" s="20">
        <f t="shared" si="12"/>
        <v>92.361059999999995</v>
      </c>
      <c r="G173" s="21">
        <f t="shared" si="13"/>
        <v>475.76105999999999</v>
      </c>
      <c r="H173" s="833"/>
      <c r="I173" s="773"/>
      <c r="J173" s="773"/>
      <c r="K173" s="773"/>
      <c r="L173" s="773"/>
      <c r="M173" s="774"/>
      <c r="N173" s="19"/>
      <c r="O173" s="20"/>
      <c r="P173" s="20"/>
      <c r="Q173" s="20"/>
      <c r="R173" s="20"/>
      <c r="S173" s="21"/>
      <c r="V173" s="297"/>
      <c r="W173" s="297"/>
      <c r="AB173" s="28"/>
    </row>
    <row r="174" spans="1:28" x14ac:dyDescent="0.25">
      <c r="A174" s="18" t="s">
        <v>1102</v>
      </c>
      <c r="B174" s="323">
        <v>0.2727491408934708</v>
      </c>
      <c r="C174" s="324">
        <v>970</v>
      </c>
      <c r="D174" s="324">
        <v>30</v>
      </c>
      <c r="E174" s="20">
        <v>79.37</v>
      </c>
      <c r="F174" s="20">
        <f t="shared" si="12"/>
        <v>19.120233000000002</v>
      </c>
      <c r="G174" s="21">
        <f t="shared" si="13"/>
        <v>98.490233000000003</v>
      </c>
      <c r="H174" s="833"/>
      <c r="I174" s="773"/>
      <c r="J174" s="773"/>
      <c r="K174" s="773"/>
      <c r="L174" s="773"/>
      <c r="M174" s="774"/>
      <c r="N174" s="19"/>
      <c r="O174" s="20"/>
      <c r="P174" s="20"/>
      <c r="Q174" s="20"/>
      <c r="R174" s="20"/>
      <c r="S174" s="21"/>
      <c r="V174" s="297"/>
      <c r="W174" s="297"/>
      <c r="AB174" s="28"/>
    </row>
    <row r="175" spans="1:28" x14ac:dyDescent="0.25">
      <c r="A175" s="18" t="s">
        <v>111</v>
      </c>
      <c r="B175" s="323">
        <v>1</v>
      </c>
      <c r="C175" s="324">
        <v>1190</v>
      </c>
      <c r="D175" s="324">
        <v>10</v>
      </c>
      <c r="E175" s="20">
        <v>119</v>
      </c>
      <c r="F175" s="20">
        <f t="shared" si="12"/>
        <v>28.667100000000001</v>
      </c>
      <c r="G175" s="21">
        <f t="shared" si="13"/>
        <v>147.6671</v>
      </c>
      <c r="H175" s="833"/>
      <c r="I175" s="773"/>
      <c r="J175" s="773"/>
      <c r="K175" s="773"/>
      <c r="L175" s="773"/>
      <c r="M175" s="774"/>
      <c r="N175" s="19"/>
      <c r="O175" s="20"/>
      <c r="P175" s="20"/>
      <c r="Q175" s="20"/>
      <c r="R175" s="20"/>
      <c r="S175" s="21"/>
      <c r="V175" s="297"/>
      <c r="W175" s="297"/>
      <c r="AB175" s="28"/>
    </row>
    <row r="176" spans="1:28" x14ac:dyDescent="0.25">
      <c r="A176" s="18" t="s">
        <v>111</v>
      </c>
      <c r="B176" s="323">
        <v>0.13635897435897437</v>
      </c>
      <c r="C176" s="324">
        <v>1300</v>
      </c>
      <c r="D176" s="324">
        <v>30</v>
      </c>
      <c r="E176" s="20">
        <v>53.18</v>
      </c>
      <c r="F176" s="20">
        <f t="shared" si="12"/>
        <v>12.811062</v>
      </c>
      <c r="G176" s="21">
        <f t="shared" si="13"/>
        <v>65.991061999999999</v>
      </c>
      <c r="H176" s="833"/>
      <c r="I176" s="773"/>
      <c r="J176" s="773"/>
      <c r="K176" s="773"/>
      <c r="L176" s="773"/>
      <c r="M176" s="774"/>
      <c r="N176" s="19"/>
      <c r="O176" s="20"/>
      <c r="P176" s="20"/>
      <c r="Q176" s="20"/>
      <c r="R176" s="20"/>
      <c r="S176" s="21"/>
      <c r="V176" s="297"/>
      <c r="W176" s="297"/>
      <c r="AB176" s="28"/>
    </row>
    <row r="177" spans="1:28" x14ac:dyDescent="0.25">
      <c r="A177" s="18" t="s">
        <v>1103</v>
      </c>
      <c r="B177" s="323">
        <v>2</v>
      </c>
      <c r="C177" s="324">
        <v>1287</v>
      </c>
      <c r="D177" s="324">
        <v>10</v>
      </c>
      <c r="E177" s="20">
        <v>257.39999999999998</v>
      </c>
      <c r="F177" s="20">
        <f t="shared" si="12"/>
        <v>62.007659999999994</v>
      </c>
      <c r="G177" s="21">
        <f t="shared" si="13"/>
        <v>319.40765999999996</v>
      </c>
      <c r="H177" s="833"/>
      <c r="I177" s="773"/>
      <c r="J177" s="773"/>
      <c r="K177" s="773"/>
      <c r="L177" s="773"/>
      <c r="M177" s="774"/>
      <c r="N177" s="19"/>
      <c r="O177" s="20"/>
      <c r="P177" s="20"/>
      <c r="Q177" s="20"/>
      <c r="R177" s="20"/>
      <c r="S177" s="21"/>
      <c r="V177" s="297"/>
      <c r="W177" s="297"/>
      <c r="AB177" s="28"/>
    </row>
    <row r="178" spans="1:28" x14ac:dyDescent="0.25">
      <c r="A178" s="18" t="s">
        <v>1103</v>
      </c>
      <c r="B178" s="323">
        <v>4.5454545454545456E-2</v>
      </c>
      <c r="C178" s="324">
        <v>1287</v>
      </c>
      <c r="D178" s="324">
        <v>30</v>
      </c>
      <c r="E178" s="20">
        <v>17.55</v>
      </c>
      <c r="F178" s="20">
        <f t="shared" si="12"/>
        <v>4.2277950000000004</v>
      </c>
      <c r="G178" s="21">
        <f t="shared" si="13"/>
        <v>21.777795000000001</v>
      </c>
      <c r="H178" s="833"/>
      <c r="I178" s="773"/>
      <c r="J178" s="773"/>
      <c r="K178" s="773"/>
      <c r="L178" s="773"/>
      <c r="M178" s="774"/>
      <c r="N178" s="19"/>
      <c r="O178" s="20"/>
      <c r="P178" s="20"/>
      <c r="Q178" s="20"/>
      <c r="R178" s="20"/>
      <c r="S178" s="21"/>
      <c r="V178" s="297"/>
      <c r="W178" s="297"/>
      <c r="AB178" s="28"/>
    </row>
    <row r="179" spans="1:28" x14ac:dyDescent="0.25">
      <c r="A179" s="18" t="s">
        <v>1104</v>
      </c>
      <c r="B179" s="323">
        <v>9.0903426791277261E-2</v>
      </c>
      <c r="C179" s="324">
        <v>1070</v>
      </c>
      <c r="D179" s="324">
        <v>30</v>
      </c>
      <c r="E179" s="20">
        <v>29.18</v>
      </c>
      <c r="F179" s="20">
        <f t="shared" si="12"/>
        <v>7.0294619999999997</v>
      </c>
      <c r="G179" s="21">
        <f t="shared" si="13"/>
        <v>36.209462000000002</v>
      </c>
      <c r="H179" s="833"/>
      <c r="I179" s="773"/>
      <c r="J179" s="773"/>
      <c r="K179" s="773"/>
      <c r="L179" s="773"/>
      <c r="M179" s="774"/>
      <c r="N179" s="19"/>
      <c r="O179" s="20"/>
      <c r="P179" s="20"/>
      <c r="Q179" s="20"/>
      <c r="R179" s="20"/>
      <c r="S179" s="21"/>
      <c r="V179" s="297"/>
      <c r="W179" s="297"/>
      <c r="AB179" s="28"/>
    </row>
    <row r="180" spans="1:28" x14ac:dyDescent="0.25">
      <c r="A180" s="18" t="s">
        <v>1104</v>
      </c>
      <c r="B180" s="323">
        <v>0.31821812596006144</v>
      </c>
      <c r="C180" s="324">
        <v>1085</v>
      </c>
      <c r="D180" s="324">
        <v>30</v>
      </c>
      <c r="E180" s="20">
        <v>103.58</v>
      </c>
      <c r="F180" s="20">
        <f t="shared" si="12"/>
        <v>24.952421999999999</v>
      </c>
      <c r="G180" s="21">
        <f t="shared" si="13"/>
        <v>128.532422</v>
      </c>
      <c r="H180" s="833"/>
      <c r="I180" s="773"/>
      <c r="J180" s="773"/>
      <c r="K180" s="773"/>
      <c r="L180" s="773"/>
      <c r="M180" s="774"/>
      <c r="N180" s="19"/>
      <c r="O180" s="20"/>
      <c r="P180" s="20"/>
      <c r="Q180" s="20"/>
      <c r="R180" s="20"/>
      <c r="S180" s="21"/>
      <c r="V180" s="297"/>
      <c r="W180" s="297"/>
      <c r="AB180" s="28"/>
    </row>
    <row r="181" spans="1:28" x14ac:dyDescent="0.25">
      <c r="A181" s="18" t="s">
        <v>1104</v>
      </c>
      <c r="B181" s="323">
        <v>4.544444444444444E-2</v>
      </c>
      <c r="C181" s="324">
        <v>900</v>
      </c>
      <c r="D181" s="324">
        <v>30</v>
      </c>
      <c r="E181" s="20">
        <v>12.27</v>
      </c>
      <c r="F181" s="20">
        <f t="shared" si="12"/>
        <v>2.9558429999999998</v>
      </c>
      <c r="G181" s="21">
        <f t="shared" si="13"/>
        <v>15.225842999999999</v>
      </c>
      <c r="H181" s="833"/>
      <c r="I181" s="773"/>
      <c r="J181" s="773"/>
      <c r="K181" s="773"/>
      <c r="L181" s="773"/>
      <c r="M181" s="774"/>
      <c r="N181" s="19"/>
      <c r="O181" s="20"/>
      <c r="P181" s="20"/>
      <c r="Q181" s="20"/>
      <c r="R181" s="20"/>
      <c r="S181" s="21"/>
      <c r="V181" s="297"/>
      <c r="W181" s="297"/>
      <c r="AB181" s="28"/>
    </row>
    <row r="182" spans="1:28" x14ac:dyDescent="0.25">
      <c r="A182" s="18" t="s">
        <v>1105</v>
      </c>
      <c r="B182" s="323">
        <v>0.40909090909090906</v>
      </c>
      <c r="C182" s="324">
        <v>1287</v>
      </c>
      <c r="D182" s="324">
        <v>30</v>
      </c>
      <c r="E182" s="20">
        <v>157.94999999999999</v>
      </c>
      <c r="F182" s="20">
        <f t="shared" si="12"/>
        <v>38.050154999999997</v>
      </c>
      <c r="G182" s="21">
        <f t="shared" si="13"/>
        <v>196.00015499999998</v>
      </c>
      <c r="H182" s="833"/>
      <c r="I182" s="773"/>
      <c r="J182" s="773"/>
      <c r="K182" s="773"/>
      <c r="L182" s="773"/>
      <c r="M182" s="774"/>
      <c r="N182" s="19"/>
      <c r="O182" s="20"/>
      <c r="P182" s="20"/>
      <c r="Q182" s="20"/>
      <c r="R182" s="20"/>
      <c r="S182" s="21"/>
      <c r="V182" s="297"/>
      <c r="W182" s="297"/>
      <c r="AB182" s="28"/>
    </row>
    <row r="184" spans="1:28" x14ac:dyDescent="0.25">
      <c r="A184" s="25"/>
      <c r="B184" s="25"/>
      <c r="C184" s="25"/>
      <c r="D184" s="25"/>
      <c r="E184" s="25"/>
      <c r="F184" s="779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</row>
    <row r="186" spans="1:28" x14ac:dyDescent="0.25">
      <c r="A186" s="2" t="s">
        <v>1106</v>
      </c>
    </row>
    <row r="187" spans="1:28" ht="18" customHeight="1" x14ac:dyDescent="0.25"/>
    <row r="188" spans="1:28" x14ac:dyDescent="0.25">
      <c r="A188" s="2" t="s">
        <v>1107</v>
      </c>
    </row>
    <row r="189" spans="1:28" x14ac:dyDescent="0.25">
      <c r="A189" s="2" t="s">
        <v>1108</v>
      </c>
    </row>
  </sheetData>
  <autoFilter ref="A10:S183" xr:uid="{00000000-0009-0000-0000-000001000000}"/>
  <mergeCells count="5"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BF21-8FBE-4D1E-9027-33ADEC50E66C}">
  <dimension ref="A2:U54"/>
  <sheetViews>
    <sheetView topLeftCell="A10" zoomScale="70" zoomScaleNormal="70" zoomScaleSheetLayoutView="80" workbookViewId="0">
      <selection activeCell="H10" sqref="H10"/>
    </sheetView>
  </sheetViews>
  <sheetFormatPr defaultRowHeight="16.5" x14ac:dyDescent="0.25"/>
  <cols>
    <col min="1" max="1" width="42.7109375" style="2" customWidth="1"/>
    <col min="2" max="2" width="14" style="2" customWidth="1"/>
    <col min="3" max="3" width="16" style="2" customWidth="1"/>
    <col min="4" max="13" width="14" style="2" customWidth="1"/>
    <col min="14" max="16384" width="9.140625" style="782"/>
  </cols>
  <sheetData>
    <row r="2" spans="1:21" s="780" customFormat="1" ht="66.75" customHeight="1" x14ac:dyDescent="0.25">
      <c r="A2" s="860" t="s">
        <v>1109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</row>
    <row r="4" spans="1:21" x14ac:dyDescent="0.25">
      <c r="A4" s="781" t="s">
        <v>1110</v>
      </c>
    </row>
    <row r="5" spans="1:21" ht="17.25" thickBot="1" x14ac:dyDescent="0.3"/>
    <row r="6" spans="1:21" ht="24" customHeight="1" thickBot="1" x14ac:dyDescent="0.3">
      <c r="A6" s="861"/>
      <c r="B6" s="930" t="s">
        <v>2</v>
      </c>
      <c r="C6" s="931"/>
      <c r="D6" s="931"/>
      <c r="E6" s="931"/>
      <c r="F6" s="931"/>
      <c r="G6" s="932"/>
      <c r="H6" s="930" t="s">
        <v>169</v>
      </c>
      <c r="I6" s="931"/>
      <c r="J6" s="931"/>
      <c r="K6" s="931"/>
      <c r="L6" s="931"/>
      <c r="M6" s="932"/>
    </row>
    <row r="7" spans="1:21" ht="104.25" customHeight="1" thickBot="1" x14ac:dyDescent="0.3">
      <c r="A7" s="929"/>
      <c r="B7" s="783" t="s">
        <v>78</v>
      </c>
      <c r="C7" s="783" t="s">
        <v>10</v>
      </c>
      <c r="D7" s="783" t="s">
        <v>6</v>
      </c>
      <c r="E7" s="783" t="s">
        <v>7</v>
      </c>
      <c r="F7" s="783" t="s">
        <v>8</v>
      </c>
      <c r="G7" s="784" t="s">
        <v>9</v>
      </c>
      <c r="H7" s="785" t="s">
        <v>78</v>
      </c>
      <c r="I7" s="786" t="s">
        <v>10</v>
      </c>
      <c r="J7" s="786" t="s">
        <v>6</v>
      </c>
      <c r="K7" s="786" t="s">
        <v>7</v>
      </c>
      <c r="L7" s="786" t="s">
        <v>8</v>
      </c>
      <c r="M7" s="787" t="s">
        <v>9</v>
      </c>
    </row>
    <row r="8" spans="1:21" ht="13.5" customHeight="1" x14ac:dyDescent="0.25">
      <c r="A8" s="788"/>
      <c r="B8" s="789"/>
      <c r="C8" s="790"/>
      <c r="D8" s="790"/>
      <c r="E8" s="791"/>
      <c r="F8" s="791"/>
      <c r="G8" s="791"/>
      <c r="H8" s="792"/>
      <c r="I8" s="793"/>
      <c r="J8" s="793"/>
      <c r="K8" s="793"/>
      <c r="L8" s="793"/>
      <c r="M8" s="791"/>
    </row>
    <row r="9" spans="1:21" s="780" customFormat="1" ht="26.25" customHeight="1" x14ac:dyDescent="0.25">
      <c r="A9" s="10" t="s">
        <v>0</v>
      </c>
      <c r="B9" s="11">
        <f>SUM(B10:B53)</f>
        <v>44</v>
      </c>
      <c r="C9" s="12"/>
      <c r="D9" s="12"/>
      <c r="E9" s="12">
        <f>SUM(E10:E53)</f>
        <v>11680.4</v>
      </c>
      <c r="F9" s="12">
        <f>SUM(F10:F53)</f>
        <v>2813.8094029999997</v>
      </c>
      <c r="G9" s="13">
        <f>SUM(G10:G53)</f>
        <v>14494.209402999999</v>
      </c>
      <c r="H9" s="524">
        <f>SUM(H10:H53)</f>
        <v>44</v>
      </c>
      <c r="I9" s="12"/>
      <c r="J9" s="12"/>
      <c r="K9" s="12">
        <f>SUM(K10:K53)</f>
        <v>10779.439999999997</v>
      </c>
      <c r="L9" s="12">
        <f t="shared" ref="L9:M9" si="0">SUM(L10:L53)</f>
        <v>2596.7499999999995</v>
      </c>
      <c r="M9" s="13">
        <f t="shared" si="0"/>
        <v>13376.19</v>
      </c>
    </row>
    <row r="10" spans="1:21" s="780" customFormat="1" ht="26.25" customHeight="1" thickBot="1" x14ac:dyDescent="0.3">
      <c r="A10" s="794" t="s">
        <v>1111</v>
      </c>
      <c r="B10" s="778">
        <v>1</v>
      </c>
      <c r="C10" s="20">
        <v>2353</v>
      </c>
      <c r="D10" s="795">
        <v>20</v>
      </c>
      <c r="E10" s="20">
        <v>470.6</v>
      </c>
      <c r="F10" s="30">
        <f>E10*24.09/100</f>
        <v>113.36754000000001</v>
      </c>
      <c r="G10" s="31">
        <f>E10+F10</f>
        <v>583.96753999999999</v>
      </c>
      <c r="H10" s="796">
        <v>1</v>
      </c>
      <c r="I10" s="20">
        <v>2353</v>
      </c>
      <c r="J10" s="324"/>
      <c r="K10" s="20"/>
      <c r="L10" s="20"/>
      <c r="M10" s="21"/>
      <c r="O10" s="797"/>
      <c r="P10" s="797"/>
      <c r="Q10" s="797"/>
      <c r="U10" s="798"/>
    </row>
    <row r="11" spans="1:21" ht="37.5" customHeight="1" thickBot="1" x14ac:dyDescent="0.3">
      <c r="A11" s="799" t="s">
        <v>1112</v>
      </c>
      <c r="B11" s="778">
        <v>1</v>
      </c>
      <c r="C11" s="20">
        <v>1917</v>
      </c>
      <c r="D11" s="795">
        <v>30</v>
      </c>
      <c r="E11" s="20">
        <v>575.1</v>
      </c>
      <c r="F11" s="30">
        <f>E11*24.09/100</f>
        <v>138.54158999999999</v>
      </c>
      <c r="G11" s="31">
        <f t="shared" ref="G11:G52" si="1">E11+F11</f>
        <v>713.64158999999995</v>
      </c>
      <c r="H11" s="796">
        <v>1</v>
      </c>
      <c r="I11" s="20">
        <v>1917</v>
      </c>
      <c r="J11" s="324" t="s">
        <v>1113</v>
      </c>
      <c r="K11" s="20">
        <v>383.4</v>
      </c>
      <c r="L11" s="30">
        <v>92.36</v>
      </c>
      <c r="M11" s="31">
        <f t="shared" ref="M11:M53" si="2">K11+L11</f>
        <v>475.76</v>
      </c>
      <c r="P11" s="797"/>
      <c r="Q11" s="797"/>
      <c r="T11" s="780"/>
      <c r="U11" s="798"/>
    </row>
    <row r="12" spans="1:21" ht="21.75" customHeight="1" thickBot="1" x14ac:dyDescent="0.3">
      <c r="A12" s="800" t="s">
        <v>1114</v>
      </c>
      <c r="B12" s="778">
        <v>1</v>
      </c>
      <c r="C12" s="20">
        <v>1917</v>
      </c>
      <c r="D12" s="795">
        <v>30</v>
      </c>
      <c r="E12" s="20">
        <v>575.1</v>
      </c>
      <c r="F12" s="30">
        <f t="shared" ref="F12:F52" si="3">E12*24.09/100</f>
        <v>138.54158999999999</v>
      </c>
      <c r="G12" s="31">
        <f t="shared" si="1"/>
        <v>713.64158999999995</v>
      </c>
      <c r="H12" s="796">
        <v>1</v>
      </c>
      <c r="I12" s="20">
        <v>1917</v>
      </c>
      <c r="J12" s="324" t="s">
        <v>1113</v>
      </c>
      <c r="K12" s="20">
        <v>383.4</v>
      </c>
      <c r="L12" s="30">
        <v>92.36</v>
      </c>
      <c r="M12" s="31">
        <f t="shared" si="2"/>
        <v>475.76</v>
      </c>
      <c r="P12" s="797"/>
      <c r="Q12" s="797"/>
      <c r="T12" s="780"/>
      <c r="U12" s="798"/>
    </row>
    <row r="13" spans="1:21" ht="19.5" customHeight="1" thickBot="1" x14ac:dyDescent="0.3">
      <c r="A13" s="800" t="s">
        <v>1115</v>
      </c>
      <c r="B13" s="778">
        <v>1</v>
      </c>
      <c r="C13" s="20">
        <v>1917</v>
      </c>
      <c r="D13" s="795">
        <v>30</v>
      </c>
      <c r="E13" s="20">
        <v>575.1</v>
      </c>
      <c r="F13" s="30">
        <f t="shared" si="3"/>
        <v>138.54158999999999</v>
      </c>
      <c r="G13" s="31">
        <f t="shared" si="1"/>
        <v>713.64158999999995</v>
      </c>
      <c r="H13" s="796">
        <v>1</v>
      </c>
      <c r="I13" s="20">
        <v>1917</v>
      </c>
      <c r="J13" s="324" t="s">
        <v>1113</v>
      </c>
      <c r="K13" s="20">
        <v>383.4</v>
      </c>
      <c r="L13" s="30">
        <v>92.36</v>
      </c>
      <c r="M13" s="31">
        <f t="shared" si="2"/>
        <v>475.76</v>
      </c>
      <c r="P13" s="797"/>
      <c r="Q13" s="797"/>
      <c r="T13" s="780"/>
      <c r="U13" s="798"/>
    </row>
    <row r="14" spans="1:21" ht="43.5" customHeight="1" thickBot="1" x14ac:dyDescent="0.3">
      <c r="A14" s="800" t="s">
        <v>1116</v>
      </c>
      <c r="B14" s="778">
        <v>1</v>
      </c>
      <c r="C14" s="20">
        <v>1647</v>
      </c>
      <c r="D14" s="795">
        <v>30</v>
      </c>
      <c r="E14" s="20">
        <v>494.1</v>
      </c>
      <c r="F14" s="30">
        <f t="shared" si="3"/>
        <v>119.02869000000001</v>
      </c>
      <c r="G14" s="31">
        <f t="shared" si="1"/>
        <v>613.12869000000001</v>
      </c>
      <c r="H14" s="796">
        <v>1</v>
      </c>
      <c r="I14" s="20">
        <v>1647</v>
      </c>
      <c r="J14" s="324" t="s">
        <v>1113</v>
      </c>
      <c r="K14" s="20">
        <v>329.4</v>
      </c>
      <c r="L14" s="30">
        <v>79.349999999999994</v>
      </c>
      <c r="M14" s="31">
        <f t="shared" si="2"/>
        <v>408.75</v>
      </c>
      <c r="P14" s="797"/>
      <c r="Q14" s="797"/>
      <c r="T14" s="780"/>
      <c r="U14" s="798"/>
    </row>
    <row r="15" spans="1:21" ht="17.25" thickBot="1" x14ac:dyDescent="0.3">
      <c r="A15" s="800" t="s">
        <v>1117</v>
      </c>
      <c r="B15" s="778">
        <v>1</v>
      </c>
      <c r="C15" s="20">
        <v>1382</v>
      </c>
      <c r="D15" s="795">
        <v>30</v>
      </c>
      <c r="E15" s="20">
        <v>414.6</v>
      </c>
      <c r="F15" s="30">
        <f t="shared" si="3"/>
        <v>99.877139999999997</v>
      </c>
      <c r="G15" s="31">
        <f t="shared" si="1"/>
        <v>514.47713999999996</v>
      </c>
      <c r="H15" s="796">
        <v>1</v>
      </c>
      <c r="I15" s="20">
        <v>1382</v>
      </c>
      <c r="J15" s="324" t="s">
        <v>1113</v>
      </c>
      <c r="K15" s="20">
        <v>276.39999999999998</v>
      </c>
      <c r="L15" s="30">
        <v>66.59</v>
      </c>
      <c r="M15" s="31">
        <f t="shared" si="2"/>
        <v>342.99</v>
      </c>
      <c r="P15" s="797"/>
      <c r="Q15" s="797"/>
      <c r="T15" s="780"/>
      <c r="U15" s="798"/>
    </row>
    <row r="16" spans="1:21" ht="17.25" thickBot="1" x14ac:dyDescent="0.3">
      <c r="A16" s="800" t="s">
        <v>1118</v>
      </c>
      <c r="B16" s="778">
        <v>1</v>
      </c>
      <c r="C16" s="20">
        <v>1287</v>
      </c>
      <c r="D16" s="795"/>
      <c r="E16" s="20"/>
      <c r="F16" s="30"/>
      <c r="G16" s="31"/>
      <c r="H16" s="796">
        <v>1</v>
      </c>
      <c r="I16" s="20">
        <v>1287</v>
      </c>
      <c r="J16" s="324" t="s">
        <v>1113</v>
      </c>
      <c r="K16" s="20">
        <v>257.39999999999998</v>
      </c>
      <c r="L16" s="30">
        <v>62.01</v>
      </c>
      <c r="M16" s="31">
        <f t="shared" si="2"/>
        <v>319.40999999999997</v>
      </c>
      <c r="P16" s="797"/>
      <c r="Q16" s="797"/>
      <c r="T16" s="780"/>
      <c r="U16" s="798"/>
    </row>
    <row r="17" spans="1:21" ht="28.5" customHeight="1" thickBot="1" x14ac:dyDescent="0.3">
      <c r="A17" s="800" t="s">
        <v>1119</v>
      </c>
      <c r="B17" s="778">
        <v>1</v>
      </c>
      <c r="C17" s="20">
        <v>1200</v>
      </c>
      <c r="D17" s="795">
        <v>30</v>
      </c>
      <c r="E17" s="20">
        <v>360</v>
      </c>
      <c r="F17" s="30">
        <f t="shared" si="3"/>
        <v>86.72399999999999</v>
      </c>
      <c r="G17" s="31">
        <f t="shared" si="1"/>
        <v>446.72399999999999</v>
      </c>
      <c r="H17" s="796">
        <v>1</v>
      </c>
      <c r="I17" s="20">
        <v>1200</v>
      </c>
      <c r="J17" s="324" t="s">
        <v>1113</v>
      </c>
      <c r="K17" s="20">
        <v>240</v>
      </c>
      <c r="L17" s="30">
        <v>57.82</v>
      </c>
      <c r="M17" s="31">
        <f t="shared" si="2"/>
        <v>297.82</v>
      </c>
      <c r="P17" s="797"/>
      <c r="Q17" s="797"/>
      <c r="T17" s="780"/>
      <c r="U17" s="798"/>
    </row>
    <row r="18" spans="1:21" ht="30.75" thickBot="1" x14ac:dyDescent="0.3">
      <c r="A18" s="800" t="s">
        <v>1120</v>
      </c>
      <c r="B18" s="778">
        <v>1</v>
      </c>
      <c r="C18" s="20">
        <v>899</v>
      </c>
      <c r="D18" s="795">
        <v>30</v>
      </c>
      <c r="E18" s="20">
        <v>245.18</v>
      </c>
      <c r="F18" s="30">
        <v>59.07</v>
      </c>
      <c r="G18" s="31">
        <f t="shared" si="1"/>
        <v>304.25</v>
      </c>
      <c r="H18" s="796">
        <v>1</v>
      </c>
      <c r="I18" s="20">
        <v>899</v>
      </c>
      <c r="J18" s="324" t="s">
        <v>1113</v>
      </c>
      <c r="K18" s="20">
        <v>179.8</v>
      </c>
      <c r="L18" s="30">
        <v>43.31</v>
      </c>
      <c r="M18" s="31">
        <f t="shared" si="2"/>
        <v>223.11</v>
      </c>
      <c r="P18" s="797"/>
      <c r="Q18" s="797"/>
      <c r="T18" s="780"/>
      <c r="U18" s="798"/>
    </row>
    <row r="19" spans="1:21" ht="30.75" thickBot="1" x14ac:dyDescent="0.3">
      <c r="A19" s="801" t="s">
        <v>1120</v>
      </c>
      <c r="B19" s="778">
        <v>1</v>
      </c>
      <c r="C19" s="20">
        <v>740</v>
      </c>
      <c r="D19" s="795">
        <v>30</v>
      </c>
      <c r="E19" s="20">
        <v>222</v>
      </c>
      <c r="F19" s="30">
        <f t="shared" si="3"/>
        <v>53.479799999999997</v>
      </c>
      <c r="G19" s="31">
        <f t="shared" si="1"/>
        <v>275.47980000000001</v>
      </c>
      <c r="H19" s="796">
        <v>1</v>
      </c>
      <c r="I19" s="20">
        <v>740</v>
      </c>
      <c r="J19" s="324" t="s">
        <v>1113</v>
      </c>
      <c r="K19" s="20">
        <v>111</v>
      </c>
      <c r="L19" s="30">
        <v>26.74</v>
      </c>
      <c r="M19" s="31">
        <f t="shared" si="2"/>
        <v>137.74</v>
      </c>
      <c r="P19" s="797"/>
      <c r="Q19" s="797"/>
      <c r="T19" s="780"/>
      <c r="U19" s="798"/>
    </row>
    <row r="20" spans="1:21" ht="36" customHeight="1" thickBot="1" x14ac:dyDescent="0.3">
      <c r="A20" s="800" t="s">
        <v>1121</v>
      </c>
      <c r="B20" s="778">
        <v>1</v>
      </c>
      <c r="C20" s="20">
        <v>600</v>
      </c>
      <c r="D20" s="795">
        <v>30</v>
      </c>
      <c r="E20" s="20">
        <v>114.55</v>
      </c>
      <c r="F20" s="30">
        <v>27.59</v>
      </c>
      <c r="G20" s="31">
        <f t="shared" si="1"/>
        <v>142.13999999999999</v>
      </c>
      <c r="H20" s="796">
        <v>1</v>
      </c>
      <c r="I20" s="20">
        <v>600</v>
      </c>
      <c r="J20" s="324" t="s">
        <v>1113</v>
      </c>
      <c r="K20" s="20">
        <v>120</v>
      </c>
      <c r="L20" s="30">
        <v>28.91</v>
      </c>
      <c r="M20" s="31">
        <f t="shared" si="2"/>
        <v>148.91</v>
      </c>
      <c r="P20" s="797"/>
      <c r="Q20" s="797"/>
      <c r="T20" s="780"/>
      <c r="U20" s="798"/>
    </row>
    <row r="21" spans="1:21" ht="30.75" thickBot="1" x14ac:dyDescent="0.3">
      <c r="A21" s="800" t="s">
        <v>1121</v>
      </c>
      <c r="B21" s="778">
        <v>1</v>
      </c>
      <c r="C21" s="20">
        <v>740</v>
      </c>
      <c r="D21" s="795">
        <v>30</v>
      </c>
      <c r="E21" s="20">
        <v>171.55</v>
      </c>
      <c r="F21" s="30">
        <f t="shared" si="3"/>
        <v>41.326395000000005</v>
      </c>
      <c r="G21" s="31">
        <f t="shared" si="1"/>
        <v>212.876395</v>
      </c>
      <c r="H21" s="796">
        <v>1</v>
      </c>
      <c r="I21" s="20">
        <v>740</v>
      </c>
      <c r="J21" s="324" t="s">
        <v>1113</v>
      </c>
      <c r="K21" s="20">
        <v>148</v>
      </c>
      <c r="L21" s="30">
        <v>35.659999999999997</v>
      </c>
      <c r="M21" s="31">
        <f t="shared" si="2"/>
        <v>183.66</v>
      </c>
      <c r="P21" s="797"/>
      <c r="Q21" s="797"/>
      <c r="T21" s="780"/>
      <c r="U21" s="798"/>
    </row>
    <row r="22" spans="1:21" ht="30.75" thickBot="1" x14ac:dyDescent="0.3">
      <c r="A22" s="800" t="s">
        <v>1121</v>
      </c>
      <c r="B22" s="778">
        <v>1</v>
      </c>
      <c r="C22" s="20">
        <v>740</v>
      </c>
      <c r="D22" s="795">
        <v>30</v>
      </c>
      <c r="E22" s="20">
        <v>222</v>
      </c>
      <c r="F22" s="30">
        <f t="shared" si="3"/>
        <v>53.479799999999997</v>
      </c>
      <c r="G22" s="31">
        <f t="shared" si="1"/>
        <v>275.47980000000001</v>
      </c>
      <c r="H22" s="796">
        <v>1</v>
      </c>
      <c r="I22" s="20">
        <v>740</v>
      </c>
      <c r="J22" s="324" t="s">
        <v>1113</v>
      </c>
      <c r="K22" s="20">
        <v>148</v>
      </c>
      <c r="L22" s="30">
        <v>35.659999999999997</v>
      </c>
      <c r="M22" s="31">
        <f t="shared" si="2"/>
        <v>183.66</v>
      </c>
      <c r="P22" s="797"/>
      <c r="Q22" s="797"/>
      <c r="T22" s="780"/>
      <c r="U22" s="798"/>
    </row>
    <row r="23" spans="1:21" ht="30.75" thickBot="1" x14ac:dyDescent="0.3">
      <c r="A23" s="800" t="s">
        <v>1122</v>
      </c>
      <c r="B23" s="778">
        <v>1</v>
      </c>
      <c r="C23" s="20">
        <v>1700</v>
      </c>
      <c r="D23" s="795"/>
      <c r="E23" s="20"/>
      <c r="F23" s="30"/>
      <c r="G23" s="31"/>
      <c r="H23" s="796">
        <v>1</v>
      </c>
      <c r="I23" s="20">
        <v>1700</v>
      </c>
      <c r="J23" s="324" t="s">
        <v>1113</v>
      </c>
      <c r="K23" s="20">
        <v>340</v>
      </c>
      <c r="L23" s="30">
        <v>81.91</v>
      </c>
      <c r="M23" s="31">
        <f t="shared" si="2"/>
        <v>421.90999999999997</v>
      </c>
      <c r="P23" s="797"/>
      <c r="Q23" s="797"/>
      <c r="T23" s="780"/>
      <c r="U23" s="798"/>
    </row>
    <row r="24" spans="1:21" ht="30.75" thickBot="1" x14ac:dyDescent="0.3">
      <c r="A24" s="800" t="s">
        <v>1123</v>
      </c>
      <c r="B24" s="778">
        <v>1</v>
      </c>
      <c r="C24" s="20">
        <v>1600</v>
      </c>
      <c r="D24" s="795"/>
      <c r="E24" s="20"/>
      <c r="F24" s="30"/>
      <c r="G24" s="31"/>
      <c r="H24" s="796">
        <v>1</v>
      </c>
      <c r="I24" s="20">
        <v>1600</v>
      </c>
      <c r="J24" s="324" t="s">
        <v>1113</v>
      </c>
      <c r="K24" s="20">
        <v>320</v>
      </c>
      <c r="L24" s="30">
        <v>77.09</v>
      </c>
      <c r="M24" s="31">
        <f t="shared" si="2"/>
        <v>397.09000000000003</v>
      </c>
      <c r="P24" s="797"/>
      <c r="Q24" s="797"/>
      <c r="T24" s="780"/>
      <c r="U24" s="798"/>
    </row>
    <row r="25" spans="1:21" ht="30.75" thickBot="1" x14ac:dyDescent="0.3">
      <c r="A25" s="800" t="s">
        <v>1123</v>
      </c>
      <c r="B25" s="778">
        <v>1</v>
      </c>
      <c r="C25" s="20">
        <v>1520</v>
      </c>
      <c r="D25" s="795"/>
      <c r="E25" s="20"/>
      <c r="F25" s="30"/>
      <c r="G25" s="31"/>
      <c r="H25" s="796">
        <v>1</v>
      </c>
      <c r="I25" s="20">
        <v>1520</v>
      </c>
      <c r="J25" s="324" t="s">
        <v>1113</v>
      </c>
      <c r="K25" s="20">
        <v>304</v>
      </c>
      <c r="L25" s="30">
        <v>73.23</v>
      </c>
      <c r="M25" s="31">
        <f t="shared" si="2"/>
        <v>377.23</v>
      </c>
      <c r="P25" s="797"/>
      <c r="Q25" s="797"/>
      <c r="T25" s="780"/>
      <c r="U25" s="798"/>
    </row>
    <row r="26" spans="1:21" s="780" customFormat="1" ht="32.25" customHeight="1" thickBot="1" x14ac:dyDescent="0.3">
      <c r="A26" s="800" t="s">
        <v>1124</v>
      </c>
      <c r="B26" s="778">
        <v>1</v>
      </c>
      <c r="C26" s="20">
        <v>1220</v>
      </c>
      <c r="D26" s="795">
        <v>30</v>
      </c>
      <c r="E26" s="20">
        <v>366</v>
      </c>
      <c r="F26" s="30">
        <f t="shared" si="3"/>
        <v>88.16940000000001</v>
      </c>
      <c r="G26" s="31">
        <f t="shared" si="1"/>
        <v>454.1694</v>
      </c>
      <c r="H26" s="796">
        <v>1</v>
      </c>
      <c r="I26" s="20">
        <v>1220</v>
      </c>
      <c r="J26" s="324" t="s">
        <v>1113</v>
      </c>
      <c r="K26" s="20">
        <v>244</v>
      </c>
      <c r="L26" s="30">
        <v>58.78</v>
      </c>
      <c r="M26" s="31">
        <f t="shared" si="2"/>
        <v>302.77999999999997</v>
      </c>
      <c r="P26" s="797"/>
      <c r="Q26" s="797"/>
      <c r="U26" s="798"/>
    </row>
    <row r="27" spans="1:21" ht="37.5" customHeight="1" thickBot="1" x14ac:dyDescent="0.3">
      <c r="A27" s="800" t="s">
        <v>1124</v>
      </c>
      <c r="B27" s="778">
        <v>1</v>
      </c>
      <c r="C27" s="20">
        <v>1220</v>
      </c>
      <c r="D27" s="795">
        <v>30</v>
      </c>
      <c r="E27" s="20">
        <v>366</v>
      </c>
      <c r="F27" s="30">
        <f t="shared" si="3"/>
        <v>88.16940000000001</v>
      </c>
      <c r="G27" s="31">
        <f t="shared" si="1"/>
        <v>454.1694</v>
      </c>
      <c r="H27" s="796">
        <v>1</v>
      </c>
      <c r="I27" s="20">
        <v>1220</v>
      </c>
      <c r="J27" s="324" t="s">
        <v>1113</v>
      </c>
      <c r="K27" s="20">
        <v>244</v>
      </c>
      <c r="L27" s="30">
        <v>58.78</v>
      </c>
      <c r="M27" s="31">
        <f t="shared" si="2"/>
        <v>302.77999999999997</v>
      </c>
      <c r="P27" s="797"/>
      <c r="Q27" s="797"/>
      <c r="T27" s="780"/>
      <c r="U27" s="798"/>
    </row>
    <row r="28" spans="1:21" ht="30.75" customHeight="1" thickBot="1" x14ac:dyDescent="0.3">
      <c r="A28" s="800" t="s">
        <v>1125</v>
      </c>
      <c r="B28" s="778">
        <v>1</v>
      </c>
      <c r="C28" s="20">
        <v>1720</v>
      </c>
      <c r="D28" s="795">
        <v>30</v>
      </c>
      <c r="E28" s="20">
        <v>516</v>
      </c>
      <c r="F28" s="30">
        <f t="shared" si="3"/>
        <v>124.3044</v>
      </c>
      <c r="G28" s="31">
        <f t="shared" si="1"/>
        <v>640.30439999999999</v>
      </c>
      <c r="H28" s="796">
        <v>1</v>
      </c>
      <c r="I28" s="20">
        <v>1720</v>
      </c>
      <c r="J28" s="324" t="s">
        <v>1113</v>
      </c>
      <c r="K28" s="20">
        <v>344</v>
      </c>
      <c r="L28" s="30">
        <v>82.87</v>
      </c>
      <c r="M28" s="31">
        <f t="shared" si="2"/>
        <v>426.87</v>
      </c>
      <c r="P28" s="797"/>
      <c r="Q28" s="797"/>
      <c r="T28" s="780"/>
      <c r="U28" s="798"/>
    </row>
    <row r="29" spans="1:21" ht="30" customHeight="1" thickBot="1" x14ac:dyDescent="0.3">
      <c r="A29" s="800" t="s">
        <v>1126</v>
      </c>
      <c r="B29" s="778">
        <v>1</v>
      </c>
      <c r="C29" s="20">
        <v>1800</v>
      </c>
      <c r="D29" s="795">
        <v>30</v>
      </c>
      <c r="E29" s="20">
        <v>540</v>
      </c>
      <c r="F29" s="30">
        <f t="shared" si="3"/>
        <v>130.08600000000001</v>
      </c>
      <c r="G29" s="31">
        <f t="shared" si="1"/>
        <v>670.08600000000001</v>
      </c>
      <c r="H29" s="796">
        <v>1</v>
      </c>
      <c r="I29" s="20">
        <v>1800</v>
      </c>
      <c r="J29" s="324" t="s">
        <v>1113</v>
      </c>
      <c r="K29" s="20">
        <v>360</v>
      </c>
      <c r="L29" s="30">
        <v>86.72</v>
      </c>
      <c r="M29" s="31">
        <f t="shared" si="2"/>
        <v>446.72</v>
      </c>
      <c r="P29" s="797"/>
      <c r="Q29" s="797"/>
      <c r="T29" s="780"/>
      <c r="U29" s="798"/>
    </row>
    <row r="30" spans="1:21" ht="49.5" customHeight="1" thickBot="1" x14ac:dyDescent="0.3">
      <c r="A30" s="800" t="s">
        <v>1127</v>
      </c>
      <c r="B30" s="778">
        <v>1</v>
      </c>
      <c r="C30" s="20">
        <v>1400</v>
      </c>
      <c r="D30" s="795">
        <v>30</v>
      </c>
      <c r="E30" s="20">
        <v>420</v>
      </c>
      <c r="F30" s="30">
        <f t="shared" si="3"/>
        <v>101.178</v>
      </c>
      <c r="G30" s="31">
        <f t="shared" si="1"/>
        <v>521.178</v>
      </c>
      <c r="H30" s="796">
        <v>1</v>
      </c>
      <c r="I30" s="20">
        <v>1400</v>
      </c>
      <c r="J30" s="324" t="s">
        <v>1113</v>
      </c>
      <c r="K30" s="20">
        <v>280</v>
      </c>
      <c r="L30" s="30">
        <v>67.45</v>
      </c>
      <c r="M30" s="31">
        <f t="shared" si="2"/>
        <v>347.45</v>
      </c>
      <c r="P30" s="797"/>
      <c r="Q30" s="797"/>
      <c r="T30" s="780"/>
      <c r="U30" s="798"/>
    </row>
    <row r="31" spans="1:21" ht="30.75" thickBot="1" x14ac:dyDescent="0.3">
      <c r="A31" s="800" t="s">
        <v>1128</v>
      </c>
      <c r="B31" s="778">
        <v>1</v>
      </c>
      <c r="C31" s="20">
        <v>1500</v>
      </c>
      <c r="D31" s="795">
        <v>30</v>
      </c>
      <c r="E31" s="20">
        <v>450</v>
      </c>
      <c r="F31" s="30">
        <f t="shared" si="3"/>
        <v>108.405</v>
      </c>
      <c r="G31" s="31">
        <f t="shared" si="1"/>
        <v>558.40499999999997</v>
      </c>
      <c r="H31" s="796">
        <v>1</v>
      </c>
      <c r="I31" s="20">
        <v>1500</v>
      </c>
      <c r="J31" s="324" t="s">
        <v>1113</v>
      </c>
      <c r="K31" s="20">
        <v>300</v>
      </c>
      <c r="L31" s="30">
        <v>72.27</v>
      </c>
      <c r="M31" s="31">
        <f t="shared" si="2"/>
        <v>372.27</v>
      </c>
      <c r="P31" s="797"/>
      <c r="Q31" s="797"/>
      <c r="T31" s="780"/>
      <c r="U31" s="798"/>
    </row>
    <row r="32" spans="1:21" ht="30.75" thickBot="1" x14ac:dyDescent="0.3">
      <c r="A32" s="800" t="s">
        <v>1129</v>
      </c>
      <c r="B32" s="778">
        <v>1</v>
      </c>
      <c r="C32" s="20">
        <v>1382</v>
      </c>
      <c r="D32" s="795"/>
      <c r="E32" s="20"/>
      <c r="F32" s="30"/>
      <c r="G32" s="31"/>
      <c r="H32" s="796">
        <v>1</v>
      </c>
      <c r="I32" s="20">
        <v>1382</v>
      </c>
      <c r="J32" s="324" t="s">
        <v>1113</v>
      </c>
      <c r="K32" s="20">
        <v>276.39999999999998</v>
      </c>
      <c r="L32" s="30">
        <v>66.58</v>
      </c>
      <c r="M32" s="31">
        <f t="shared" si="2"/>
        <v>342.97999999999996</v>
      </c>
      <c r="P32" s="797"/>
      <c r="Q32" s="797"/>
      <c r="T32" s="780"/>
      <c r="U32" s="798"/>
    </row>
    <row r="33" spans="1:21" ht="38.25" customHeight="1" thickBot="1" x14ac:dyDescent="0.3">
      <c r="A33" s="800" t="s">
        <v>1130</v>
      </c>
      <c r="B33" s="778">
        <v>1</v>
      </c>
      <c r="C33" s="20">
        <v>1400</v>
      </c>
      <c r="D33" s="795">
        <v>30</v>
      </c>
      <c r="E33" s="20">
        <v>420</v>
      </c>
      <c r="F33" s="30">
        <f t="shared" si="3"/>
        <v>101.178</v>
      </c>
      <c r="G33" s="31">
        <f t="shared" si="1"/>
        <v>521.178</v>
      </c>
      <c r="H33" s="796">
        <v>1</v>
      </c>
      <c r="I33" s="20">
        <v>1400</v>
      </c>
      <c r="J33" s="324" t="s">
        <v>1113</v>
      </c>
      <c r="K33" s="20">
        <v>280</v>
      </c>
      <c r="L33" s="30">
        <v>67.45</v>
      </c>
      <c r="M33" s="31">
        <f t="shared" si="2"/>
        <v>347.45</v>
      </c>
      <c r="P33" s="797"/>
      <c r="Q33" s="797"/>
      <c r="T33" s="780"/>
      <c r="U33" s="798"/>
    </row>
    <row r="34" spans="1:21" ht="38.25" customHeight="1" thickBot="1" x14ac:dyDescent="0.3">
      <c r="A34" s="800" t="s">
        <v>1131</v>
      </c>
      <c r="B34" s="802">
        <v>1</v>
      </c>
      <c r="C34" s="180">
        <v>900</v>
      </c>
      <c r="D34" s="803"/>
      <c r="E34" s="180"/>
      <c r="F34" s="30"/>
      <c r="G34" s="31"/>
      <c r="H34" s="796">
        <v>1</v>
      </c>
      <c r="I34" s="20">
        <v>900</v>
      </c>
      <c r="J34" s="324" t="s">
        <v>1113</v>
      </c>
      <c r="K34" s="20">
        <v>180</v>
      </c>
      <c r="L34" s="30">
        <v>43.36</v>
      </c>
      <c r="M34" s="31">
        <f t="shared" si="2"/>
        <v>223.36</v>
      </c>
      <c r="P34" s="797"/>
      <c r="Q34" s="797"/>
      <c r="T34" s="780"/>
      <c r="U34" s="798"/>
    </row>
    <row r="35" spans="1:21" ht="38.25" customHeight="1" thickBot="1" x14ac:dyDescent="0.3">
      <c r="A35" s="800" t="s">
        <v>1132</v>
      </c>
      <c r="B35" s="802">
        <v>1</v>
      </c>
      <c r="C35" s="180">
        <v>900</v>
      </c>
      <c r="D35" s="803"/>
      <c r="E35" s="180"/>
      <c r="F35" s="30"/>
      <c r="G35" s="31"/>
      <c r="H35" s="796">
        <v>1</v>
      </c>
      <c r="I35" s="20">
        <v>900</v>
      </c>
      <c r="J35" s="324" t="s">
        <v>1113</v>
      </c>
      <c r="K35" s="20">
        <v>180</v>
      </c>
      <c r="L35" s="30">
        <v>43.36</v>
      </c>
      <c r="M35" s="31">
        <f t="shared" si="2"/>
        <v>223.36</v>
      </c>
      <c r="P35" s="797"/>
      <c r="Q35" s="797"/>
      <c r="T35" s="780"/>
      <c r="U35" s="798"/>
    </row>
    <row r="36" spans="1:21" ht="38.25" customHeight="1" thickBot="1" x14ac:dyDescent="0.3">
      <c r="A36" s="800" t="s">
        <v>1133</v>
      </c>
      <c r="B36" s="802">
        <v>1</v>
      </c>
      <c r="C36" s="180">
        <v>900</v>
      </c>
      <c r="D36" s="803"/>
      <c r="E36" s="180"/>
      <c r="F36" s="30"/>
      <c r="G36" s="31"/>
      <c r="H36" s="796">
        <v>1</v>
      </c>
      <c r="I36" s="20">
        <v>900</v>
      </c>
      <c r="J36" s="324" t="s">
        <v>1113</v>
      </c>
      <c r="K36" s="20">
        <v>180</v>
      </c>
      <c r="L36" s="30">
        <v>43.36</v>
      </c>
      <c r="M36" s="31">
        <f t="shared" si="2"/>
        <v>223.36</v>
      </c>
      <c r="P36" s="797"/>
      <c r="Q36" s="797"/>
      <c r="T36" s="780"/>
      <c r="U36" s="798"/>
    </row>
    <row r="37" spans="1:21" ht="38.25" customHeight="1" thickBot="1" x14ac:dyDescent="0.3">
      <c r="A37" s="800" t="s">
        <v>1134</v>
      </c>
      <c r="B37" s="802">
        <v>1</v>
      </c>
      <c r="C37" s="180">
        <v>900</v>
      </c>
      <c r="D37" s="803"/>
      <c r="E37" s="180"/>
      <c r="F37" s="30"/>
      <c r="G37" s="31"/>
      <c r="H37" s="796">
        <v>1</v>
      </c>
      <c r="I37" s="20">
        <v>900</v>
      </c>
      <c r="J37" s="324" t="s">
        <v>1113</v>
      </c>
      <c r="K37" s="20">
        <v>180</v>
      </c>
      <c r="L37" s="30">
        <v>43.36</v>
      </c>
      <c r="M37" s="31">
        <f t="shared" si="2"/>
        <v>223.36</v>
      </c>
      <c r="P37" s="797"/>
      <c r="Q37" s="797"/>
      <c r="T37" s="780"/>
      <c r="U37" s="798"/>
    </row>
    <row r="38" spans="1:21" ht="38.25" customHeight="1" thickBot="1" x14ac:dyDescent="0.3">
      <c r="A38" s="800" t="s">
        <v>1135</v>
      </c>
      <c r="B38" s="802">
        <v>1</v>
      </c>
      <c r="C38" s="180">
        <v>900</v>
      </c>
      <c r="D38" s="803"/>
      <c r="E38" s="180"/>
      <c r="F38" s="30"/>
      <c r="G38" s="31"/>
      <c r="H38" s="796">
        <v>1</v>
      </c>
      <c r="I38" s="20">
        <v>900</v>
      </c>
      <c r="J38" s="324" t="s">
        <v>1113</v>
      </c>
      <c r="K38" s="20">
        <v>180</v>
      </c>
      <c r="L38" s="30">
        <v>43.36</v>
      </c>
      <c r="M38" s="31">
        <f t="shared" si="2"/>
        <v>223.36</v>
      </c>
      <c r="P38" s="797"/>
      <c r="Q38" s="797"/>
      <c r="T38" s="780"/>
      <c r="U38" s="798"/>
    </row>
    <row r="39" spans="1:21" ht="42" customHeight="1" thickBot="1" x14ac:dyDescent="0.3">
      <c r="A39" s="800" t="s">
        <v>1136</v>
      </c>
      <c r="B39" s="802">
        <v>1</v>
      </c>
      <c r="C39" s="180">
        <v>1400</v>
      </c>
      <c r="D39" s="803">
        <v>30</v>
      </c>
      <c r="E39" s="180">
        <v>400.91</v>
      </c>
      <c r="F39" s="30">
        <f t="shared" si="3"/>
        <v>96.579219000000009</v>
      </c>
      <c r="G39" s="31">
        <f t="shared" si="1"/>
        <v>497.48921900000005</v>
      </c>
      <c r="H39" s="796">
        <v>1</v>
      </c>
      <c r="I39" s="20">
        <v>1400</v>
      </c>
      <c r="J39" s="324" t="s">
        <v>1113</v>
      </c>
      <c r="K39" s="20">
        <v>280</v>
      </c>
      <c r="L39" s="30">
        <v>67.45</v>
      </c>
      <c r="M39" s="31">
        <f t="shared" si="2"/>
        <v>347.45</v>
      </c>
      <c r="P39" s="797"/>
      <c r="Q39" s="797"/>
      <c r="T39" s="780"/>
      <c r="U39" s="798"/>
    </row>
    <row r="40" spans="1:21" ht="30.75" thickBot="1" x14ac:dyDescent="0.3">
      <c r="A40" s="800" t="s">
        <v>1137</v>
      </c>
      <c r="B40" s="778">
        <v>1</v>
      </c>
      <c r="C40" s="20">
        <v>1382</v>
      </c>
      <c r="D40" s="795">
        <v>30</v>
      </c>
      <c r="E40" s="20">
        <v>414.6</v>
      </c>
      <c r="F40" s="30">
        <f t="shared" si="3"/>
        <v>99.877139999999997</v>
      </c>
      <c r="G40" s="31">
        <f t="shared" si="1"/>
        <v>514.47713999999996</v>
      </c>
      <c r="H40" s="796">
        <v>1</v>
      </c>
      <c r="I40" s="20">
        <v>1382</v>
      </c>
      <c r="J40" s="324">
        <v>20</v>
      </c>
      <c r="K40" s="20">
        <v>234.94</v>
      </c>
      <c r="L40" s="30">
        <v>56.6</v>
      </c>
      <c r="M40" s="31">
        <f t="shared" si="2"/>
        <v>291.54000000000002</v>
      </c>
      <c r="P40" s="797"/>
      <c r="Q40" s="797"/>
      <c r="T40" s="780"/>
      <c r="U40" s="798"/>
    </row>
    <row r="41" spans="1:21" ht="30.75" thickBot="1" x14ac:dyDescent="0.3">
      <c r="A41" s="800" t="s">
        <v>1138</v>
      </c>
      <c r="B41" s="778">
        <v>1</v>
      </c>
      <c r="C41" s="20">
        <v>1382</v>
      </c>
      <c r="D41" s="795">
        <v>20</v>
      </c>
      <c r="E41" s="20">
        <v>276.39999999999998</v>
      </c>
      <c r="F41" s="30">
        <f t="shared" si="3"/>
        <v>66.584760000000003</v>
      </c>
      <c r="G41" s="31">
        <f t="shared" si="1"/>
        <v>342.98475999999999</v>
      </c>
      <c r="H41" s="796">
        <v>1</v>
      </c>
      <c r="I41" s="20">
        <v>1382</v>
      </c>
      <c r="J41" s="324" t="s">
        <v>1113</v>
      </c>
      <c r="K41" s="20">
        <v>276.39999999999998</v>
      </c>
      <c r="L41" s="30">
        <v>66.58</v>
      </c>
      <c r="M41" s="31">
        <f t="shared" si="2"/>
        <v>342.97999999999996</v>
      </c>
      <c r="P41" s="797"/>
      <c r="Q41" s="797"/>
      <c r="T41" s="780"/>
      <c r="U41" s="798"/>
    </row>
    <row r="42" spans="1:21" ht="30.75" thickBot="1" x14ac:dyDescent="0.3">
      <c r="A42" s="800" t="s">
        <v>1139</v>
      </c>
      <c r="B42" s="778">
        <v>1</v>
      </c>
      <c r="C42" s="20">
        <v>1900</v>
      </c>
      <c r="D42" s="795"/>
      <c r="E42" s="20"/>
      <c r="F42" s="30"/>
      <c r="G42" s="31"/>
      <c r="H42" s="796">
        <v>1</v>
      </c>
      <c r="I42" s="20">
        <v>1900</v>
      </c>
      <c r="J42" s="324" t="s">
        <v>1113</v>
      </c>
      <c r="K42" s="20">
        <v>380</v>
      </c>
      <c r="L42" s="30">
        <v>91.54</v>
      </c>
      <c r="M42" s="31">
        <f t="shared" si="2"/>
        <v>471.54</v>
      </c>
      <c r="P42" s="797"/>
      <c r="Q42" s="797"/>
      <c r="T42" s="780"/>
      <c r="U42" s="798"/>
    </row>
    <row r="43" spans="1:21" ht="30.75" thickBot="1" x14ac:dyDescent="0.3">
      <c r="A43" s="800" t="s">
        <v>1140</v>
      </c>
      <c r="B43" s="778">
        <v>1</v>
      </c>
      <c r="C43" s="20">
        <v>1647</v>
      </c>
      <c r="D43" s="795">
        <v>30</v>
      </c>
      <c r="E43" s="20">
        <v>494.1</v>
      </c>
      <c r="F43" s="30">
        <f t="shared" si="3"/>
        <v>119.02869000000001</v>
      </c>
      <c r="G43" s="31">
        <f t="shared" si="1"/>
        <v>613.12869000000001</v>
      </c>
      <c r="H43" s="796">
        <v>1</v>
      </c>
      <c r="I43" s="20">
        <v>1647</v>
      </c>
      <c r="J43" s="324" t="s">
        <v>1113</v>
      </c>
      <c r="K43" s="20">
        <v>329.4</v>
      </c>
      <c r="L43" s="30">
        <v>79.349999999999994</v>
      </c>
      <c r="M43" s="31">
        <f t="shared" si="2"/>
        <v>408.75</v>
      </c>
      <c r="P43" s="797"/>
      <c r="Q43" s="797"/>
      <c r="T43" s="780"/>
      <c r="U43" s="798"/>
    </row>
    <row r="44" spans="1:21" ht="30.75" thickBot="1" x14ac:dyDescent="0.3">
      <c r="A44" s="800" t="s">
        <v>1141</v>
      </c>
      <c r="B44" s="778">
        <v>1</v>
      </c>
      <c r="C44" s="20">
        <v>1382</v>
      </c>
      <c r="D44" s="795">
        <v>30</v>
      </c>
      <c r="E44" s="20">
        <v>376.91</v>
      </c>
      <c r="F44" s="30">
        <f t="shared" si="3"/>
        <v>90.797619000000012</v>
      </c>
      <c r="G44" s="31">
        <f t="shared" si="1"/>
        <v>467.70761900000002</v>
      </c>
      <c r="H44" s="796">
        <v>1</v>
      </c>
      <c r="I44" s="20">
        <v>1382</v>
      </c>
      <c r="J44" s="324" t="s">
        <v>1113</v>
      </c>
      <c r="K44" s="20">
        <v>276.39999999999998</v>
      </c>
      <c r="L44" s="30">
        <v>66.58</v>
      </c>
      <c r="M44" s="31">
        <f t="shared" si="2"/>
        <v>342.97999999999996</v>
      </c>
      <c r="P44" s="797"/>
      <c r="Q44" s="797"/>
      <c r="T44" s="780"/>
      <c r="U44" s="798"/>
    </row>
    <row r="45" spans="1:21" ht="30.75" thickBot="1" x14ac:dyDescent="0.3">
      <c r="A45" s="800" t="s">
        <v>1142</v>
      </c>
      <c r="B45" s="778">
        <v>1</v>
      </c>
      <c r="C45" s="20">
        <v>1382</v>
      </c>
      <c r="D45" s="795">
        <v>30</v>
      </c>
      <c r="E45" s="20">
        <v>414.6</v>
      </c>
      <c r="F45" s="30">
        <f t="shared" si="3"/>
        <v>99.877139999999997</v>
      </c>
      <c r="G45" s="31">
        <f t="shared" si="1"/>
        <v>514.47713999999996</v>
      </c>
      <c r="H45" s="796">
        <v>1</v>
      </c>
      <c r="I45" s="20">
        <v>1382</v>
      </c>
      <c r="J45" s="324" t="s">
        <v>1113</v>
      </c>
      <c r="K45" s="20">
        <v>276.39999999999998</v>
      </c>
      <c r="L45" s="30">
        <v>66.58</v>
      </c>
      <c r="M45" s="31">
        <f t="shared" si="2"/>
        <v>342.97999999999996</v>
      </c>
      <c r="P45" s="797"/>
      <c r="Q45" s="797"/>
      <c r="T45" s="780"/>
      <c r="U45" s="798"/>
    </row>
    <row r="46" spans="1:21" ht="41.25" customHeight="1" x14ac:dyDescent="0.25">
      <c r="A46" s="804" t="s">
        <v>1143</v>
      </c>
      <c r="B46" s="802">
        <v>1</v>
      </c>
      <c r="C46" s="180">
        <v>1190</v>
      </c>
      <c r="D46" s="803">
        <v>30</v>
      </c>
      <c r="E46" s="180">
        <v>357</v>
      </c>
      <c r="F46" s="805">
        <f t="shared" si="3"/>
        <v>86.001299999999986</v>
      </c>
      <c r="G46" s="806">
        <f t="shared" si="1"/>
        <v>443.00130000000001</v>
      </c>
      <c r="H46" s="796">
        <v>1</v>
      </c>
      <c r="I46" s="20">
        <v>1190</v>
      </c>
      <c r="J46" s="324"/>
      <c r="K46" s="20"/>
      <c r="L46" s="30"/>
      <c r="M46" s="31"/>
      <c r="P46" s="797"/>
      <c r="Q46" s="797"/>
      <c r="T46" s="780"/>
      <c r="U46" s="798"/>
    </row>
    <row r="47" spans="1:21" ht="30.75" thickBot="1" x14ac:dyDescent="0.3">
      <c r="A47" s="800" t="s">
        <v>1144</v>
      </c>
      <c r="B47" s="778">
        <v>1</v>
      </c>
      <c r="C47" s="20">
        <v>1382</v>
      </c>
      <c r="D47" s="807"/>
      <c r="E47" s="145"/>
      <c r="F47" s="808"/>
      <c r="G47" s="153"/>
      <c r="H47" s="796">
        <v>1</v>
      </c>
      <c r="I47" s="20">
        <v>1382</v>
      </c>
      <c r="J47" s="324" t="s">
        <v>1113</v>
      </c>
      <c r="K47" s="20">
        <v>207.3</v>
      </c>
      <c r="L47" s="30">
        <v>49.94</v>
      </c>
      <c r="M47" s="31">
        <f t="shared" si="2"/>
        <v>257.24</v>
      </c>
      <c r="P47" s="797"/>
      <c r="Q47" s="797"/>
      <c r="T47" s="780"/>
      <c r="U47" s="798"/>
    </row>
    <row r="48" spans="1:21" ht="45.75" thickBot="1" x14ac:dyDescent="0.3">
      <c r="A48" s="800" t="s">
        <v>1145</v>
      </c>
      <c r="B48" s="778">
        <v>1</v>
      </c>
      <c r="C48" s="20">
        <v>1230</v>
      </c>
      <c r="D48" s="809"/>
      <c r="E48" s="148"/>
      <c r="F48" s="810"/>
      <c r="G48" s="811"/>
      <c r="H48" s="796">
        <v>1</v>
      </c>
      <c r="I48" s="20">
        <v>1230</v>
      </c>
      <c r="J48" s="324" t="s">
        <v>1113</v>
      </c>
      <c r="K48" s="20">
        <v>246</v>
      </c>
      <c r="L48" s="30">
        <v>59.26</v>
      </c>
      <c r="M48" s="31">
        <f t="shared" si="2"/>
        <v>305.26</v>
      </c>
      <c r="P48" s="797"/>
      <c r="Q48" s="797"/>
      <c r="T48" s="780"/>
      <c r="U48" s="798"/>
    </row>
    <row r="49" spans="1:21" ht="37.5" customHeight="1" x14ac:dyDescent="0.25">
      <c r="A49" s="804" t="s">
        <v>1143</v>
      </c>
      <c r="B49" s="802">
        <v>1</v>
      </c>
      <c r="C49" s="180">
        <v>1230</v>
      </c>
      <c r="D49" s="803">
        <v>30</v>
      </c>
      <c r="E49" s="180">
        <v>369</v>
      </c>
      <c r="F49" s="812">
        <f t="shared" si="3"/>
        <v>88.892099999999985</v>
      </c>
      <c r="G49" s="806">
        <f t="shared" si="1"/>
        <v>457.89209999999997</v>
      </c>
      <c r="H49" s="796">
        <v>1</v>
      </c>
      <c r="I49" s="20">
        <v>1230</v>
      </c>
      <c r="J49" s="324" t="s">
        <v>1113</v>
      </c>
      <c r="K49" s="20">
        <v>246</v>
      </c>
      <c r="L49" s="30">
        <v>59.26</v>
      </c>
      <c r="M49" s="31">
        <f t="shared" si="2"/>
        <v>305.26</v>
      </c>
      <c r="P49" s="797"/>
      <c r="Q49" s="797"/>
      <c r="T49" s="780"/>
      <c r="U49" s="798"/>
    </row>
    <row r="50" spans="1:21" ht="38.25" customHeight="1" thickBot="1" x14ac:dyDescent="0.3">
      <c r="A50" s="800" t="s">
        <v>1143</v>
      </c>
      <c r="B50" s="778">
        <v>1</v>
      </c>
      <c r="C50" s="20">
        <v>1100</v>
      </c>
      <c r="D50" s="795">
        <v>30</v>
      </c>
      <c r="E50" s="20">
        <v>330</v>
      </c>
      <c r="F50" s="812">
        <f t="shared" si="3"/>
        <v>79.497</v>
      </c>
      <c r="G50" s="806">
        <f t="shared" si="1"/>
        <v>409.49700000000001</v>
      </c>
      <c r="H50" s="796">
        <v>1</v>
      </c>
      <c r="I50" s="20">
        <v>1100</v>
      </c>
      <c r="J50" s="324" t="s">
        <v>1113</v>
      </c>
      <c r="K50" s="20">
        <v>220</v>
      </c>
      <c r="L50" s="30">
        <v>53</v>
      </c>
      <c r="M50" s="31">
        <f t="shared" si="2"/>
        <v>273</v>
      </c>
      <c r="P50" s="797"/>
      <c r="Q50" s="797"/>
      <c r="T50" s="780"/>
      <c r="U50" s="798"/>
    </row>
    <row r="51" spans="1:21" ht="30.75" thickBot="1" x14ac:dyDescent="0.3">
      <c r="A51" s="800" t="s">
        <v>1146</v>
      </c>
      <c r="B51" s="778">
        <v>1</v>
      </c>
      <c r="C51" s="20">
        <v>1330</v>
      </c>
      <c r="D51" s="795">
        <v>30</v>
      </c>
      <c r="E51" s="20">
        <v>399</v>
      </c>
      <c r="F51" s="812">
        <f t="shared" si="3"/>
        <v>96.119100000000003</v>
      </c>
      <c r="G51" s="806">
        <f t="shared" si="1"/>
        <v>495.1191</v>
      </c>
      <c r="H51" s="796">
        <v>1</v>
      </c>
      <c r="I51" s="20">
        <v>1330</v>
      </c>
      <c r="J51" s="324" t="s">
        <v>1113</v>
      </c>
      <c r="K51" s="20">
        <v>266</v>
      </c>
      <c r="L51" s="30">
        <v>64.08</v>
      </c>
      <c r="M51" s="31">
        <f t="shared" si="2"/>
        <v>330.08</v>
      </c>
      <c r="P51" s="797"/>
      <c r="Q51" s="797"/>
      <c r="T51" s="780"/>
      <c r="U51" s="798"/>
    </row>
    <row r="52" spans="1:21" ht="45.75" thickBot="1" x14ac:dyDescent="0.3">
      <c r="A52" s="800" t="s">
        <v>1145</v>
      </c>
      <c r="B52" s="778">
        <v>1</v>
      </c>
      <c r="C52" s="20">
        <v>1100</v>
      </c>
      <c r="D52" s="795">
        <v>30</v>
      </c>
      <c r="E52" s="20">
        <v>330</v>
      </c>
      <c r="F52" s="30">
        <f t="shared" si="3"/>
        <v>79.497</v>
      </c>
      <c r="G52" s="31">
        <f t="shared" si="1"/>
        <v>409.49700000000001</v>
      </c>
      <c r="H52" s="796">
        <v>1</v>
      </c>
      <c r="I52" s="20">
        <v>1100</v>
      </c>
      <c r="J52" s="324" t="s">
        <v>1113</v>
      </c>
      <c r="K52" s="20">
        <v>220</v>
      </c>
      <c r="L52" s="30">
        <v>53</v>
      </c>
      <c r="M52" s="31">
        <f t="shared" si="2"/>
        <v>273</v>
      </c>
      <c r="P52" s="797"/>
      <c r="Q52" s="797"/>
      <c r="T52" s="780"/>
      <c r="U52" s="798"/>
    </row>
    <row r="53" spans="1:21" ht="30.75" thickBot="1" x14ac:dyDescent="0.3">
      <c r="A53" s="800" t="s">
        <v>1147</v>
      </c>
      <c r="B53" s="813">
        <v>1</v>
      </c>
      <c r="C53" s="23">
        <v>1050</v>
      </c>
      <c r="D53" s="814"/>
      <c r="E53" s="23"/>
      <c r="F53" s="815"/>
      <c r="G53" s="816"/>
      <c r="H53" s="817">
        <v>1</v>
      </c>
      <c r="I53" s="23">
        <v>1050</v>
      </c>
      <c r="J53" s="818">
        <v>20</v>
      </c>
      <c r="K53" s="23">
        <v>168</v>
      </c>
      <c r="L53" s="815">
        <v>40.47</v>
      </c>
      <c r="M53" s="816">
        <f t="shared" si="2"/>
        <v>208.47</v>
      </c>
      <c r="P53" s="797"/>
      <c r="Q53" s="797"/>
      <c r="T53" s="780"/>
      <c r="U53" s="798"/>
    </row>
    <row r="54" spans="1:21" ht="127.5" customHeight="1" x14ac:dyDescent="0.25">
      <c r="A54" s="933"/>
      <c r="B54" s="934"/>
      <c r="C54" s="934"/>
      <c r="D54" s="934"/>
      <c r="E54" s="934"/>
      <c r="F54" s="934"/>
      <c r="G54" s="935"/>
      <c r="H54" s="711"/>
      <c r="I54" s="711"/>
      <c r="J54" s="711"/>
      <c r="K54" s="711"/>
      <c r="L54" s="711"/>
      <c r="M54" s="711"/>
    </row>
  </sheetData>
  <mergeCells count="5">
    <mergeCell ref="A2:M2"/>
    <mergeCell ref="A6:A7"/>
    <mergeCell ref="B6:G6"/>
    <mergeCell ref="H6:M6"/>
    <mergeCell ref="A54:G54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40697-4B3A-4D4F-82EE-D5486E6A72A1}">
  <dimension ref="A2:S132"/>
  <sheetViews>
    <sheetView topLeftCell="A16" zoomScale="70" zoomScaleNormal="70" workbookViewId="0">
      <selection activeCell="I35" sqref="I35"/>
    </sheetView>
  </sheetViews>
  <sheetFormatPr defaultRowHeight="16.5" x14ac:dyDescent="0.25"/>
  <cols>
    <col min="1" max="1" width="42.7109375" style="2" customWidth="1"/>
    <col min="2" max="2" width="14" style="2" customWidth="1"/>
    <col min="3" max="3" width="16" style="2" customWidth="1"/>
    <col min="4" max="19" width="14" style="2" customWidth="1"/>
    <col min="20" max="16384" width="9.140625" style="2"/>
  </cols>
  <sheetData>
    <row r="2" spans="1:19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19" x14ac:dyDescent="0.25">
      <c r="A4" s="2" t="s">
        <v>1148</v>
      </c>
    </row>
    <row r="5" spans="1:19" ht="17.25" thickBot="1" x14ac:dyDescent="0.3"/>
    <row r="6" spans="1:19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857" t="s">
        <v>4</v>
      </c>
      <c r="I6" s="858"/>
      <c r="J6" s="858"/>
      <c r="K6" s="858"/>
      <c r="L6" s="858"/>
      <c r="M6" s="859"/>
      <c r="N6" s="857" t="s">
        <v>5</v>
      </c>
      <c r="O6" s="858"/>
      <c r="P6" s="858"/>
      <c r="Q6" s="858"/>
      <c r="R6" s="858"/>
      <c r="S6" s="859"/>
    </row>
    <row r="7" spans="1:19" ht="104.25" customHeight="1" x14ac:dyDescent="0.25">
      <c r="A7" s="907"/>
      <c r="B7" s="3" t="s">
        <v>78</v>
      </c>
      <c r="C7" s="769" t="s">
        <v>10</v>
      </c>
      <c r="D7" s="769" t="s">
        <v>6</v>
      </c>
      <c r="E7" s="769" t="s">
        <v>7</v>
      </c>
      <c r="F7" s="769" t="s">
        <v>8</v>
      </c>
      <c r="G7" s="426" t="s">
        <v>9</v>
      </c>
      <c r="H7" s="3" t="s">
        <v>78</v>
      </c>
      <c r="I7" s="769" t="s">
        <v>10</v>
      </c>
      <c r="J7" s="769" t="s">
        <v>6</v>
      </c>
      <c r="K7" s="769" t="s">
        <v>7</v>
      </c>
      <c r="L7" s="769" t="s">
        <v>8</v>
      </c>
      <c r="M7" s="426" t="s">
        <v>9</v>
      </c>
      <c r="N7" s="3" t="s">
        <v>78</v>
      </c>
      <c r="O7" s="769" t="s">
        <v>10</v>
      </c>
      <c r="P7" s="769" t="s">
        <v>6</v>
      </c>
      <c r="Q7" s="769" t="s">
        <v>7</v>
      </c>
      <c r="R7" s="769" t="s">
        <v>8</v>
      </c>
      <c r="S7" s="426" t="s">
        <v>9</v>
      </c>
    </row>
    <row r="8" spans="1:19" ht="13.5" customHeight="1" x14ac:dyDescent="0.25">
      <c r="A8" s="819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19" s="1" customFormat="1" ht="26.25" customHeight="1" x14ac:dyDescent="0.25">
      <c r="A9" s="10" t="s">
        <v>0</v>
      </c>
      <c r="B9" s="11">
        <f>SUM(B12:B130)</f>
        <v>87.5</v>
      </c>
      <c r="C9" s="12"/>
      <c r="D9" s="12"/>
      <c r="E9" s="12">
        <f>SUM(E12:E130)</f>
        <v>15018.039999999997</v>
      </c>
      <c r="F9" s="12">
        <f>SUM(F12:F130)</f>
        <v>3577.12</v>
      </c>
      <c r="G9" s="13">
        <f>SUM(G12:G130)</f>
        <v>18595.16</v>
      </c>
      <c r="H9" s="11">
        <f>SUM(H12:H130)</f>
        <v>81.5</v>
      </c>
      <c r="I9" s="12"/>
      <c r="J9" s="12"/>
      <c r="K9" s="12">
        <f>SUM(K12:K130)</f>
        <v>16250.569999999996</v>
      </c>
      <c r="L9" s="12">
        <f>SUM(L12:L130)</f>
        <v>3876.6899999999982</v>
      </c>
      <c r="M9" s="13">
        <f>SUM(M12:M130)</f>
        <v>20127.260000000002</v>
      </c>
      <c r="N9" s="11"/>
      <c r="O9" s="12"/>
      <c r="P9" s="12"/>
      <c r="Q9" s="12"/>
      <c r="R9" s="12"/>
      <c r="S9" s="13"/>
    </row>
    <row r="10" spans="1:19" s="820" customFormat="1" ht="26.25" customHeight="1" x14ac:dyDescent="0.25">
      <c r="A10" s="14" t="s">
        <v>1149</v>
      </c>
      <c r="B10" s="15"/>
      <c r="C10" s="16"/>
      <c r="D10" s="16"/>
      <c r="E10" s="16"/>
      <c r="F10" s="16"/>
      <c r="G10" s="17"/>
      <c r="H10" s="15"/>
      <c r="I10" s="16"/>
      <c r="J10" s="16"/>
      <c r="K10" s="16"/>
      <c r="L10" s="16"/>
      <c r="M10" s="17"/>
      <c r="N10" s="15"/>
      <c r="O10" s="16"/>
      <c r="P10" s="16"/>
      <c r="Q10" s="16"/>
      <c r="R10" s="16"/>
      <c r="S10" s="17"/>
    </row>
    <row r="11" spans="1:19" s="1" customFormat="1" ht="33" x14ac:dyDescent="0.25">
      <c r="A11" s="18" t="s">
        <v>11</v>
      </c>
      <c r="B11" s="29"/>
      <c r="C11" s="30"/>
      <c r="D11" s="30"/>
      <c r="E11" s="30"/>
      <c r="F11" s="30"/>
      <c r="G11" s="31"/>
      <c r="H11" s="29"/>
      <c r="I11" s="30"/>
      <c r="J11" s="30"/>
      <c r="K11" s="30"/>
      <c r="L11" s="30"/>
      <c r="M11" s="31"/>
      <c r="N11" s="29"/>
      <c r="O11" s="30"/>
      <c r="P11" s="30"/>
      <c r="Q11" s="30"/>
      <c r="R11" s="30"/>
      <c r="S11" s="31"/>
    </row>
    <row r="12" spans="1:19" ht="26.25" customHeight="1" x14ac:dyDescent="0.25">
      <c r="A12" s="821" t="s">
        <v>1111</v>
      </c>
      <c r="B12" s="19">
        <v>1</v>
      </c>
      <c r="C12" s="20">
        <v>2264</v>
      </c>
      <c r="D12" s="20">
        <v>20</v>
      </c>
      <c r="E12" s="20">
        <v>452.8</v>
      </c>
      <c r="F12" s="20">
        <v>109.08</v>
      </c>
      <c r="G12" s="21">
        <f>SUM(E12:F12)</f>
        <v>561.88</v>
      </c>
      <c r="H12" s="19">
        <v>1</v>
      </c>
      <c r="I12" s="20">
        <v>2264</v>
      </c>
      <c r="J12" s="20">
        <v>20</v>
      </c>
      <c r="K12" s="20">
        <v>452.8</v>
      </c>
      <c r="L12" s="20">
        <v>109.08</v>
      </c>
      <c r="M12" s="21">
        <f>SUM(K12:L12)</f>
        <v>561.88</v>
      </c>
      <c r="N12" s="19"/>
      <c r="O12" s="20"/>
      <c r="P12" s="20"/>
      <c r="Q12" s="20"/>
      <c r="R12" s="20"/>
      <c r="S12" s="21"/>
    </row>
    <row r="13" spans="1:19" ht="33" x14ac:dyDescent="0.25">
      <c r="A13" s="18" t="s">
        <v>1150</v>
      </c>
      <c r="B13" s="19">
        <v>1</v>
      </c>
      <c r="C13" s="20">
        <v>1917</v>
      </c>
      <c r="D13" s="20">
        <v>20</v>
      </c>
      <c r="E13" s="20">
        <v>383.4</v>
      </c>
      <c r="F13" s="20">
        <v>92.36</v>
      </c>
      <c r="G13" s="21">
        <f>SUM(E13:F13)</f>
        <v>475.76</v>
      </c>
      <c r="H13" s="19">
        <v>1</v>
      </c>
      <c r="I13" s="20">
        <v>1917</v>
      </c>
      <c r="J13" s="20">
        <v>20</v>
      </c>
      <c r="K13" s="20">
        <v>383.4</v>
      </c>
      <c r="L13" s="20">
        <v>92.36</v>
      </c>
      <c r="M13" s="21">
        <f>SUM(K13:L13)</f>
        <v>475.76</v>
      </c>
      <c r="N13" s="19"/>
      <c r="O13" s="20"/>
      <c r="P13" s="20"/>
      <c r="Q13" s="20"/>
      <c r="R13" s="20"/>
      <c r="S13" s="21"/>
    </row>
    <row r="14" spans="1:19" s="820" customFormat="1" ht="49.5" x14ac:dyDescent="0.25">
      <c r="A14" s="36" t="s">
        <v>1151</v>
      </c>
      <c r="B14" s="15"/>
      <c r="C14" s="16"/>
      <c r="D14" s="16"/>
      <c r="E14" s="16"/>
      <c r="F14" s="16"/>
      <c r="G14" s="17"/>
      <c r="H14" s="15"/>
      <c r="I14" s="16"/>
      <c r="J14" s="16"/>
      <c r="K14" s="16"/>
      <c r="L14" s="16"/>
      <c r="M14" s="17"/>
      <c r="N14" s="15"/>
      <c r="O14" s="16"/>
      <c r="P14" s="16"/>
      <c r="Q14" s="16"/>
      <c r="R14" s="16"/>
      <c r="S14" s="17"/>
    </row>
    <row r="15" spans="1:19" s="1" customFormat="1" ht="33" x14ac:dyDescent="0.25">
      <c r="A15" s="18" t="s">
        <v>11</v>
      </c>
      <c r="B15" s="29"/>
      <c r="C15" s="30"/>
      <c r="D15" s="30"/>
      <c r="E15" s="30"/>
      <c r="F15" s="30"/>
      <c r="G15" s="31"/>
      <c r="H15" s="29"/>
      <c r="I15" s="30"/>
      <c r="J15" s="30"/>
      <c r="K15" s="30"/>
      <c r="L15" s="30"/>
      <c r="M15" s="31"/>
      <c r="N15" s="29"/>
      <c r="O15" s="30"/>
      <c r="P15" s="30"/>
      <c r="Q15" s="30"/>
      <c r="R15" s="30"/>
      <c r="S15" s="31"/>
    </row>
    <row r="16" spans="1:19" ht="26.25" customHeight="1" x14ac:dyDescent="0.25">
      <c r="A16" s="821" t="s">
        <v>1152</v>
      </c>
      <c r="B16" s="19">
        <v>1</v>
      </c>
      <c r="C16" s="20">
        <v>1647</v>
      </c>
      <c r="D16" s="20">
        <v>20</v>
      </c>
      <c r="E16" s="20">
        <v>329.4</v>
      </c>
      <c r="F16" s="20">
        <v>79.349999999999994</v>
      </c>
      <c r="G16" s="21">
        <f>SUM(E16:F16)</f>
        <v>408.75</v>
      </c>
      <c r="H16" s="19">
        <v>1</v>
      </c>
      <c r="I16" s="20">
        <v>1647</v>
      </c>
      <c r="J16" s="20">
        <v>20</v>
      </c>
      <c r="K16" s="20">
        <v>329.4</v>
      </c>
      <c r="L16" s="20">
        <v>79.349999999999994</v>
      </c>
      <c r="M16" s="21">
        <f>SUM(K16:L16)</f>
        <v>408.75</v>
      </c>
      <c r="N16" s="19"/>
      <c r="O16" s="20"/>
      <c r="P16" s="20"/>
      <c r="Q16" s="20"/>
      <c r="R16" s="20"/>
      <c r="S16" s="21"/>
    </row>
    <row r="17" spans="1:19" s="820" customFormat="1" x14ac:dyDescent="0.25">
      <c r="A17" s="36" t="s">
        <v>1153</v>
      </c>
      <c r="B17" s="15"/>
      <c r="C17" s="16"/>
      <c r="D17" s="16"/>
      <c r="E17" s="16"/>
      <c r="F17" s="16"/>
      <c r="G17" s="17"/>
      <c r="H17" s="15"/>
      <c r="I17" s="16"/>
      <c r="J17" s="16"/>
      <c r="K17" s="16"/>
      <c r="L17" s="16"/>
      <c r="M17" s="17"/>
      <c r="N17" s="15"/>
      <c r="O17" s="16"/>
      <c r="P17" s="16"/>
      <c r="Q17" s="16"/>
      <c r="R17" s="16"/>
      <c r="S17" s="17"/>
    </row>
    <row r="18" spans="1:19" s="1" customFormat="1" ht="33" x14ac:dyDescent="0.25">
      <c r="A18" s="18" t="s">
        <v>11</v>
      </c>
      <c r="B18" s="29"/>
      <c r="C18" s="30"/>
      <c r="D18" s="30"/>
      <c r="E18" s="30"/>
      <c r="F18" s="30"/>
      <c r="G18" s="31"/>
      <c r="H18" s="29"/>
      <c r="I18" s="30"/>
      <c r="J18" s="30"/>
      <c r="K18" s="30"/>
      <c r="L18" s="30"/>
      <c r="M18" s="31"/>
      <c r="N18" s="29"/>
      <c r="O18" s="30"/>
      <c r="P18" s="30"/>
      <c r="Q18" s="30"/>
      <c r="R18" s="30"/>
      <c r="S18" s="31"/>
    </row>
    <row r="19" spans="1:19" ht="26.25" customHeight="1" x14ac:dyDescent="0.25">
      <c r="A19" s="821" t="s">
        <v>842</v>
      </c>
      <c r="B19" s="19">
        <v>1</v>
      </c>
      <c r="C19" s="20">
        <v>1382</v>
      </c>
      <c r="D19" s="20">
        <v>30</v>
      </c>
      <c r="E19" s="20">
        <v>414.6</v>
      </c>
      <c r="F19" s="20">
        <v>99.88</v>
      </c>
      <c r="G19" s="21">
        <f t="shared" ref="G19:G20" si="0">SUM(E19:F19)</f>
        <v>514.48</v>
      </c>
      <c r="H19" s="19">
        <v>1</v>
      </c>
      <c r="I19" s="20">
        <v>1382</v>
      </c>
      <c r="J19" s="20">
        <v>20</v>
      </c>
      <c r="K19" s="20">
        <v>276.39999999999998</v>
      </c>
      <c r="L19" s="20">
        <v>66.58</v>
      </c>
      <c r="M19" s="21">
        <f>SUM(K19:L19)</f>
        <v>342.97999999999996</v>
      </c>
      <c r="N19" s="19"/>
      <c r="O19" s="20"/>
      <c r="P19" s="20"/>
      <c r="Q19" s="20"/>
      <c r="R19" s="20"/>
      <c r="S19" s="21"/>
    </row>
    <row r="20" spans="1:19" ht="26.25" customHeight="1" x14ac:dyDescent="0.25">
      <c r="A20" s="821" t="s">
        <v>1154</v>
      </c>
      <c r="B20" s="19">
        <v>1</v>
      </c>
      <c r="C20" s="20">
        <v>1015</v>
      </c>
      <c r="D20" s="20">
        <v>30</v>
      </c>
      <c r="E20" s="20">
        <v>304.5</v>
      </c>
      <c r="F20" s="20">
        <v>73.349999999999994</v>
      </c>
      <c r="G20" s="21">
        <f t="shared" si="0"/>
        <v>377.85</v>
      </c>
      <c r="H20" s="19">
        <v>1</v>
      </c>
      <c r="I20" s="20">
        <v>1015</v>
      </c>
      <c r="J20" s="20">
        <v>20</v>
      </c>
      <c r="K20" s="20">
        <v>203</v>
      </c>
      <c r="L20" s="20">
        <v>48.9</v>
      </c>
      <c r="M20" s="21">
        <f t="shared" ref="M20" si="1">SUM(K20:L20)</f>
        <v>251.9</v>
      </c>
      <c r="N20" s="19"/>
      <c r="O20" s="20"/>
      <c r="P20" s="20"/>
      <c r="Q20" s="20"/>
      <c r="R20" s="20"/>
      <c r="S20" s="21"/>
    </row>
    <row r="21" spans="1:19" ht="26.25" customHeight="1" x14ac:dyDescent="0.25">
      <c r="A21" s="821" t="s">
        <v>1154</v>
      </c>
      <c r="B21" s="19"/>
      <c r="C21" s="20"/>
      <c r="D21" s="20"/>
      <c r="E21" s="822"/>
      <c r="F21" s="822"/>
      <c r="G21" s="21"/>
      <c r="H21" s="19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1"/>
    </row>
    <row r="22" spans="1:19" s="820" customFormat="1" x14ac:dyDescent="0.25">
      <c r="A22" s="36" t="s">
        <v>1155</v>
      </c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7"/>
      <c r="N22" s="15"/>
      <c r="O22" s="16"/>
      <c r="P22" s="16"/>
      <c r="Q22" s="16"/>
      <c r="R22" s="16"/>
      <c r="S22" s="17"/>
    </row>
    <row r="23" spans="1:19" s="1" customFormat="1" ht="33" x14ac:dyDescent="0.25">
      <c r="A23" s="18" t="s">
        <v>11</v>
      </c>
      <c r="B23" s="29"/>
      <c r="C23" s="30"/>
      <c r="D23" s="30"/>
      <c r="E23" s="30"/>
      <c r="F23" s="30"/>
      <c r="G23" s="31"/>
      <c r="H23" s="29"/>
      <c r="I23" s="30"/>
      <c r="J23" s="30"/>
      <c r="K23" s="30"/>
      <c r="L23" s="30"/>
      <c r="M23" s="31"/>
      <c r="N23" s="29"/>
      <c r="O23" s="30"/>
      <c r="P23" s="30"/>
      <c r="Q23" s="30"/>
      <c r="R23" s="30"/>
      <c r="S23" s="31"/>
    </row>
    <row r="24" spans="1:19" ht="26.25" customHeight="1" x14ac:dyDescent="0.25">
      <c r="A24" s="821" t="s">
        <v>1156</v>
      </c>
      <c r="B24" s="19">
        <v>1</v>
      </c>
      <c r="C24" s="20">
        <v>996</v>
      </c>
      <c r="D24" s="20">
        <v>30</v>
      </c>
      <c r="E24" s="20">
        <v>162.97999999999999</v>
      </c>
      <c r="F24" s="20">
        <v>39.26</v>
      </c>
      <c r="G24" s="21">
        <f t="shared" ref="G24" si="2">SUM(E24:F24)</f>
        <v>202.23999999999998</v>
      </c>
      <c r="H24" s="19">
        <v>1</v>
      </c>
      <c r="I24" s="20">
        <v>996</v>
      </c>
      <c r="J24" s="20">
        <v>20</v>
      </c>
      <c r="K24" s="20">
        <v>199.2</v>
      </c>
      <c r="L24" s="20">
        <v>47.99</v>
      </c>
      <c r="M24" s="21">
        <f>SUM(K24:L24)</f>
        <v>247.19</v>
      </c>
      <c r="N24" s="19"/>
      <c r="O24" s="20"/>
      <c r="P24" s="20"/>
      <c r="Q24" s="20"/>
      <c r="R24" s="20"/>
      <c r="S24" s="21"/>
    </row>
    <row r="25" spans="1:19" s="1" customFormat="1" ht="66" x14ac:dyDescent="0.25">
      <c r="A25" s="36" t="s">
        <v>1157</v>
      </c>
      <c r="B25" s="15"/>
      <c r="C25" s="16"/>
      <c r="D25" s="16"/>
      <c r="E25" s="16"/>
      <c r="F25" s="16"/>
      <c r="G25" s="17"/>
      <c r="H25" s="15"/>
      <c r="I25" s="16"/>
      <c r="J25" s="16"/>
      <c r="K25" s="16"/>
      <c r="L25" s="16"/>
      <c r="M25" s="17"/>
      <c r="N25" s="15"/>
      <c r="O25" s="16"/>
      <c r="P25" s="16"/>
      <c r="Q25" s="16"/>
      <c r="R25" s="16"/>
      <c r="S25" s="17"/>
    </row>
    <row r="26" spans="1:19" ht="33" x14ac:dyDescent="0.25">
      <c r="A26" s="18" t="s">
        <v>11</v>
      </c>
      <c r="B26" s="19"/>
      <c r="C26" s="20"/>
      <c r="D26" s="20"/>
      <c r="E26" s="20"/>
      <c r="F26" s="20"/>
      <c r="G26" s="21"/>
      <c r="H26" s="19"/>
      <c r="I26" s="20"/>
      <c r="J26" s="20"/>
      <c r="K26" s="20"/>
      <c r="L26" s="20"/>
      <c r="M26" s="21"/>
      <c r="N26" s="19"/>
      <c r="O26" s="20"/>
      <c r="P26" s="20"/>
      <c r="Q26" s="20"/>
      <c r="R26" s="20"/>
      <c r="S26" s="21"/>
    </row>
    <row r="27" spans="1:19" x14ac:dyDescent="0.25">
      <c r="A27" s="18" t="s">
        <v>842</v>
      </c>
      <c r="B27" s="19">
        <v>1</v>
      </c>
      <c r="C27" s="20">
        <v>1382</v>
      </c>
      <c r="D27" s="20">
        <v>20</v>
      </c>
      <c r="E27" s="20">
        <v>276.39999999999998</v>
      </c>
      <c r="F27" s="20">
        <v>58.9</v>
      </c>
      <c r="G27" s="21">
        <f>SUM(E27:F27)</f>
        <v>335.29999999999995</v>
      </c>
      <c r="H27" s="19">
        <v>1</v>
      </c>
      <c r="I27" s="20">
        <v>1382</v>
      </c>
      <c r="J27" s="20">
        <v>20</v>
      </c>
      <c r="K27" s="20">
        <v>276.39999999999998</v>
      </c>
      <c r="L27" s="20">
        <v>58.9</v>
      </c>
      <c r="M27" s="21">
        <f>SUM(K27:L27)</f>
        <v>335.29999999999995</v>
      </c>
      <c r="N27" s="19"/>
      <c r="O27" s="20"/>
      <c r="P27" s="20"/>
      <c r="Q27" s="20"/>
      <c r="R27" s="20"/>
      <c r="S27" s="21"/>
    </row>
    <row r="28" spans="1:19" ht="18.75" customHeight="1" x14ac:dyDescent="0.25">
      <c r="A28" s="823" t="s">
        <v>1158</v>
      </c>
      <c r="B28" s="19">
        <v>1</v>
      </c>
      <c r="C28" s="20">
        <v>1287</v>
      </c>
      <c r="D28" s="20">
        <v>20</v>
      </c>
      <c r="E28" s="20">
        <v>257.39999999999998</v>
      </c>
      <c r="F28" s="20">
        <v>62.01</v>
      </c>
      <c r="G28" s="21">
        <f>SUM(E28:F28)</f>
        <v>319.40999999999997</v>
      </c>
      <c r="H28" s="19">
        <v>1</v>
      </c>
      <c r="I28" s="20">
        <v>1287</v>
      </c>
      <c r="J28" s="20">
        <v>20</v>
      </c>
      <c r="K28" s="20">
        <v>257.39999999999998</v>
      </c>
      <c r="L28" s="20">
        <v>62.01</v>
      </c>
      <c r="M28" s="21">
        <f>SUM(K28:L28)</f>
        <v>319.40999999999997</v>
      </c>
      <c r="N28" s="19"/>
      <c r="O28" s="20"/>
      <c r="P28" s="20"/>
      <c r="Q28" s="20"/>
      <c r="R28" s="20"/>
      <c r="S28" s="21"/>
    </row>
    <row r="29" spans="1:19" ht="18.75" customHeight="1" x14ac:dyDescent="0.25">
      <c r="A29" s="823" t="s">
        <v>1159</v>
      </c>
      <c r="B29" s="19">
        <v>1</v>
      </c>
      <c r="C29" s="20">
        <v>1190</v>
      </c>
      <c r="D29" s="20">
        <v>20</v>
      </c>
      <c r="E29" s="20">
        <v>238</v>
      </c>
      <c r="F29" s="20">
        <v>50.72</v>
      </c>
      <c r="G29" s="21">
        <f t="shared" ref="G29:G49" si="3">SUM(E29:F29)</f>
        <v>288.72000000000003</v>
      </c>
      <c r="H29" s="19">
        <v>1</v>
      </c>
      <c r="I29" s="20">
        <v>1190</v>
      </c>
      <c r="J29" s="20">
        <v>20</v>
      </c>
      <c r="K29" s="20">
        <v>238</v>
      </c>
      <c r="L29" s="20">
        <v>50.72</v>
      </c>
      <c r="M29" s="21">
        <f t="shared" ref="M29" si="4">SUM(K29:L29)</f>
        <v>288.72000000000003</v>
      </c>
      <c r="N29" s="19"/>
      <c r="O29" s="20"/>
      <c r="P29" s="20"/>
      <c r="Q29" s="20"/>
      <c r="R29" s="20"/>
      <c r="S29" s="21"/>
    </row>
    <row r="30" spans="1:19" ht="18.75" customHeight="1" x14ac:dyDescent="0.25">
      <c r="A30" s="823" t="s">
        <v>1159</v>
      </c>
      <c r="B30" s="19">
        <v>1</v>
      </c>
      <c r="C30" s="20">
        <v>1190</v>
      </c>
      <c r="D30" s="20">
        <v>20</v>
      </c>
      <c r="E30" s="20">
        <v>238</v>
      </c>
      <c r="F30" s="20">
        <v>57.33</v>
      </c>
      <c r="G30" s="21">
        <f t="shared" si="3"/>
        <v>295.33</v>
      </c>
      <c r="H30" s="19">
        <v>1</v>
      </c>
      <c r="I30" s="20">
        <v>1190</v>
      </c>
      <c r="J30" s="20">
        <v>20</v>
      </c>
      <c r="K30" s="20">
        <v>238</v>
      </c>
      <c r="L30" s="20">
        <v>57.33</v>
      </c>
      <c r="M30" s="21">
        <f t="shared" ref="M30:M31" si="5">SUM(K30:L30)</f>
        <v>295.33</v>
      </c>
      <c r="N30" s="19"/>
      <c r="O30" s="20"/>
      <c r="P30" s="20"/>
      <c r="Q30" s="20"/>
      <c r="R30" s="20"/>
      <c r="S30" s="21"/>
    </row>
    <row r="31" spans="1:19" ht="18.75" customHeight="1" x14ac:dyDescent="0.25">
      <c r="A31" s="823" t="s">
        <v>1159</v>
      </c>
      <c r="B31" s="19">
        <v>1</v>
      </c>
      <c r="C31" s="20">
        <v>1190</v>
      </c>
      <c r="D31" s="20">
        <v>20</v>
      </c>
      <c r="E31" s="20">
        <v>238</v>
      </c>
      <c r="F31" s="20">
        <v>50.72</v>
      </c>
      <c r="G31" s="21">
        <f t="shared" si="3"/>
        <v>288.72000000000003</v>
      </c>
      <c r="H31" s="19">
        <v>1</v>
      </c>
      <c r="I31" s="20">
        <v>1190</v>
      </c>
      <c r="J31" s="20">
        <v>20</v>
      </c>
      <c r="K31" s="20">
        <v>238</v>
      </c>
      <c r="L31" s="20">
        <v>50.72</v>
      </c>
      <c r="M31" s="21">
        <f t="shared" si="5"/>
        <v>288.72000000000003</v>
      </c>
      <c r="N31" s="19"/>
      <c r="O31" s="20"/>
      <c r="P31" s="20"/>
      <c r="Q31" s="20"/>
      <c r="R31" s="20"/>
      <c r="S31" s="21"/>
    </row>
    <row r="32" spans="1:19" ht="18.75" customHeight="1" x14ac:dyDescent="0.25">
      <c r="A32" s="823" t="s">
        <v>1159</v>
      </c>
      <c r="B32" s="19">
        <v>1</v>
      </c>
      <c r="C32" s="20">
        <v>1190</v>
      </c>
      <c r="D32" s="20">
        <v>20</v>
      </c>
      <c r="E32" s="20">
        <v>238</v>
      </c>
      <c r="F32" s="20">
        <v>57.33</v>
      </c>
      <c r="G32" s="21">
        <f t="shared" si="3"/>
        <v>295.33</v>
      </c>
      <c r="H32" s="19">
        <v>1</v>
      </c>
      <c r="I32" s="20">
        <v>1190</v>
      </c>
      <c r="J32" s="20">
        <v>20</v>
      </c>
      <c r="K32" s="20">
        <v>238</v>
      </c>
      <c r="L32" s="20">
        <v>57.33</v>
      </c>
      <c r="M32" s="21">
        <f>SUM(K32:L32)</f>
        <v>295.33</v>
      </c>
      <c r="N32" s="19"/>
      <c r="O32" s="20"/>
      <c r="P32" s="20"/>
      <c r="Q32" s="20"/>
      <c r="R32" s="20"/>
      <c r="S32" s="21"/>
    </row>
    <row r="33" spans="1:19" ht="23.25" customHeight="1" x14ac:dyDescent="0.25">
      <c r="A33" s="823" t="s">
        <v>1159</v>
      </c>
      <c r="B33" s="19">
        <v>1</v>
      </c>
      <c r="C33" s="20">
        <v>1190</v>
      </c>
      <c r="D33" s="20">
        <v>20</v>
      </c>
      <c r="E33" s="20">
        <v>238</v>
      </c>
      <c r="F33" s="20">
        <v>57.33</v>
      </c>
      <c r="G33" s="21">
        <f t="shared" si="3"/>
        <v>295.33</v>
      </c>
      <c r="H33" s="19">
        <v>1</v>
      </c>
      <c r="I33" s="20">
        <v>1190</v>
      </c>
      <c r="J33" s="20">
        <v>20</v>
      </c>
      <c r="K33" s="20">
        <v>238</v>
      </c>
      <c r="L33" s="20">
        <v>57.33</v>
      </c>
      <c r="M33" s="21">
        <f>SUM(K33:L33)</f>
        <v>295.33</v>
      </c>
      <c r="N33" s="19"/>
      <c r="O33" s="20"/>
      <c r="P33" s="20"/>
      <c r="Q33" s="20"/>
      <c r="R33" s="20"/>
      <c r="S33" s="21"/>
    </row>
    <row r="34" spans="1:19" ht="18.75" customHeight="1" x14ac:dyDescent="0.25">
      <c r="A34" s="823" t="s">
        <v>1159</v>
      </c>
      <c r="B34" s="19">
        <v>1</v>
      </c>
      <c r="C34" s="822">
        <v>1015</v>
      </c>
      <c r="D34" s="20">
        <v>20</v>
      </c>
      <c r="E34" s="20">
        <v>203</v>
      </c>
      <c r="F34" s="20">
        <v>48.91</v>
      </c>
      <c r="G34" s="21">
        <f t="shared" si="3"/>
        <v>251.91</v>
      </c>
      <c r="H34" s="19">
        <v>1</v>
      </c>
      <c r="I34" s="20">
        <v>1015</v>
      </c>
      <c r="J34" s="20">
        <v>20</v>
      </c>
      <c r="K34" s="20">
        <v>203</v>
      </c>
      <c r="L34" s="20">
        <v>48.9</v>
      </c>
      <c r="M34" s="21">
        <f t="shared" ref="M34" si="6">SUM(K34:L34)</f>
        <v>251.9</v>
      </c>
      <c r="N34" s="19"/>
      <c r="O34" s="20"/>
      <c r="P34" s="20"/>
      <c r="Q34" s="20"/>
      <c r="R34" s="20"/>
      <c r="S34" s="21"/>
    </row>
    <row r="35" spans="1:19" ht="18.75" customHeight="1" x14ac:dyDescent="0.25">
      <c r="A35" s="823" t="s">
        <v>1159</v>
      </c>
      <c r="B35" s="19">
        <v>1</v>
      </c>
      <c r="C35" s="20">
        <v>1190</v>
      </c>
      <c r="D35" s="20">
        <v>20</v>
      </c>
      <c r="E35" s="20">
        <v>238</v>
      </c>
      <c r="F35" s="20">
        <v>57.33</v>
      </c>
      <c r="G35" s="21">
        <f t="shared" si="3"/>
        <v>295.33</v>
      </c>
      <c r="H35" s="19">
        <v>1</v>
      </c>
      <c r="I35" s="20">
        <v>1190</v>
      </c>
      <c r="J35" s="20">
        <v>20</v>
      </c>
      <c r="K35" s="20">
        <v>238</v>
      </c>
      <c r="L35" s="20">
        <v>57.33</v>
      </c>
      <c r="M35" s="21">
        <f>SUM(K35:L35)</f>
        <v>295.33</v>
      </c>
      <c r="N35" s="19"/>
      <c r="O35" s="20"/>
      <c r="P35" s="20"/>
      <c r="Q35" s="20"/>
      <c r="R35" s="20"/>
      <c r="S35" s="21"/>
    </row>
    <row r="36" spans="1:19" ht="18.75" customHeight="1" x14ac:dyDescent="0.25">
      <c r="A36" s="823" t="s">
        <v>1159</v>
      </c>
      <c r="B36" s="19">
        <v>1</v>
      </c>
      <c r="C36" s="20">
        <v>1190</v>
      </c>
      <c r="D36" s="20">
        <v>20</v>
      </c>
      <c r="E36" s="20">
        <v>173.09</v>
      </c>
      <c r="F36" s="20">
        <v>41.7</v>
      </c>
      <c r="G36" s="21">
        <f t="shared" si="3"/>
        <v>214.79000000000002</v>
      </c>
      <c r="H36" s="19">
        <v>1</v>
      </c>
      <c r="I36" s="20">
        <v>1190</v>
      </c>
      <c r="J36" s="20">
        <v>20</v>
      </c>
      <c r="K36" s="20">
        <v>107.1</v>
      </c>
      <c r="L36" s="20">
        <v>25.8</v>
      </c>
      <c r="M36" s="21">
        <f>SUM(K36:L36)</f>
        <v>132.9</v>
      </c>
      <c r="N36" s="19"/>
      <c r="O36" s="20"/>
      <c r="P36" s="20"/>
      <c r="Q36" s="20"/>
      <c r="R36" s="20"/>
      <c r="S36" s="21"/>
    </row>
    <row r="37" spans="1:19" ht="18.75" customHeight="1" x14ac:dyDescent="0.25">
      <c r="A37" s="823" t="s">
        <v>1159</v>
      </c>
      <c r="B37" s="19">
        <v>1</v>
      </c>
      <c r="C37" s="20">
        <v>1190</v>
      </c>
      <c r="D37" s="20">
        <v>20</v>
      </c>
      <c r="E37" s="20">
        <v>238</v>
      </c>
      <c r="F37" s="20">
        <v>50.72</v>
      </c>
      <c r="G37" s="21">
        <f t="shared" si="3"/>
        <v>288.72000000000003</v>
      </c>
      <c r="H37" s="19">
        <v>1</v>
      </c>
      <c r="I37" s="20">
        <v>1190</v>
      </c>
      <c r="J37" s="20">
        <v>20</v>
      </c>
      <c r="K37" s="20">
        <v>119</v>
      </c>
      <c r="L37" s="20">
        <v>25.36</v>
      </c>
      <c r="M37" s="21">
        <f>SUM(K37:L37)</f>
        <v>144.36000000000001</v>
      </c>
      <c r="N37" s="19"/>
      <c r="O37" s="20"/>
      <c r="P37" s="20"/>
      <c r="Q37" s="20"/>
      <c r="R37" s="20"/>
      <c r="S37" s="21"/>
    </row>
    <row r="38" spans="1:19" ht="18.75" customHeight="1" x14ac:dyDescent="0.25">
      <c r="A38" s="823" t="s">
        <v>1159</v>
      </c>
      <c r="B38" s="19">
        <v>1</v>
      </c>
      <c r="C38" s="20">
        <v>1190</v>
      </c>
      <c r="D38" s="20">
        <v>20</v>
      </c>
      <c r="E38" s="20">
        <v>183.91</v>
      </c>
      <c r="F38" s="20">
        <v>44.31</v>
      </c>
      <c r="G38" s="21">
        <f t="shared" si="3"/>
        <v>228.22</v>
      </c>
      <c r="H38" s="19">
        <v>1</v>
      </c>
      <c r="I38" s="20">
        <v>1190</v>
      </c>
      <c r="J38" s="20">
        <v>20</v>
      </c>
      <c r="K38" s="20">
        <v>238</v>
      </c>
      <c r="L38" s="20">
        <v>57.33</v>
      </c>
      <c r="M38" s="21">
        <f>SUM(K38:L38)</f>
        <v>295.33</v>
      </c>
      <c r="N38" s="19"/>
      <c r="O38" s="20"/>
      <c r="P38" s="20"/>
      <c r="Q38" s="20"/>
      <c r="R38" s="20"/>
      <c r="S38" s="21"/>
    </row>
    <row r="39" spans="1:19" ht="18.75" customHeight="1" x14ac:dyDescent="0.25">
      <c r="A39" s="823" t="s">
        <v>1159</v>
      </c>
      <c r="B39" s="19"/>
      <c r="C39" s="822"/>
      <c r="D39" s="822"/>
      <c r="E39" s="822"/>
      <c r="F39" s="822"/>
      <c r="G39" s="21"/>
      <c r="H39" s="19">
        <v>1</v>
      </c>
      <c r="I39" s="20">
        <v>1190</v>
      </c>
      <c r="J39" s="20">
        <v>20</v>
      </c>
      <c r="K39" s="20">
        <v>238</v>
      </c>
      <c r="L39" s="20">
        <v>57.33</v>
      </c>
      <c r="M39" s="21">
        <f>SUM(K39:L39)</f>
        <v>295.33</v>
      </c>
      <c r="N39" s="19"/>
      <c r="O39" s="20"/>
      <c r="P39" s="20"/>
      <c r="Q39" s="20"/>
      <c r="R39" s="20"/>
      <c r="S39" s="21"/>
    </row>
    <row r="40" spans="1:19" ht="18.75" customHeight="1" x14ac:dyDescent="0.25">
      <c r="A40" s="823" t="s">
        <v>1160</v>
      </c>
      <c r="B40" s="19">
        <v>1</v>
      </c>
      <c r="C40" s="822">
        <v>996</v>
      </c>
      <c r="D40" s="822">
        <v>20</v>
      </c>
      <c r="E40" s="822">
        <v>199.2</v>
      </c>
      <c r="F40" s="822">
        <v>47.98</v>
      </c>
      <c r="G40" s="21">
        <f t="shared" si="3"/>
        <v>247.17999999999998</v>
      </c>
      <c r="H40" s="19">
        <v>1</v>
      </c>
      <c r="I40" s="20">
        <v>996</v>
      </c>
      <c r="J40" s="20">
        <v>20</v>
      </c>
      <c r="K40" s="20">
        <v>199.2</v>
      </c>
      <c r="L40" s="20">
        <v>47.99</v>
      </c>
      <c r="M40" s="21">
        <f t="shared" ref="M40:M46" si="7">SUM(K40:L40)</f>
        <v>247.19</v>
      </c>
      <c r="N40" s="19"/>
      <c r="O40" s="20"/>
      <c r="P40" s="20"/>
      <c r="Q40" s="20"/>
      <c r="R40" s="20"/>
      <c r="S40" s="21"/>
    </row>
    <row r="41" spans="1:19" ht="18.75" customHeight="1" x14ac:dyDescent="0.25">
      <c r="A41" s="823" t="s">
        <v>1160</v>
      </c>
      <c r="B41" s="19">
        <v>1</v>
      </c>
      <c r="C41" s="822">
        <v>996</v>
      </c>
      <c r="D41" s="822">
        <v>20</v>
      </c>
      <c r="E41" s="822">
        <v>199.2</v>
      </c>
      <c r="F41" s="822">
        <v>42.45</v>
      </c>
      <c r="G41" s="21">
        <f t="shared" si="3"/>
        <v>241.64999999999998</v>
      </c>
      <c r="H41" s="19">
        <v>1</v>
      </c>
      <c r="I41" s="20">
        <v>996</v>
      </c>
      <c r="J41" s="20">
        <v>20</v>
      </c>
      <c r="K41" s="20">
        <v>199.2</v>
      </c>
      <c r="L41" s="20">
        <v>42.45</v>
      </c>
      <c r="M41" s="21">
        <f t="shared" si="7"/>
        <v>241.64999999999998</v>
      </c>
      <c r="N41" s="19"/>
      <c r="O41" s="20"/>
      <c r="P41" s="20"/>
      <c r="Q41" s="20"/>
      <c r="R41" s="20"/>
      <c r="S41" s="21"/>
    </row>
    <row r="42" spans="1:19" ht="18.75" customHeight="1" x14ac:dyDescent="0.25">
      <c r="A42" s="823" t="s">
        <v>1160</v>
      </c>
      <c r="B42" s="19">
        <v>1</v>
      </c>
      <c r="C42" s="822">
        <v>996</v>
      </c>
      <c r="D42" s="822">
        <v>20</v>
      </c>
      <c r="E42" s="822">
        <v>199.2</v>
      </c>
      <c r="F42" s="822">
        <v>47.98</v>
      </c>
      <c r="G42" s="21">
        <f t="shared" si="3"/>
        <v>247.17999999999998</v>
      </c>
      <c r="H42" s="19">
        <v>1</v>
      </c>
      <c r="I42" s="20">
        <v>996</v>
      </c>
      <c r="J42" s="20">
        <v>20</v>
      </c>
      <c r="K42" s="20">
        <v>199.2</v>
      </c>
      <c r="L42" s="20">
        <v>47.99</v>
      </c>
      <c r="M42" s="21">
        <f t="shared" si="7"/>
        <v>247.19</v>
      </c>
      <c r="N42" s="19"/>
      <c r="O42" s="20"/>
      <c r="P42" s="20"/>
      <c r="Q42" s="20"/>
      <c r="R42" s="20"/>
      <c r="S42" s="21"/>
    </row>
    <row r="43" spans="1:19" ht="18.75" customHeight="1" x14ac:dyDescent="0.25">
      <c r="A43" s="823" t="s">
        <v>1160</v>
      </c>
      <c r="B43" s="19">
        <v>1</v>
      </c>
      <c r="C43" s="822">
        <v>996</v>
      </c>
      <c r="D43" s="822">
        <v>20</v>
      </c>
      <c r="E43" s="822">
        <v>153.93</v>
      </c>
      <c r="F43" s="822">
        <v>37.090000000000003</v>
      </c>
      <c r="G43" s="21">
        <f t="shared" si="3"/>
        <v>191.02</v>
      </c>
      <c r="H43" s="19">
        <v>1</v>
      </c>
      <c r="I43" s="20">
        <v>996</v>
      </c>
      <c r="J43" s="20">
        <v>20</v>
      </c>
      <c r="K43" s="20">
        <v>199.2</v>
      </c>
      <c r="L43" s="20">
        <v>47.99</v>
      </c>
      <c r="M43" s="21">
        <f t="shared" si="7"/>
        <v>247.19</v>
      </c>
      <c r="N43" s="19"/>
      <c r="O43" s="20"/>
      <c r="P43" s="20"/>
      <c r="Q43" s="20"/>
      <c r="R43" s="20"/>
      <c r="S43" s="21"/>
    </row>
    <row r="44" spans="1:19" ht="18.75" customHeight="1" x14ac:dyDescent="0.25">
      <c r="A44" s="823" t="s">
        <v>1160</v>
      </c>
      <c r="B44" s="19">
        <v>1</v>
      </c>
      <c r="C44" s="822">
        <v>996</v>
      </c>
      <c r="D44" s="822">
        <v>20</v>
      </c>
      <c r="E44" s="822">
        <v>199.2</v>
      </c>
      <c r="F44" s="822">
        <v>47.98</v>
      </c>
      <c r="G44" s="21">
        <f t="shared" si="3"/>
        <v>247.17999999999998</v>
      </c>
      <c r="H44" s="19">
        <v>1</v>
      </c>
      <c r="I44" s="20">
        <v>996</v>
      </c>
      <c r="J44" s="20">
        <v>20</v>
      </c>
      <c r="K44" s="20">
        <v>199.2</v>
      </c>
      <c r="L44" s="20">
        <v>47.99</v>
      </c>
      <c r="M44" s="21">
        <f t="shared" si="7"/>
        <v>247.19</v>
      </c>
      <c r="N44" s="19"/>
      <c r="O44" s="20"/>
      <c r="P44" s="20"/>
      <c r="Q44" s="20"/>
      <c r="R44" s="20"/>
      <c r="S44" s="21"/>
    </row>
    <row r="45" spans="1:19" ht="18.75" customHeight="1" x14ac:dyDescent="0.25">
      <c r="A45" s="823" t="s">
        <v>1160</v>
      </c>
      <c r="B45" s="19">
        <v>1</v>
      </c>
      <c r="C45" s="822">
        <v>996</v>
      </c>
      <c r="D45" s="822">
        <v>20</v>
      </c>
      <c r="E45" s="822">
        <v>199.2</v>
      </c>
      <c r="F45" s="822">
        <v>47.98</v>
      </c>
      <c r="G45" s="21">
        <f t="shared" si="3"/>
        <v>247.17999999999998</v>
      </c>
      <c r="H45" s="19">
        <v>1</v>
      </c>
      <c r="I45" s="20">
        <v>996</v>
      </c>
      <c r="J45" s="20">
        <v>20</v>
      </c>
      <c r="K45" s="20">
        <v>199.2</v>
      </c>
      <c r="L45" s="20">
        <v>47.99</v>
      </c>
      <c r="M45" s="21">
        <f t="shared" si="7"/>
        <v>247.19</v>
      </c>
      <c r="N45" s="19"/>
      <c r="O45" s="20"/>
      <c r="P45" s="20"/>
      <c r="Q45" s="20"/>
      <c r="R45" s="20"/>
      <c r="S45" s="21"/>
    </row>
    <row r="46" spans="1:19" ht="18.75" customHeight="1" x14ac:dyDescent="0.25">
      <c r="A46" s="823" t="s">
        <v>1160</v>
      </c>
      <c r="B46" s="19">
        <v>1</v>
      </c>
      <c r="C46" s="822">
        <v>996</v>
      </c>
      <c r="D46" s="822">
        <v>20</v>
      </c>
      <c r="E46" s="822">
        <v>181.09</v>
      </c>
      <c r="F46" s="822">
        <v>43.63</v>
      </c>
      <c r="G46" s="21">
        <f t="shared" si="3"/>
        <v>224.72</v>
      </c>
      <c r="H46" s="19">
        <v>1</v>
      </c>
      <c r="I46" s="20">
        <v>996</v>
      </c>
      <c r="J46" s="20">
        <v>20</v>
      </c>
      <c r="K46" s="20">
        <v>129.47999999999999</v>
      </c>
      <c r="L46" s="20">
        <v>31.19</v>
      </c>
      <c r="M46" s="21">
        <f t="shared" si="7"/>
        <v>160.66999999999999</v>
      </c>
      <c r="N46" s="19"/>
      <c r="O46" s="20"/>
      <c r="P46" s="20"/>
      <c r="Q46" s="20"/>
      <c r="R46" s="20"/>
      <c r="S46" s="21"/>
    </row>
    <row r="47" spans="1:19" ht="18.75" customHeight="1" x14ac:dyDescent="0.25">
      <c r="A47" s="823" t="s">
        <v>1160</v>
      </c>
      <c r="B47" s="19">
        <v>1</v>
      </c>
      <c r="C47" s="822">
        <v>996</v>
      </c>
      <c r="D47" s="822">
        <v>20</v>
      </c>
      <c r="E47" s="822">
        <v>199.2</v>
      </c>
      <c r="F47" s="822">
        <v>47.98</v>
      </c>
      <c r="G47" s="21">
        <f t="shared" si="3"/>
        <v>247.17999999999998</v>
      </c>
      <c r="H47" s="19"/>
      <c r="I47" s="20"/>
      <c r="J47" s="20"/>
      <c r="K47" s="20"/>
      <c r="L47" s="20"/>
      <c r="M47" s="21"/>
      <c r="N47" s="19"/>
      <c r="O47" s="20"/>
      <c r="P47" s="20"/>
      <c r="Q47" s="20"/>
      <c r="R47" s="20"/>
      <c r="S47" s="21"/>
    </row>
    <row r="48" spans="1:19" ht="18.75" customHeight="1" x14ac:dyDescent="0.25">
      <c r="A48" s="823" t="s">
        <v>1160</v>
      </c>
      <c r="B48" s="19">
        <v>1</v>
      </c>
      <c r="C48" s="822">
        <v>996</v>
      </c>
      <c r="D48" s="822">
        <v>20</v>
      </c>
      <c r="E48" s="822">
        <v>199.2</v>
      </c>
      <c r="F48" s="822">
        <v>47.98</v>
      </c>
      <c r="G48" s="21">
        <f t="shared" si="3"/>
        <v>247.17999999999998</v>
      </c>
      <c r="H48" s="19">
        <v>1</v>
      </c>
      <c r="I48" s="20">
        <v>996</v>
      </c>
      <c r="J48" s="20">
        <v>20</v>
      </c>
      <c r="K48" s="20">
        <v>199.2</v>
      </c>
      <c r="L48" s="20">
        <v>47.99</v>
      </c>
      <c r="M48" s="21">
        <f t="shared" ref="M48:M50" si="8">SUM(K48:L48)</f>
        <v>247.19</v>
      </c>
      <c r="N48" s="19"/>
      <c r="O48" s="20"/>
      <c r="P48" s="20"/>
      <c r="Q48" s="20"/>
      <c r="R48" s="20"/>
      <c r="S48" s="21"/>
    </row>
    <row r="49" spans="1:19" ht="18.75" customHeight="1" x14ac:dyDescent="0.25">
      <c r="A49" s="823" t="s">
        <v>1160</v>
      </c>
      <c r="B49" s="19">
        <v>1</v>
      </c>
      <c r="C49" s="822">
        <v>996</v>
      </c>
      <c r="D49" s="822">
        <v>20</v>
      </c>
      <c r="E49" s="822">
        <v>181.09</v>
      </c>
      <c r="F49" s="822">
        <v>43.63</v>
      </c>
      <c r="G49" s="21">
        <f t="shared" si="3"/>
        <v>224.72</v>
      </c>
      <c r="H49" s="19">
        <v>1</v>
      </c>
      <c r="I49" s="20">
        <v>996</v>
      </c>
      <c r="J49" s="20">
        <v>20</v>
      </c>
      <c r="K49" s="20">
        <v>89.64</v>
      </c>
      <c r="L49" s="20">
        <v>21.59</v>
      </c>
      <c r="M49" s="21">
        <f t="shared" si="8"/>
        <v>111.23</v>
      </c>
      <c r="N49" s="19"/>
      <c r="O49" s="20"/>
      <c r="P49" s="20"/>
      <c r="Q49" s="20"/>
      <c r="R49" s="20"/>
      <c r="S49" s="21"/>
    </row>
    <row r="50" spans="1:19" ht="18.75" customHeight="1" x14ac:dyDescent="0.25">
      <c r="A50" s="823" t="s">
        <v>1160</v>
      </c>
      <c r="B50" s="19">
        <v>1</v>
      </c>
      <c r="C50" s="822">
        <v>996</v>
      </c>
      <c r="D50" s="822">
        <v>20</v>
      </c>
      <c r="E50" s="822">
        <v>199.2</v>
      </c>
      <c r="F50" s="822">
        <v>47.98</v>
      </c>
      <c r="G50" s="21">
        <f t="shared" ref="G50" si="9">SUM(E50:F50)</f>
        <v>247.17999999999998</v>
      </c>
      <c r="H50" s="19">
        <v>1</v>
      </c>
      <c r="I50" s="20">
        <v>996</v>
      </c>
      <c r="J50" s="20">
        <v>20</v>
      </c>
      <c r="K50" s="20">
        <v>199.2</v>
      </c>
      <c r="L50" s="20">
        <v>47.99</v>
      </c>
      <c r="M50" s="21">
        <f t="shared" si="8"/>
        <v>247.19</v>
      </c>
      <c r="N50" s="19"/>
      <c r="O50" s="20"/>
      <c r="P50" s="20"/>
      <c r="Q50" s="20"/>
      <c r="R50" s="20"/>
      <c r="S50" s="21"/>
    </row>
    <row r="51" spans="1:19" ht="18.75" customHeight="1" x14ac:dyDescent="0.25">
      <c r="A51" s="823" t="s">
        <v>1160</v>
      </c>
      <c r="B51" s="19"/>
      <c r="C51" s="20"/>
      <c r="D51" s="20"/>
      <c r="E51" s="20"/>
      <c r="F51" s="20"/>
      <c r="G51" s="21"/>
      <c r="H51" s="19"/>
      <c r="I51" s="20"/>
      <c r="J51" s="20"/>
      <c r="K51" s="20"/>
      <c r="L51" s="20"/>
      <c r="M51" s="21"/>
      <c r="N51" s="19"/>
      <c r="O51" s="20"/>
      <c r="P51" s="20"/>
      <c r="Q51" s="20"/>
      <c r="R51" s="20"/>
      <c r="S51" s="21"/>
    </row>
    <row r="52" spans="1:19" s="1" customFormat="1" ht="66" x14ac:dyDescent="0.25">
      <c r="A52" s="36" t="s">
        <v>1161</v>
      </c>
      <c r="B52" s="15"/>
      <c r="C52" s="16"/>
      <c r="D52" s="16"/>
      <c r="E52" s="16"/>
      <c r="F52" s="16"/>
      <c r="G52" s="17"/>
      <c r="H52" s="15"/>
      <c r="I52" s="16"/>
      <c r="J52" s="16"/>
      <c r="K52" s="16"/>
      <c r="L52" s="16"/>
      <c r="M52" s="17"/>
      <c r="N52" s="15"/>
      <c r="O52" s="16"/>
      <c r="P52" s="16"/>
      <c r="Q52" s="16"/>
      <c r="R52" s="16"/>
      <c r="S52" s="17"/>
    </row>
    <row r="53" spans="1:19" ht="33" x14ac:dyDescent="0.25">
      <c r="A53" s="18" t="s">
        <v>11</v>
      </c>
      <c r="B53" s="19"/>
      <c r="C53" s="20"/>
      <c r="D53" s="20"/>
      <c r="E53" s="20"/>
      <c r="F53" s="20"/>
      <c r="G53" s="21"/>
      <c r="H53" s="19"/>
      <c r="I53" s="20"/>
      <c r="J53" s="20"/>
      <c r="K53" s="20"/>
      <c r="L53" s="20"/>
      <c r="M53" s="21"/>
      <c r="N53" s="19"/>
      <c r="O53" s="20"/>
      <c r="P53" s="20"/>
      <c r="Q53" s="20"/>
      <c r="R53" s="20"/>
      <c r="S53" s="21"/>
    </row>
    <row r="54" spans="1:19" x14ac:dyDescent="0.25">
      <c r="A54" s="18" t="s">
        <v>842</v>
      </c>
      <c r="B54" s="279">
        <v>1</v>
      </c>
      <c r="C54" s="822">
        <v>1382</v>
      </c>
      <c r="D54" s="822">
        <v>20</v>
      </c>
      <c r="E54" s="822">
        <v>226.15</v>
      </c>
      <c r="F54" s="822">
        <v>54.48</v>
      </c>
      <c r="G54" s="824">
        <f t="shared" ref="G54:G65" si="10">SUM(E54:F54)</f>
        <v>280.63</v>
      </c>
      <c r="H54" s="19">
        <v>1</v>
      </c>
      <c r="I54" s="20">
        <v>1382</v>
      </c>
      <c r="J54" s="20">
        <v>20</v>
      </c>
      <c r="K54" s="20">
        <v>276.39999999999998</v>
      </c>
      <c r="L54" s="20">
        <v>66.58</v>
      </c>
      <c r="M54" s="21">
        <f>SUM(K54:L54)</f>
        <v>342.97999999999996</v>
      </c>
      <c r="N54" s="19"/>
      <c r="O54" s="20"/>
      <c r="P54" s="20"/>
      <c r="Q54" s="20"/>
      <c r="R54" s="20"/>
      <c r="S54" s="21"/>
    </row>
    <row r="55" spans="1:19" ht="18.75" customHeight="1" x14ac:dyDescent="0.25">
      <c r="A55" s="823" t="s">
        <v>1158</v>
      </c>
      <c r="B55" s="19">
        <v>1</v>
      </c>
      <c r="C55" s="20">
        <v>1287</v>
      </c>
      <c r="D55" s="20">
        <v>20</v>
      </c>
      <c r="E55" s="20">
        <v>175.5</v>
      </c>
      <c r="F55" s="20">
        <v>37.4</v>
      </c>
      <c r="G55" s="21">
        <f t="shared" si="10"/>
        <v>212.9</v>
      </c>
      <c r="H55" s="19"/>
      <c r="I55" s="20"/>
      <c r="J55" s="20"/>
      <c r="K55" s="20"/>
      <c r="L55" s="20"/>
      <c r="M55" s="21"/>
      <c r="N55" s="19"/>
      <c r="O55" s="20"/>
      <c r="P55" s="20"/>
      <c r="Q55" s="20"/>
      <c r="R55" s="20"/>
      <c r="S55" s="21"/>
    </row>
    <row r="56" spans="1:19" ht="18.75" customHeight="1" x14ac:dyDescent="0.25">
      <c r="A56" s="823" t="s">
        <v>1162</v>
      </c>
      <c r="B56" s="19">
        <v>0.5</v>
      </c>
      <c r="C56" s="20">
        <v>470</v>
      </c>
      <c r="D56" s="20">
        <v>10</v>
      </c>
      <c r="E56" s="20">
        <v>47</v>
      </c>
      <c r="F56" s="20">
        <v>11.32</v>
      </c>
      <c r="G56" s="21">
        <f t="shared" si="10"/>
        <v>58.32</v>
      </c>
      <c r="H56" s="19">
        <v>0.5</v>
      </c>
      <c r="I56" s="825" t="s">
        <v>1163</v>
      </c>
      <c r="J56" s="20">
        <v>10</v>
      </c>
      <c r="K56" s="20">
        <v>55.31</v>
      </c>
      <c r="L56" s="20">
        <v>13.32</v>
      </c>
      <c r="M56" s="21">
        <f>SUM(K56:L56)</f>
        <v>68.63</v>
      </c>
      <c r="N56" s="19"/>
      <c r="O56" s="20"/>
      <c r="P56" s="20"/>
      <c r="Q56" s="20"/>
      <c r="R56" s="20"/>
      <c r="S56" s="21"/>
    </row>
    <row r="57" spans="1:19" ht="18.75" customHeight="1" x14ac:dyDescent="0.25">
      <c r="A57" s="823" t="s">
        <v>1159</v>
      </c>
      <c r="B57" s="19">
        <v>1</v>
      </c>
      <c r="C57" s="20">
        <v>1190</v>
      </c>
      <c r="D57" s="20">
        <v>20</v>
      </c>
      <c r="E57" s="20">
        <v>238</v>
      </c>
      <c r="F57" s="20">
        <v>57.33</v>
      </c>
      <c r="G57" s="21">
        <f t="shared" si="10"/>
        <v>295.33</v>
      </c>
      <c r="H57" s="19">
        <v>1</v>
      </c>
      <c r="I57" s="20">
        <v>1190</v>
      </c>
      <c r="J57" s="20">
        <v>20</v>
      </c>
      <c r="K57" s="20">
        <v>238</v>
      </c>
      <c r="L57" s="20">
        <v>57.33</v>
      </c>
      <c r="M57" s="21">
        <f>SUM(K57:L57)</f>
        <v>295.33</v>
      </c>
      <c r="N57" s="19"/>
      <c r="O57" s="20"/>
      <c r="P57" s="20"/>
      <c r="Q57" s="20"/>
      <c r="R57" s="20"/>
      <c r="S57" s="21"/>
    </row>
    <row r="58" spans="1:19" ht="19.5" customHeight="1" x14ac:dyDescent="0.25">
      <c r="A58" s="823" t="s">
        <v>1159</v>
      </c>
      <c r="B58" s="19">
        <v>1</v>
      </c>
      <c r="C58" s="20">
        <v>1190</v>
      </c>
      <c r="D58" s="20">
        <v>20</v>
      </c>
      <c r="E58" s="20">
        <v>238</v>
      </c>
      <c r="F58" s="20">
        <v>57.33</v>
      </c>
      <c r="G58" s="21">
        <f t="shared" si="10"/>
        <v>295.33</v>
      </c>
      <c r="H58" s="19">
        <v>1</v>
      </c>
      <c r="I58" s="20">
        <v>1190</v>
      </c>
      <c r="J58" s="20">
        <v>20</v>
      </c>
      <c r="K58" s="20">
        <v>238</v>
      </c>
      <c r="L58" s="20">
        <v>57.33</v>
      </c>
      <c r="M58" s="21">
        <f>SUM(K58:L58)</f>
        <v>295.33</v>
      </c>
      <c r="N58" s="19"/>
      <c r="O58" s="20"/>
      <c r="P58" s="20"/>
      <c r="Q58" s="20"/>
      <c r="R58" s="20"/>
      <c r="S58" s="21"/>
    </row>
    <row r="59" spans="1:19" x14ac:dyDescent="0.25">
      <c r="A59" s="823" t="s">
        <v>1159</v>
      </c>
      <c r="B59" s="19">
        <v>1</v>
      </c>
      <c r="C59" s="20">
        <v>1190</v>
      </c>
      <c r="D59" s="20">
        <v>10</v>
      </c>
      <c r="E59" s="20">
        <v>119</v>
      </c>
      <c r="F59" s="20">
        <v>28.66</v>
      </c>
      <c r="G59" s="21">
        <f t="shared" si="10"/>
        <v>147.66</v>
      </c>
      <c r="H59" s="19">
        <v>1</v>
      </c>
      <c r="I59" s="20">
        <v>1190</v>
      </c>
      <c r="J59" s="20">
        <v>10</v>
      </c>
      <c r="K59" s="20">
        <v>119</v>
      </c>
      <c r="L59" s="20">
        <v>28.67</v>
      </c>
      <c r="M59" s="21">
        <f t="shared" ref="M59:M60" si="11">SUM(K59:L59)</f>
        <v>147.67000000000002</v>
      </c>
      <c r="N59" s="19"/>
      <c r="O59" s="20"/>
      <c r="P59" s="20"/>
      <c r="Q59" s="20"/>
      <c r="R59" s="20"/>
      <c r="S59" s="21"/>
    </row>
    <row r="60" spans="1:19" ht="18.75" customHeight="1" x14ac:dyDescent="0.25">
      <c r="A60" s="823" t="s">
        <v>1159</v>
      </c>
      <c r="B60" s="19">
        <v>1</v>
      </c>
      <c r="C60" s="20">
        <v>1190</v>
      </c>
      <c r="D60" s="20">
        <v>15</v>
      </c>
      <c r="E60" s="20">
        <v>178.5</v>
      </c>
      <c r="F60" s="20">
        <v>43</v>
      </c>
      <c r="G60" s="21">
        <f t="shared" si="10"/>
        <v>221.5</v>
      </c>
      <c r="H60" s="19">
        <v>1</v>
      </c>
      <c r="I60" s="20">
        <v>1190</v>
      </c>
      <c r="J60" s="20">
        <v>15</v>
      </c>
      <c r="K60" s="20">
        <v>178.5</v>
      </c>
      <c r="L60" s="20">
        <v>43</v>
      </c>
      <c r="M60" s="21">
        <f t="shared" si="11"/>
        <v>221.5</v>
      </c>
      <c r="N60" s="19"/>
      <c r="O60" s="20"/>
      <c r="P60" s="20"/>
      <c r="Q60" s="20"/>
      <c r="R60" s="20"/>
      <c r="S60" s="21"/>
    </row>
    <row r="61" spans="1:19" ht="18.75" customHeight="1" x14ac:dyDescent="0.25">
      <c r="A61" s="826" t="s">
        <v>1159</v>
      </c>
      <c r="B61" s="19">
        <v>1</v>
      </c>
      <c r="C61" s="822">
        <v>1190</v>
      </c>
      <c r="D61" s="822">
        <v>20</v>
      </c>
      <c r="E61" s="822">
        <v>216.36</v>
      </c>
      <c r="F61" s="822">
        <v>52.13</v>
      </c>
      <c r="G61" s="824">
        <f t="shared" si="10"/>
        <v>268.49</v>
      </c>
      <c r="H61" s="279">
        <v>1</v>
      </c>
      <c r="I61" s="822">
        <v>1190</v>
      </c>
      <c r="J61" s="822">
        <v>20</v>
      </c>
      <c r="K61" s="822">
        <v>238</v>
      </c>
      <c r="L61" s="822">
        <v>57.33</v>
      </c>
      <c r="M61" s="21">
        <f>SUM(K61:L61)</f>
        <v>295.33</v>
      </c>
      <c r="N61" s="19"/>
      <c r="O61" s="20"/>
      <c r="P61" s="20"/>
      <c r="Q61" s="20"/>
      <c r="R61" s="20"/>
      <c r="S61" s="21"/>
    </row>
    <row r="62" spans="1:19" ht="18.75" customHeight="1" x14ac:dyDescent="0.25">
      <c r="A62" s="826" t="s">
        <v>1159</v>
      </c>
      <c r="B62" s="19"/>
      <c r="C62" s="20"/>
      <c r="D62" s="20"/>
      <c r="E62" s="20"/>
      <c r="F62" s="20"/>
      <c r="G62" s="21"/>
      <c r="H62" s="19">
        <v>1</v>
      </c>
      <c r="I62" s="20">
        <v>1140</v>
      </c>
      <c r="J62" s="20">
        <v>20</v>
      </c>
      <c r="K62" s="20">
        <v>171</v>
      </c>
      <c r="L62" s="20">
        <v>41.19</v>
      </c>
      <c r="M62" s="21">
        <f>SUM(K62:L62)</f>
        <v>212.19</v>
      </c>
      <c r="N62" s="19"/>
      <c r="O62" s="20"/>
      <c r="P62" s="20"/>
      <c r="Q62" s="20"/>
      <c r="R62" s="20"/>
      <c r="S62" s="21"/>
    </row>
    <row r="63" spans="1:19" ht="18.75" customHeight="1" x14ac:dyDescent="0.25">
      <c r="A63" s="826" t="s">
        <v>1164</v>
      </c>
      <c r="B63" s="19">
        <v>1</v>
      </c>
      <c r="C63" s="20">
        <v>1015</v>
      </c>
      <c r="D63" s="20">
        <v>20</v>
      </c>
      <c r="E63" s="20">
        <v>203</v>
      </c>
      <c r="F63" s="20">
        <v>48.91</v>
      </c>
      <c r="G63" s="21">
        <f t="shared" si="10"/>
        <v>251.91</v>
      </c>
      <c r="H63" s="19">
        <v>1</v>
      </c>
      <c r="I63" s="20">
        <v>1015</v>
      </c>
      <c r="J63" s="20">
        <v>20</v>
      </c>
      <c r="K63" s="20">
        <v>203</v>
      </c>
      <c r="L63" s="20">
        <v>48.9</v>
      </c>
      <c r="M63" s="21">
        <f t="shared" ref="M63:M65" si="12">SUM(K63:L63)</f>
        <v>251.9</v>
      </c>
      <c r="N63" s="19"/>
      <c r="O63" s="20"/>
      <c r="P63" s="20"/>
      <c r="Q63" s="20"/>
      <c r="R63" s="20"/>
      <c r="S63" s="21"/>
    </row>
    <row r="64" spans="1:19" ht="19.5" customHeight="1" x14ac:dyDescent="0.25">
      <c r="A64" s="826" t="s">
        <v>1164</v>
      </c>
      <c r="B64" s="19">
        <v>1</v>
      </c>
      <c r="C64" s="20">
        <v>1190</v>
      </c>
      <c r="D64" s="20">
        <v>5</v>
      </c>
      <c r="E64" s="20">
        <v>59.5</v>
      </c>
      <c r="F64" s="20">
        <v>14.33</v>
      </c>
      <c r="G64" s="21">
        <f t="shared" si="10"/>
        <v>73.83</v>
      </c>
      <c r="H64" s="19">
        <v>1</v>
      </c>
      <c r="I64" s="20">
        <v>1190</v>
      </c>
      <c r="J64" s="20">
        <v>5</v>
      </c>
      <c r="K64" s="20">
        <v>59.5</v>
      </c>
      <c r="L64" s="20">
        <v>14.33</v>
      </c>
      <c r="M64" s="21">
        <f t="shared" si="12"/>
        <v>73.83</v>
      </c>
      <c r="N64" s="19"/>
      <c r="O64" s="20"/>
      <c r="P64" s="20"/>
      <c r="Q64" s="20"/>
      <c r="R64" s="20"/>
      <c r="S64" s="21"/>
    </row>
    <row r="65" spans="1:19" x14ac:dyDescent="0.25">
      <c r="A65" s="826" t="s">
        <v>1165</v>
      </c>
      <c r="B65" s="19">
        <v>1</v>
      </c>
      <c r="C65" s="20">
        <v>899</v>
      </c>
      <c r="D65" s="20">
        <v>20</v>
      </c>
      <c r="E65" s="20">
        <v>179.8</v>
      </c>
      <c r="F65" s="20">
        <v>43.31</v>
      </c>
      <c r="G65" s="21">
        <f t="shared" si="10"/>
        <v>223.11</v>
      </c>
      <c r="H65" s="19">
        <v>1</v>
      </c>
      <c r="I65" s="20">
        <v>899</v>
      </c>
      <c r="J65" s="20">
        <v>20</v>
      </c>
      <c r="K65" s="20">
        <v>179.8</v>
      </c>
      <c r="L65" s="20">
        <v>43.31</v>
      </c>
      <c r="M65" s="21">
        <f t="shared" si="12"/>
        <v>223.11</v>
      </c>
      <c r="N65" s="19"/>
      <c r="O65" s="20"/>
      <c r="P65" s="20"/>
      <c r="Q65" s="20"/>
      <c r="R65" s="20"/>
      <c r="S65" s="21"/>
    </row>
    <row r="66" spans="1:19" s="1" customFormat="1" ht="49.5" x14ac:dyDescent="0.25">
      <c r="A66" s="36" t="s">
        <v>1166</v>
      </c>
      <c r="B66" s="15"/>
      <c r="C66" s="16"/>
      <c r="D66" s="16"/>
      <c r="E66" s="16"/>
      <c r="F66" s="16"/>
      <c r="G66" s="17"/>
      <c r="H66" s="15"/>
      <c r="I66" s="16"/>
      <c r="J66" s="16"/>
      <c r="K66" s="16"/>
      <c r="L66" s="16"/>
      <c r="M66" s="17"/>
      <c r="N66" s="15"/>
      <c r="O66" s="16"/>
      <c r="P66" s="16"/>
      <c r="Q66" s="16"/>
      <c r="R66" s="16"/>
      <c r="S66" s="17"/>
    </row>
    <row r="67" spans="1:19" ht="33" x14ac:dyDescent="0.25">
      <c r="A67" s="18" t="s">
        <v>11</v>
      </c>
      <c r="B67" s="19"/>
      <c r="C67" s="20"/>
      <c r="D67" s="20"/>
      <c r="E67" s="20"/>
      <c r="F67" s="20"/>
      <c r="G67" s="21"/>
      <c r="H67" s="19"/>
      <c r="I67" s="20"/>
      <c r="J67" s="20"/>
      <c r="K67" s="20"/>
      <c r="L67" s="20"/>
      <c r="M67" s="21"/>
      <c r="N67" s="19"/>
      <c r="O67" s="20"/>
      <c r="P67" s="20"/>
      <c r="Q67" s="20"/>
      <c r="R67" s="20"/>
      <c r="S67" s="21"/>
    </row>
    <row r="68" spans="1:19" ht="18.75" customHeight="1" x14ac:dyDescent="0.25">
      <c r="A68" s="827" t="s">
        <v>1158</v>
      </c>
      <c r="B68" s="171">
        <v>1</v>
      </c>
      <c r="C68" s="20">
        <v>1190</v>
      </c>
      <c r="D68" s="20">
        <v>10</v>
      </c>
      <c r="E68" s="20">
        <v>119</v>
      </c>
      <c r="F68" s="20">
        <v>28.67</v>
      </c>
      <c r="G68" s="21">
        <f t="shared" ref="G68:G94" si="13">SUM(E68:F68)</f>
        <v>147.67000000000002</v>
      </c>
      <c r="H68" s="19">
        <v>1</v>
      </c>
      <c r="I68" s="20">
        <v>1190</v>
      </c>
      <c r="J68" s="20">
        <v>15</v>
      </c>
      <c r="K68" s="20">
        <v>178.5</v>
      </c>
      <c r="L68" s="20">
        <v>43</v>
      </c>
      <c r="M68" s="21">
        <f t="shared" ref="M68" si="14">SUM(K68:L68)</f>
        <v>221.5</v>
      </c>
      <c r="N68" s="19"/>
      <c r="O68" s="20"/>
      <c r="P68" s="20"/>
      <c r="Q68" s="20"/>
      <c r="R68" s="20"/>
      <c r="S68" s="21"/>
    </row>
    <row r="69" spans="1:19" ht="18.75" customHeight="1" x14ac:dyDescent="0.25">
      <c r="A69" s="827" t="s">
        <v>1159</v>
      </c>
      <c r="B69" s="171">
        <v>1</v>
      </c>
      <c r="C69" s="20">
        <v>1155</v>
      </c>
      <c r="D69" s="20">
        <v>5</v>
      </c>
      <c r="E69" s="20">
        <v>57.75</v>
      </c>
      <c r="F69" s="20">
        <v>13.91</v>
      </c>
      <c r="G69" s="21">
        <f t="shared" si="13"/>
        <v>71.66</v>
      </c>
      <c r="H69" s="19">
        <v>1</v>
      </c>
      <c r="I69" s="20">
        <v>1155</v>
      </c>
      <c r="J69" s="20">
        <v>15</v>
      </c>
      <c r="K69" s="20">
        <v>173.25</v>
      </c>
      <c r="L69" s="20">
        <v>41.74</v>
      </c>
      <c r="M69" s="21">
        <f>SUM(K69:L69)</f>
        <v>214.99</v>
      </c>
      <c r="N69" s="19"/>
      <c r="O69" s="20"/>
      <c r="P69" s="20"/>
      <c r="Q69" s="20"/>
      <c r="R69" s="20"/>
      <c r="S69" s="21"/>
    </row>
    <row r="70" spans="1:19" ht="18.75" customHeight="1" x14ac:dyDescent="0.25">
      <c r="A70" s="827" t="s">
        <v>1159</v>
      </c>
      <c r="B70" s="171">
        <v>1</v>
      </c>
      <c r="C70" s="20">
        <v>1155</v>
      </c>
      <c r="D70" s="20">
        <v>5</v>
      </c>
      <c r="E70" s="20">
        <v>57.75</v>
      </c>
      <c r="F70" s="20">
        <v>13.91</v>
      </c>
      <c r="G70" s="21">
        <f t="shared" si="13"/>
        <v>71.66</v>
      </c>
      <c r="H70" s="19">
        <v>1</v>
      </c>
      <c r="I70" s="20">
        <v>1155</v>
      </c>
      <c r="J70" s="20">
        <v>15</v>
      </c>
      <c r="K70" s="20">
        <v>173.25</v>
      </c>
      <c r="L70" s="20">
        <v>41.74</v>
      </c>
      <c r="M70" s="21">
        <f>SUM(K70:L70)</f>
        <v>214.99</v>
      </c>
      <c r="N70" s="19"/>
      <c r="O70" s="20"/>
      <c r="P70" s="20"/>
      <c r="Q70" s="20"/>
      <c r="R70" s="20"/>
      <c r="S70" s="21"/>
    </row>
    <row r="71" spans="1:19" ht="19.5" customHeight="1" x14ac:dyDescent="0.25">
      <c r="A71" s="827" t="s">
        <v>1160</v>
      </c>
      <c r="B71" s="171">
        <v>1</v>
      </c>
      <c r="C71" s="20">
        <v>990</v>
      </c>
      <c r="D71" s="20">
        <v>5</v>
      </c>
      <c r="E71" s="20">
        <v>49.5</v>
      </c>
      <c r="F71" s="20">
        <v>10.55</v>
      </c>
      <c r="G71" s="21">
        <f t="shared" si="13"/>
        <v>60.05</v>
      </c>
      <c r="H71" s="19">
        <v>1</v>
      </c>
      <c r="I71" s="20">
        <v>990</v>
      </c>
      <c r="J71" s="20">
        <v>15</v>
      </c>
      <c r="K71" s="20">
        <v>148.5</v>
      </c>
      <c r="L71" s="20">
        <v>31.64</v>
      </c>
      <c r="M71" s="21">
        <f>SUM(K71:L71)</f>
        <v>180.14</v>
      </c>
      <c r="N71" s="19"/>
      <c r="O71" s="20"/>
      <c r="P71" s="20"/>
      <c r="Q71" s="20"/>
      <c r="R71" s="20"/>
      <c r="S71" s="21"/>
    </row>
    <row r="72" spans="1:19" x14ac:dyDescent="0.25">
      <c r="A72" s="827" t="s">
        <v>1160</v>
      </c>
      <c r="B72" s="171">
        <v>1</v>
      </c>
      <c r="C72" s="20">
        <v>990</v>
      </c>
      <c r="D72" s="20">
        <v>5</v>
      </c>
      <c r="E72" s="20">
        <v>49.5</v>
      </c>
      <c r="F72" s="20">
        <v>11.93</v>
      </c>
      <c r="G72" s="21">
        <f t="shared" si="13"/>
        <v>61.43</v>
      </c>
      <c r="H72" s="19">
        <v>1</v>
      </c>
      <c r="I72" s="20">
        <v>990</v>
      </c>
      <c r="J72" s="20">
        <v>15</v>
      </c>
      <c r="K72" s="20">
        <v>148.5</v>
      </c>
      <c r="L72" s="20">
        <v>35.770000000000003</v>
      </c>
      <c r="M72" s="21">
        <f>SUM(K72:L72)</f>
        <v>184.27</v>
      </c>
      <c r="N72" s="19"/>
      <c r="O72" s="20"/>
      <c r="P72" s="20"/>
      <c r="Q72" s="20"/>
      <c r="R72" s="20"/>
      <c r="S72" s="21"/>
    </row>
    <row r="73" spans="1:19" ht="18.75" customHeight="1" x14ac:dyDescent="0.25">
      <c r="A73" s="827" t="s">
        <v>1158</v>
      </c>
      <c r="B73" s="171">
        <v>1</v>
      </c>
      <c r="C73" s="20">
        <v>1190</v>
      </c>
      <c r="D73" s="20">
        <v>5</v>
      </c>
      <c r="E73" s="20">
        <v>59.5</v>
      </c>
      <c r="F73" s="20">
        <v>14.33</v>
      </c>
      <c r="G73" s="21">
        <f t="shared" si="13"/>
        <v>73.83</v>
      </c>
      <c r="H73" s="19">
        <v>1</v>
      </c>
      <c r="I73" s="20">
        <v>1190</v>
      </c>
      <c r="J73" s="20">
        <v>15</v>
      </c>
      <c r="K73" s="20">
        <v>178.5</v>
      </c>
      <c r="L73" s="20">
        <v>43</v>
      </c>
      <c r="M73" s="21">
        <f t="shared" ref="M73" si="15">SUM(K73:L73)</f>
        <v>221.5</v>
      </c>
      <c r="N73" s="19"/>
      <c r="O73" s="20"/>
      <c r="P73" s="20"/>
      <c r="Q73" s="20"/>
      <c r="R73" s="20"/>
      <c r="S73" s="21"/>
    </row>
    <row r="74" spans="1:19" ht="18.75" customHeight="1" x14ac:dyDescent="0.25">
      <c r="A74" s="827" t="s">
        <v>1159</v>
      </c>
      <c r="B74" s="171">
        <v>1</v>
      </c>
      <c r="C74" s="20">
        <v>1155</v>
      </c>
      <c r="D74" s="20">
        <v>5</v>
      </c>
      <c r="E74" s="20">
        <v>57.75</v>
      </c>
      <c r="F74" s="20">
        <v>13.91</v>
      </c>
      <c r="G74" s="21">
        <f t="shared" si="13"/>
        <v>71.66</v>
      </c>
      <c r="H74" s="19">
        <v>1</v>
      </c>
      <c r="I74" s="20">
        <v>1155</v>
      </c>
      <c r="J74" s="20">
        <v>15</v>
      </c>
      <c r="K74" s="20">
        <v>173.25</v>
      </c>
      <c r="L74" s="20">
        <v>41.74</v>
      </c>
      <c r="M74" s="21">
        <f>SUM(K74:L74)</f>
        <v>214.99</v>
      </c>
      <c r="N74" s="19"/>
      <c r="O74" s="20"/>
      <c r="P74" s="20"/>
      <c r="Q74" s="20"/>
      <c r="R74" s="20"/>
      <c r="S74" s="21"/>
    </row>
    <row r="75" spans="1:19" ht="18.75" customHeight="1" x14ac:dyDescent="0.25">
      <c r="A75" s="827" t="s">
        <v>1159</v>
      </c>
      <c r="B75" s="171">
        <v>1</v>
      </c>
      <c r="C75" s="20">
        <v>1155</v>
      </c>
      <c r="D75" s="20">
        <v>5</v>
      </c>
      <c r="E75" s="20">
        <v>57.75</v>
      </c>
      <c r="F75" s="20">
        <v>13.91</v>
      </c>
      <c r="G75" s="21">
        <f t="shared" si="13"/>
        <v>71.66</v>
      </c>
      <c r="H75" s="19">
        <v>1</v>
      </c>
      <c r="I75" s="20">
        <v>1155</v>
      </c>
      <c r="J75" s="20">
        <v>15</v>
      </c>
      <c r="K75" s="20">
        <v>173.25</v>
      </c>
      <c r="L75" s="20">
        <v>41.74</v>
      </c>
      <c r="M75" s="21">
        <f>SUM(K75:L75)</f>
        <v>214.99</v>
      </c>
      <c r="N75" s="19"/>
      <c r="O75" s="20"/>
      <c r="P75" s="20"/>
      <c r="Q75" s="20"/>
      <c r="R75" s="20"/>
      <c r="S75" s="21"/>
    </row>
    <row r="76" spans="1:19" ht="19.5" customHeight="1" x14ac:dyDescent="0.25">
      <c r="A76" s="827" t="s">
        <v>1160</v>
      </c>
      <c r="B76" s="171">
        <v>1</v>
      </c>
      <c r="C76" s="20">
        <v>990</v>
      </c>
      <c r="D76" s="20">
        <v>5</v>
      </c>
      <c r="E76" s="20">
        <v>49.5</v>
      </c>
      <c r="F76" s="20">
        <v>11.93</v>
      </c>
      <c r="G76" s="21">
        <f t="shared" si="13"/>
        <v>61.43</v>
      </c>
      <c r="H76" s="19">
        <v>1</v>
      </c>
      <c r="I76" s="20">
        <v>990</v>
      </c>
      <c r="J76" s="20">
        <v>15</v>
      </c>
      <c r="K76" s="20">
        <v>148.5</v>
      </c>
      <c r="L76" s="20">
        <v>35.770000000000003</v>
      </c>
      <c r="M76" s="21">
        <f t="shared" ref="M76:M78" si="16">SUM(K76:L76)</f>
        <v>184.27</v>
      </c>
      <c r="N76" s="19"/>
      <c r="O76" s="20"/>
      <c r="P76" s="20"/>
      <c r="Q76" s="20"/>
      <c r="R76" s="20"/>
      <c r="S76" s="21"/>
    </row>
    <row r="77" spans="1:19" x14ac:dyDescent="0.25">
      <c r="A77" s="827" t="s">
        <v>1160</v>
      </c>
      <c r="B77" s="171">
        <v>1</v>
      </c>
      <c r="C77" s="20">
        <v>990</v>
      </c>
      <c r="D77" s="20">
        <v>5</v>
      </c>
      <c r="E77" s="20">
        <v>49.5</v>
      </c>
      <c r="F77" s="20">
        <v>11.93</v>
      </c>
      <c r="G77" s="21">
        <f t="shared" si="13"/>
        <v>61.43</v>
      </c>
      <c r="H77" s="19">
        <v>1</v>
      </c>
      <c r="I77" s="20">
        <v>990</v>
      </c>
      <c r="J77" s="20">
        <v>15</v>
      </c>
      <c r="K77" s="20">
        <v>148.5</v>
      </c>
      <c r="L77" s="20">
        <v>35.770000000000003</v>
      </c>
      <c r="M77" s="21">
        <f t="shared" si="16"/>
        <v>184.27</v>
      </c>
      <c r="N77" s="19"/>
      <c r="O77" s="20"/>
      <c r="P77" s="20"/>
      <c r="Q77" s="20"/>
      <c r="R77" s="20"/>
      <c r="S77" s="21"/>
    </row>
    <row r="78" spans="1:19" x14ac:dyDescent="0.25">
      <c r="A78" s="827" t="s">
        <v>1158</v>
      </c>
      <c r="B78" s="171">
        <v>1</v>
      </c>
      <c r="C78" s="20">
        <v>1190</v>
      </c>
      <c r="D78" s="20">
        <v>5</v>
      </c>
      <c r="E78" s="20">
        <v>0</v>
      </c>
      <c r="F78" s="20">
        <v>0</v>
      </c>
      <c r="G78" s="21">
        <f t="shared" si="13"/>
        <v>0</v>
      </c>
      <c r="H78" s="19">
        <v>1</v>
      </c>
      <c r="I78" s="20">
        <v>1190</v>
      </c>
      <c r="J78" s="20">
        <v>15</v>
      </c>
      <c r="K78" s="20">
        <v>0</v>
      </c>
      <c r="L78" s="20">
        <v>0</v>
      </c>
      <c r="M78" s="21">
        <f t="shared" si="16"/>
        <v>0</v>
      </c>
      <c r="N78" s="19"/>
      <c r="O78" s="20"/>
      <c r="P78" s="20"/>
      <c r="Q78" s="20"/>
      <c r="R78" s="20"/>
      <c r="S78" s="21"/>
    </row>
    <row r="79" spans="1:19" x14ac:dyDescent="0.25">
      <c r="A79" s="827" t="s">
        <v>1159</v>
      </c>
      <c r="B79" s="171">
        <v>1</v>
      </c>
      <c r="C79" s="20">
        <v>1155</v>
      </c>
      <c r="D79" s="20">
        <v>5</v>
      </c>
      <c r="E79" s="20">
        <v>57.75</v>
      </c>
      <c r="F79" s="20">
        <v>13.91</v>
      </c>
      <c r="G79" s="21">
        <f t="shared" si="13"/>
        <v>71.66</v>
      </c>
      <c r="H79" s="19">
        <v>1</v>
      </c>
      <c r="I79" s="20">
        <v>1155</v>
      </c>
      <c r="J79" s="20">
        <v>15</v>
      </c>
      <c r="K79" s="20">
        <v>173.25</v>
      </c>
      <c r="L79" s="20">
        <v>41.74</v>
      </c>
      <c r="M79" s="21">
        <f>SUM(K79:L79)</f>
        <v>214.99</v>
      </c>
      <c r="N79" s="19"/>
      <c r="O79" s="20"/>
      <c r="P79" s="20"/>
      <c r="Q79" s="20"/>
      <c r="R79" s="20"/>
      <c r="S79" s="21"/>
    </row>
    <row r="80" spans="1:19" x14ac:dyDescent="0.25">
      <c r="A80" s="827" t="s">
        <v>1160</v>
      </c>
      <c r="B80" s="171">
        <v>1</v>
      </c>
      <c r="C80" s="20">
        <v>990</v>
      </c>
      <c r="D80" s="20">
        <v>5</v>
      </c>
      <c r="E80" s="20">
        <v>49.5</v>
      </c>
      <c r="F80" s="20">
        <v>11.93</v>
      </c>
      <c r="G80" s="21">
        <f t="shared" si="13"/>
        <v>61.43</v>
      </c>
      <c r="H80" s="19">
        <v>1</v>
      </c>
      <c r="I80" s="20">
        <v>990</v>
      </c>
      <c r="J80" s="20">
        <v>15</v>
      </c>
      <c r="K80" s="20">
        <v>148.5</v>
      </c>
      <c r="L80" s="20">
        <v>35.770000000000003</v>
      </c>
      <c r="M80" s="21">
        <f>SUM(K80:L80)</f>
        <v>184.27</v>
      </c>
      <c r="N80" s="19"/>
      <c r="O80" s="20"/>
      <c r="P80" s="20"/>
      <c r="Q80" s="20"/>
      <c r="R80" s="20"/>
      <c r="S80" s="21"/>
    </row>
    <row r="81" spans="1:19" x14ac:dyDescent="0.25">
      <c r="A81" s="827" t="s">
        <v>1158</v>
      </c>
      <c r="B81" s="171">
        <v>1</v>
      </c>
      <c r="C81" s="20">
        <v>1190</v>
      </c>
      <c r="D81" s="20">
        <v>5</v>
      </c>
      <c r="E81" s="20">
        <v>59.5</v>
      </c>
      <c r="F81" s="20">
        <v>14.33</v>
      </c>
      <c r="G81" s="21">
        <f t="shared" si="13"/>
        <v>73.83</v>
      </c>
      <c r="H81" s="19">
        <v>1</v>
      </c>
      <c r="I81" s="20">
        <v>1190</v>
      </c>
      <c r="J81" s="20">
        <v>15</v>
      </c>
      <c r="K81" s="20">
        <v>178.5</v>
      </c>
      <c r="L81" s="20">
        <v>43</v>
      </c>
      <c r="M81" s="21">
        <f t="shared" ref="M81" si="17">SUM(K81:L81)</f>
        <v>221.5</v>
      </c>
      <c r="N81" s="19"/>
      <c r="O81" s="20"/>
      <c r="P81" s="20"/>
      <c r="Q81" s="20"/>
      <c r="R81" s="20"/>
      <c r="S81" s="21"/>
    </row>
    <row r="82" spans="1:19" x14ac:dyDescent="0.25">
      <c r="A82" s="827" t="s">
        <v>1160</v>
      </c>
      <c r="B82" s="171">
        <v>1</v>
      </c>
      <c r="C82" s="20">
        <v>990</v>
      </c>
      <c r="D82" s="20">
        <v>5</v>
      </c>
      <c r="E82" s="20">
        <v>49.5</v>
      </c>
      <c r="F82" s="20">
        <v>10.55</v>
      </c>
      <c r="G82" s="21">
        <f t="shared" si="13"/>
        <v>60.05</v>
      </c>
      <c r="H82" s="19">
        <v>1</v>
      </c>
      <c r="I82" s="20">
        <v>990</v>
      </c>
      <c r="J82" s="20">
        <v>15</v>
      </c>
      <c r="K82" s="20">
        <v>148.5</v>
      </c>
      <c r="L82" s="20">
        <v>31.65</v>
      </c>
      <c r="M82" s="21">
        <f>SUM(K82:L82)</f>
        <v>180.15</v>
      </c>
      <c r="N82" s="19"/>
      <c r="O82" s="20"/>
      <c r="P82" s="20"/>
      <c r="Q82" s="20"/>
      <c r="R82" s="20"/>
      <c r="S82" s="21"/>
    </row>
    <row r="83" spans="1:19" x14ac:dyDescent="0.25">
      <c r="A83" s="827" t="s">
        <v>1158</v>
      </c>
      <c r="B83" s="171">
        <v>1</v>
      </c>
      <c r="C83" s="20">
        <v>1190</v>
      </c>
      <c r="D83" s="20">
        <v>10</v>
      </c>
      <c r="E83" s="20">
        <v>119</v>
      </c>
      <c r="F83" s="20">
        <v>28.67</v>
      </c>
      <c r="G83" s="21">
        <f t="shared" si="13"/>
        <v>147.67000000000002</v>
      </c>
      <c r="H83" s="19">
        <v>1</v>
      </c>
      <c r="I83" s="20">
        <v>1190</v>
      </c>
      <c r="J83" s="20">
        <v>15</v>
      </c>
      <c r="K83" s="20">
        <v>178.5</v>
      </c>
      <c r="L83" s="20">
        <v>43</v>
      </c>
      <c r="M83" s="21">
        <f t="shared" ref="M83" si="18">SUM(K83:L83)</f>
        <v>221.5</v>
      </c>
      <c r="N83" s="19"/>
      <c r="O83" s="20"/>
      <c r="P83" s="20"/>
      <c r="Q83" s="20"/>
      <c r="R83" s="20"/>
      <c r="S83" s="21"/>
    </row>
    <row r="84" spans="1:19" x14ac:dyDescent="0.25">
      <c r="A84" s="827" t="s">
        <v>1159</v>
      </c>
      <c r="B84" s="171">
        <v>1</v>
      </c>
      <c r="C84" s="20">
        <v>1155</v>
      </c>
      <c r="D84" s="20">
        <v>5</v>
      </c>
      <c r="E84" s="20">
        <v>57.75</v>
      </c>
      <c r="F84" s="20">
        <v>13.91</v>
      </c>
      <c r="G84" s="21">
        <f t="shared" si="13"/>
        <v>71.66</v>
      </c>
      <c r="H84" s="19">
        <v>1</v>
      </c>
      <c r="I84" s="20">
        <v>1155</v>
      </c>
      <c r="J84" s="20">
        <v>15</v>
      </c>
      <c r="K84" s="20">
        <v>173.25</v>
      </c>
      <c r="L84" s="20">
        <v>41.74</v>
      </c>
      <c r="M84" s="21">
        <f>SUM(K84:L84)</f>
        <v>214.99</v>
      </c>
      <c r="N84" s="19"/>
      <c r="O84" s="20"/>
      <c r="P84" s="20"/>
      <c r="Q84" s="20"/>
      <c r="R84" s="20"/>
      <c r="S84" s="21"/>
    </row>
    <row r="85" spans="1:19" x14ac:dyDescent="0.25">
      <c r="A85" s="827" t="s">
        <v>1160</v>
      </c>
      <c r="B85" s="171">
        <v>1</v>
      </c>
      <c r="C85" s="20">
        <v>990</v>
      </c>
      <c r="D85" s="20">
        <v>5</v>
      </c>
      <c r="E85" s="20">
        <v>11.25</v>
      </c>
      <c r="F85" s="20">
        <v>2.71</v>
      </c>
      <c r="G85" s="21">
        <f t="shared" si="13"/>
        <v>13.96</v>
      </c>
      <c r="H85" s="19">
        <v>1</v>
      </c>
      <c r="I85" s="20">
        <v>990</v>
      </c>
      <c r="J85" s="20">
        <v>15</v>
      </c>
      <c r="K85" s="20">
        <v>141.08000000000001</v>
      </c>
      <c r="L85" s="20">
        <v>33.99</v>
      </c>
      <c r="M85" s="21">
        <f>SUM(K85:L85)</f>
        <v>175.07000000000002</v>
      </c>
      <c r="N85" s="19"/>
      <c r="O85" s="20"/>
      <c r="P85" s="20"/>
      <c r="Q85" s="20"/>
      <c r="R85" s="20"/>
      <c r="S85" s="21"/>
    </row>
    <row r="86" spans="1:19" x14ac:dyDescent="0.25">
      <c r="A86" s="827" t="s">
        <v>1167</v>
      </c>
      <c r="B86" s="171">
        <v>1</v>
      </c>
      <c r="C86" s="20">
        <v>1190</v>
      </c>
      <c r="D86" s="20">
        <v>5</v>
      </c>
      <c r="E86" s="20">
        <v>59.5</v>
      </c>
      <c r="F86" s="20">
        <v>14.33</v>
      </c>
      <c r="G86" s="21">
        <f t="shared" si="13"/>
        <v>73.83</v>
      </c>
      <c r="H86" s="19">
        <v>1</v>
      </c>
      <c r="I86" s="20">
        <v>1190</v>
      </c>
      <c r="J86" s="20">
        <v>15</v>
      </c>
      <c r="K86" s="20">
        <v>178.5</v>
      </c>
      <c r="L86" s="20">
        <v>43</v>
      </c>
      <c r="M86" s="21">
        <f t="shared" ref="M86" si="19">SUM(K86:L86)</f>
        <v>221.5</v>
      </c>
      <c r="N86" s="19"/>
      <c r="O86" s="20"/>
      <c r="P86" s="20"/>
      <c r="Q86" s="20"/>
      <c r="R86" s="20"/>
      <c r="S86" s="21"/>
    </row>
    <row r="87" spans="1:19" x14ac:dyDescent="0.25">
      <c r="A87" s="827" t="s">
        <v>1160</v>
      </c>
      <c r="B87" s="171">
        <v>1</v>
      </c>
      <c r="C87" s="20">
        <v>990</v>
      </c>
      <c r="D87" s="20">
        <v>5</v>
      </c>
      <c r="E87" s="20">
        <v>49.5</v>
      </c>
      <c r="F87" s="20">
        <v>11.93</v>
      </c>
      <c r="G87" s="21">
        <f t="shared" si="13"/>
        <v>61.43</v>
      </c>
      <c r="H87" s="19">
        <v>1</v>
      </c>
      <c r="I87" s="20">
        <v>990</v>
      </c>
      <c r="J87" s="20">
        <v>15</v>
      </c>
      <c r="K87" s="20">
        <v>111.38</v>
      </c>
      <c r="L87" s="20">
        <v>26.86</v>
      </c>
      <c r="M87" s="21">
        <f>SUM(K87:L87)</f>
        <v>138.24</v>
      </c>
      <c r="N87" s="19"/>
      <c r="O87" s="20"/>
      <c r="P87" s="20"/>
      <c r="Q87" s="20"/>
      <c r="R87" s="20"/>
      <c r="S87" s="21"/>
    </row>
    <row r="88" spans="1:19" x14ac:dyDescent="0.25">
      <c r="A88" s="827" t="s">
        <v>1160</v>
      </c>
      <c r="B88" s="171">
        <v>1</v>
      </c>
      <c r="C88" s="20">
        <v>990</v>
      </c>
      <c r="D88" s="20">
        <v>5</v>
      </c>
      <c r="E88" s="20">
        <v>49.5</v>
      </c>
      <c r="F88" s="20">
        <v>11.93</v>
      </c>
      <c r="G88" s="21">
        <f t="shared" si="13"/>
        <v>61.43</v>
      </c>
      <c r="H88" s="19">
        <v>1</v>
      </c>
      <c r="I88" s="20">
        <v>990</v>
      </c>
      <c r="J88" s="20">
        <v>15</v>
      </c>
      <c r="K88" s="20">
        <v>148.5</v>
      </c>
      <c r="L88" s="20">
        <v>35.770000000000003</v>
      </c>
      <c r="M88" s="21">
        <f>SUM(K88:L88)</f>
        <v>184.27</v>
      </c>
      <c r="N88" s="19"/>
      <c r="O88" s="20"/>
      <c r="P88" s="20"/>
      <c r="Q88" s="20"/>
      <c r="R88" s="20"/>
      <c r="S88" s="21"/>
    </row>
    <row r="89" spans="1:19" x14ac:dyDescent="0.25">
      <c r="A89" s="827" t="s">
        <v>1158</v>
      </c>
      <c r="B89" s="171">
        <v>1</v>
      </c>
      <c r="C89" s="20">
        <v>1190</v>
      </c>
      <c r="D89" s="20">
        <v>5</v>
      </c>
      <c r="E89" s="20">
        <v>59.5</v>
      </c>
      <c r="F89" s="20">
        <v>14.33</v>
      </c>
      <c r="G89" s="21">
        <f t="shared" si="13"/>
        <v>73.83</v>
      </c>
      <c r="H89" s="19">
        <v>1</v>
      </c>
      <c r="I89" s="20">
        <v>1190</v>
      </c>
      <c r="J89" s="20">
        <v>15</v>
      </c>
      <c r="K89" s="20">
        <v>178.5</v>
      </c>
      <c r="L89" s="20">
        <v>43</v>
      </c>
      <c r="M89" s="21">
        <f t="shared" ref="M89" si="20">SUM(K89:L89)</f>
        <v>221.5</v>
      </c>
      <c r="N89" s="19"/>
      <c r="O89" s="20"/>
      <c r="P89" s="20"/>
      <c r="Q89" s="20"/>
      <c r="R89" s="20"/>
      <c r="S89" s="21"/>
    </row>
    <row r="90" spans="1:19" x14ac:dyDescent="0.25">
      <c r="A90" s="827" t="s">
        <v>1159</v>
      </c>
      <c r="B90" s="171">
        <v>1</v>
      </c>
      <c r="C90" s="20">
        <v>1155</v>
      </c>
      <c r="D90" s="20">
        <v>5</v>
      </c>
      <c r="E90" s="20">
        <v>57.75</v>
      </c>
      <c r="F90" s="20">
        <v>13.91</v>
      </c>
      <c r="G90" s="21">
        <f t="shared" si="13"/>
        <v>71.66</v>
      </c>
      <c r="H90" s="19">
        <v>1</v>
      </c>
      <c r="I90" s="20">
        <v>1155</v>
      </c>
      <c r="J90" s="20">
        <v>15</v>
      </c>
      <c r="K90" s="20">
        <v>173.25</v>
      </c>
      <c r="L90" s="20">
        <v>41.74</v>
      </c>
      <c r="M90" s="21">
        <f>SUM(K90:L90)</f>
        <v>214.99</v>
      </c>
      <c r="N90" s="19"/>
      <c r="O90" s="20"/>
      <c r="P90" s="20"/>
      <c r="Q90" s="20"/>
      <c r="R90" s="20"/>
      <c r="S90" s="21"/>
    </row>
    <row r="91" spans="1:19" x14ac:dyDescent="0.25">
      <c r="A91" s="827" t="s">
        <v>1160</v>
      </c>
      <c r="B91" s="171">
        <v>1</v>
      </c>
      <c r="C91" s="20">
        <v>990</v>
      </c>
      <c r="D91" s="20">
        <v>5</v>
      </c>
      <c r="E91" s="20">
        <v>47.25</v>
      </c>
      <c r="F91" s="20">
        <v>11.38</v>
      </c>
      <c r="G91" s="21">
        <f t="shared" si="13"/>
        <v>58.63</v>
      </c>
      <c r="H91" s="19">
        <v>1</v>
      </c>
      <c r="I91" s="20">
        <v>990</v>
      </c>
      <c r="J91" s="20">
        <v>15</v>
      </c>
      <c r="K91" s="20">
        <v>148.5</v>
      </c>
      <c r="L91" s="20">
        <v>35.770000000000003</v>
      </c>
      <c r="M91" s="21">
        <f>SUM(K91:L91)</f>
        <v>184.27</v>
      </c>
      <c r="N91" s="19"/>
      <c r="O91" s="20"/>
      <c r="P91" s="20"/>
      <c r="Q91" s="20"/>
      <c r="R91" s="20"/>
      <c r="S91" s="21"/>
    </row>
    <row r="92" spans="1:19" x14ac:dyDescent="0.25">
      <c r="A92" s="827" t="s">
        <v>1160</v>
      </c>
      <c r="B92" s="171">
        <v>1</v>
      </c>
      <c r="C92" s="20">
        <v>990</v>
      </c>
      <c r="D92" s="20">
        <v>5</v>
      </c>
      <c r="E92" s="20">
        <v>49.5</v>
      </c>
      <c r="F92" s="20">
        <v>11.93</v>
      </c>
      <c r="G92" s="21">
        <f t="shared" si="13"/>
        <v>61.43</v>
      </c>
      <c r="H92" s="19">
        <v>1</v>
      </c>
      <c r="I92" s="20">
        <v>990</v>
      </c>
      <c r="J92" s="20">
        <v>15</v>
      </c>
      <c r="K92" s="20">
        <v>148.5</v>
      </c>
      <c r="L92" s="20">
        <v>35.770000000000003</v>
      </c>
      <c r="M92" s="21">
        <f>SUM(K92:L92)</f>
        <v>184.27</v>
      </c>
      <c r="N92" s="19"/>
      <c r="O92" s="20"/>
      <c r="P92" s="20"/>
      <c r="Q92" s="20"/>
      <c r="R92" s="20"/>
      <c r="S92" s="21"/>
    </row>
    <row r="93" spans="1:19" x14ac:dyDescent="0.25">
      <c r="A93" s="827" t="s">
        <v>1168</v>
      </c>
      <c r="B93" s="171">
        <v>1</v>
      </c>
      <c r="C93" s="20">
        <v>990</v>
      </c>
      <c r="D93" s="20">
        <v>5</v>
      </c>
      <c r="E93" s="20">
        <v>49.5</v>
      </c>
      <c r="F93" s="20">
        <v>11.93</v>
      </c>
      <c r="G93" s="21">
        <f t="shared" si="13"/>
        <v>61.43</v>
      </c>
      <c r="H93" s="19">
        <v>1</v>
      </c>
      <c r="I93" s="20">
        <v>990</v>
      </c>
      <c r="J93" s="20">
        <v>15</v>
      </c>
      <c r="K93" s="20">
        <v>148.5</v>
      </c>
      <c r="L93" s="20">
        <v>35.770000000000003</v>
      </c>
      <c r="M93" s="21">
        <f>SUM(K93:L93)</f>
        <v>184.27</v>
      </c>
      <c r="N93" s="19"/>
      <c r="O93" s="20"/>
      <c r="P93" s="20"/>
      <c r="Q93" s="20"/>
      <c r="R93" s="20"/>
      <c r="S93" s="21"/>
    </row>
    <row r="94" spans="1:19" x14ac:dyDescent="0.25">
      <c r="A94" s="827" t="s">
        <v>1160</v>
      </c>
      <c r="B94" s="171">
        <v>1</v>
      </c>
      <c r="C94" s="20">
        <v>990</v>
      </c>
      <c r="D94" s="20">
        <v>5</v>
      </c>
      <c r="E94" s="20">
        <v>45</v>
      </c>
      <c r="F94" s="20">
        <v>10.84</v>
      </c>
      <c r="G94" s="21">
        <f t="shared" si="13"/>
        <v>55.84</v>
      </c>
      <c r="H94" s="19">
        <v>1</v>
      </c>
      <c r="I94" s="20">
        <v>990</v>
      </c>
      <c r="J94" s="20">
        <v>15</v>
      </c>
      <c r="K94" s="20">
        <v>148.5</v>
      </c>
      <c r="L94" s="20">
        <v>35.770000000000003</v>
      </c>
      <c r="M94" s="21">
        <f>SUM(K94:L94)</f>
        <v>184.27</v>
      </c>
      <c r="N94" s="19"/>
      <c r="O94" s="20"/>
      <c r="P94" s="20"/>
      <c r="Q94" s="20"/>
      <c r="R94" s="20"/>
      <c r="S94" s="21"/>
    </row>
    <row r="95" spans="1:19" s="1" customFormat="1" ht="33" x14ac:dyDescent="0.25">
      <c r="A95" s="828" t="s">
        <v>1169</v>
      </c>
      <c r="B95" s="167"/>
      <c r="C95" s="16"/>
      <c r="D95" s="16"/>
      <c r="E95" s="16"/>
      <c r="F95" s="16"/>
      <c r="G95" s="17"/>
      <c r="H95" s="15"/>
      <c r="I95" s="16"/>
      <c r="J95" s="16"/>
      <c r="K95" s="16"/>
      <c r="L95" s="16"/>
      <c r="M95" s="17"/>
      <c r="N95" s="15"/>
      <c r="O95" s="16"/>
      <c r="P95" s="16"/>
      <c r="Q95" s="16"/>
      <c r="R95" s="16"/>
      <c r="S95" s="17"/>
    </row>
    <row r="96" spans="1:19" ht="37.5" customHeight="1" x14ac:dyDescent="0.25">
      <c r="A96" s="424" t="s">
        <v>11</v>
      </c>
      <c r="B96" s="171"/>
      <c r="C96" s="20"/>
      <c r="D96" s="20"/>
      <c r="E96" s="20"/>
      <c r="F96" s="20"/>
      <c r="G96" s="21"/>
      <c r="H96" s="19"/>
      <c r="I96" s="20"/>
      <c r="J96" s="20"/>
      <c r="K96" s="20"/>
      <c r="L96" s="20"/>
      <c r="M96" s="21"/>
      <c r="N96" s="19"/>
      <c r="O96" s="20"/>
      <c r="P96" s="20"/>
      <c r="Q96" s="20"/>
      <c r="R96" s="20"/>
      <c r="S96" s="21"/>
    </row>
    <row r="97" spans="1:19" x14ac:dyDescent="0.25">
      <c r="A97" s="424" t="s">
        <v>1170</v>
      </c>
      <c r="B97" s="171">
        <v>1</v>
      </c>
      <c r="C97" s="20">
        <v>1647</v>
      </c>
      <c r="D97" s="20">
        <v>20</v>
      </c>
      <c r="E97" s="20">
        <v>329.4</v>
      </c>
      <c r="F97" s="20">
        <v>79.36</v>
      </c>
      <c r="G97" s="21">
        <f>SUM(E97:F97)</f>
        <v>408.76</v>
      </c>
      <c r="H97" s="19">
        <v>1</v>
      </c>
      <c r="I97" s="20">
        <v>1647</v>
      </c>
      <c r="J97" s="20">
        <v>20</v>
      </c>
      <c r="K97" s="20">
        <v>329.4</v>
      </c>
      <c r="L97" s="20">
        <v>79.349999999999994</v>
      </c>
      <c r="M97" s="21">
        <f>SUM(K97:L97)</f>
        <v>408.75</v>
      </c>
      <c r="N97" s="19"/>
      <c r="O97" s="20"/>
      <c r="P97" s="20"/>
      <c r="Q97" s="20"/>
      <c r="R97" s="20"/>
      <c r="S97" s="21"/>
    </row>
    <row r="98" spans="1:19" s="1" customFormat="1" ht="49.5" x14ac:dyDescent="0.25">
      <c r="A98" s="828" t="s">
        <v>1171</v>
      </c>
      <c r="B98" s="167"/>
      <c r="C98" s="16"/>
      <c r="D98" s="16"/>
      <c r="E98" s="16"/>
      <c r="F98" s="16"/>
      <c r="G98" s="17"/>
      <c r="H98" s="15"/>
      <c r="I98" s="16"/>
      <c r="J98" s="16"/>
      <c r="K98" s="16"/>
      <c r="L98" s="16"/>
      <c r="M98" s="17"/>
      <c r="N98" s="15"/>
      <c r="O98" s="16"/>
      <c r="P98" s="16"/>
      <c r="Q98" s="16"/>
      <c r="R98" s="16"/>
      <c r="S98" s="17"/>
    </row>
    <row r="99" spans="1:19" ht="37.5" customHeight="1" x14ac:dyDescent="0.25">
      <c r="A99" s="424" t="s">
        <v>11</v>
      </c>
      <c r="B99" s="171"/>
      <c r="C99" s="20"/>
      <c r="D99" s="20"/>
      <c r="E99" s="20"/>
      <c r="F99" s="20"/>
      <c r="G99" s="21"/>
      <c r="H99" s="19"/>
      <c r="I99" s="20"/>
      <c r="J99" s="20"/>
      <c r="K99" s="20"/>
      <c r="L99" s="20"/>
      <c r="M99" s="21"/>
      <c r="N99" s="19"/>
      <c r="O99" s="20"/>
      <c r="P99" s="20"/>
      <c r="Q99" s="20"/>
      <c r="R99" s="20"/>
      <c r="S99" s="21"/>
    </row>
    <row r="100" spans="1:19" ht="18.75" customHeight="1" x14ac:dyDescent="0.25">
      <c r="A100" s="829" t="s">
        <v>1164</v>
      </c>
      <c r="B100" s="171">
        <v>1</v>
      </c>
      <c r="C100" s="20">
        <v>1066</v>
      </c>
      <c r="D100" s="20">
        <v>20</v>
      </c>
      <c r="E100" s="20">
        <v>135.66999999999999</v>
      </c>
      <c r="F100" s="20">
        <v>32.68</v>
      </c>
      <c r="G100" s="21">
        <f>SUM(E100:F100)</f>
        <v>168.35</v>
      </c>
      <c r="H100" s="19">
        <v>1</v>
      </c>
      <c r="I100" s="20">
        <v>1066</v>
      </c>
      <c r="J100" s="20">
        <v>20</v>
      </c>
      <c r="K100" s="20">
        <v>213.2</v>
      </c>
      <c r="L100" s="20">
        <v>51.36</v>
      </c>
      <c r="M100" s="21">
        <f t="shared" ref="M100:M103" si="21">SUM(K100:L100)</f>
        <v>264.56</v>
      </c>
      <c r="N100" s="19"/>
      <c r="O100" s="20"/>
      <c r="P100" s="20"/>
      <c r="Q100" s="20"/>
      <c r="R100" s="20"/>
      <c r="S100" s="21"/>
    </row>
    <row r="101" spans="1:19" ht="18.75" customHeight="1" x14ac:dyDescent="0.25">
      <c r="A101" s="829" t="s">
        <v>1164</v>
      </c>
      <c r="B101" s="171"/>
      <c r="C101" s="20"/>
      <c r="D101" s="20"/>
      <c r="E101" s="20"/>
      <c r="F101" s="20"/>
      <c r="G101" s="21"/>
      <c r="H101" s="19">
        <v>1</v>
      </c>
      <c r="I101" s="825" t="s">
        <v>1172</v>
      </c>
      <c r="J101" s="20">
        <v>20</v>
      </c>
      <c r="K101" s="20">
        <v>246.73</v>
      </c>
      <c r="L101" s="20">
        <v>59.44</v>
      </c>
      <c r="M101" s="21">
        <f t="shared" si="21"/>
        <v>306.16999999999996</v>
      </c>
      <c r="N101" s="19"/>
      <c r="O101" s="825"/>
      <c r="P101" s="20"/>
      <c r="Q101" s="20"/>
      <c r="R101" s="20"/>
      <c r="S101" s="21"/>
    </row>
    <row r="102" spans="1:19" ht="18.75" customHeight="1" x14ac:dyDescent="0.25">
      <c r="A102" s="829" t="s">
        <v>1164</v>
      </c>
      <c r="B102" s="171">
        <v>1</v>
      </c>
      <c r="C102" s="20">
        <v>1190</v>
      </c>
      <c r="D102" s="20">
        <v>20</v>
      </c>
      <c r="E102" s="20">
        <v>238</v>
      </c>
      <c r="F102" s="20">
        <v>57.34</v>
      </c>
      <c r="G102" s="21">
        <f t="shared" ref="G102:G103" si="22">SUM(E102:F102)</f>
        <v>295.34000000000003</v>
      </c>
      <c r="H102" s="19">
        <v>1</v>
      </c>
      <c r="I102" s="20">
        <v>1190</v>
      </c>
      <c r="J102" s="20">
        <v>20</v>
      </c>
      <c r="K102" s="20">
        <v>238</v>
      </c>
      <c r="L102" s="20">
        <v>57.33</v>
      </c>
      <c r="M102" s="21">
        <f t="shared" si="21"/>
        <v>295.33</v>
      </c>
      <c r="N102" s="19"/>
      <c r="O102" s="20"/>
      <c r="P102" s="20"/>
      <c r="Q102" s="20"/>
      <c r="R102" s="20"/>
      <c r="S102" s="21"/>
    </row>
    <row r="103" spans="1:19" ht="19.5" customHeight="1" x14ac:dyDescent="0.25">
      <c r="A103" s="829" t="s">
        <v>1164</v>
      </c>
      <c r="B103" s="171">
        <v>1</v>
      </c>
      <c r="C103" s="20">
        <v>1015</v>
      </c>
      <c r="D103" s="20">
        <v>20</v>
      </c>
      <c r="E103" s="20">
        <v>203</v>
      </c>
      <c r="F103" s="20">
        <v>48.9</v>
      </c>
      <c r="G103" s="21">
        <f t="shared" si="22"/>
        <v>251.9</v>
      </c>
      <c r="H103" s="19">
        <v>1</v>
      </c>
      <c r="I103" s="20">
        <v>1015</v>
      </c>
      <c r="J103" s="20">
        <v>20</v>
      </c>
      <c r="K103" s="20">
        <v>203</v>
      </c>
      <c r="L103" s="20">
        <v>48.9</v>
      </c>
      <c r="M103" s="21">
        <f t="shared" si="21"/>
        <v>251.9</v>
      </c>
      <c r="N103" s="19"/>
      <c r="O103" s="20"/>
      <c r="P103" s="20"/>
      <c r="Q103" s="20"/>
      <c r="R103" s="20"/>
      <c r="S103" s="21"/>
    </row>
    <row r="104" spans="1:19" s="1" customFormat="1" ht="66" x14ac:dyDescent="0.25">
      <c r="A104" s="830" t="s">
        <v>1173</v>
      </c>
      <c r="B104" s="167"/>
      <c r="C104" s="16"/>
      <c r="D104" s="16"/>
      <c r="E104" s="16"/>
      <c r="F104" s="16"/>
      <c r="G104" s="17"/>
      <c r="H104" s="15"/>
      <c r="I104" s="16"/>
      <c r="J104" s="16"/>
      <c r="K104" s="16"/>
      <c r="L104" s="16"/>
      <c r="M104" s="17"/>
      <c r="N104" s="15"/>
      <c r="O104" s="16"/>
      <c r="P104" s="16"/>
      <c r="Q104" s="16"/>
      <c r="R104" s="16"/>
      <c r="S104" s="17"/>
    </row>
    <row r="105" spans="1:19" ht="37.5" customHeight="1" x14ac:dyDescent="0.25">
      <c r="A105" s="424" t="s">
        <v>11</v>
      </c>
      <c r="B105" s="171"/>
      <c r="C105" s="20"/>
      <c r="D105" s="20"/>
      <c r="E105" s="20"/>
      <c r="F105" s="20"/>
      <c r="G105" s="21"/>
      <c r="H105" s="19"/>
      <c r="I105" s="20"/>
      <c r="J105" s="20"/>
      <c r="K105" s="20"/>
      <c r="L105" s="20"/>
      <c r="M105" s="21"/>
      <c r="N105" s="19"/>
      <c r="O105" s="20"/>
      <c r="P105" s="20"/>
      <c r="Q105" s="20"/>
      <c r="R105" s="20"/>
      <c r="S105" s="21"/>
    </row>
    <row r="106" spans="1:19" ht="18.75" customHeight="1" x14ac:dyDescent="0.25">
      <c r="A106" s="829" t="s">
        <v>842</v>
      </c>
      <c r="B106" s="171">
        <v>1</v>
      </c>
      <c r="C106" s="20">
        <v>1382</v>
      </c>
      <c r="D106" s="20">
        <v>20</v>
      </c>
      <c r="E106" s="20">
        <v>251.27</v>
      </c>
      <c r="F106" s="20">
        <v>60.53</v>
      </c>
      <c r="G106" s="21">
        <f t="shared" ref="G106:G111" si="23">SUM(E106:F106)</f>
        <v>311.8</v>
      </c>
      <c r="H106" s="171">
        <v>1</v>
      </c>
      <c r="I106" s="20">
        <v>1382</v>
      </c>
      <c r="J106" s="20">
        <v>20</v>
      </c>
      <c r="K106" s="20">
        <v>276.39999999999998</v>
      </c>
      <c r="L106" s="20">
        <v>66.58</v>
      </c>
      <c r="M106" s="21">
        <f t="shared" ref="M106:M107" si="24">SUM(K106:L106)</f>
        <v>342.97999999999996</v>
      </c>
      <c r="N106" s="171"/>
      <c r="O106" s="20"/>
      <c r="P106" s="20"/>
      <c r="Q106" s="20"/>
      <c r="R106" s="20"/>
      <c r="S106" s="21"/>
    </row>
    <row r="107" spans="1:19" ht="18.75" customHeight="1" x14ac:dyDescent="0.25">
      <c r="A107" s="827" t="s">
        <v>1174</v>
      </c>
      <c r="B107" s="171">
        <v>1</v>
      </c>
      <c r="C107" s="20">
        <v>1190</v>
      </c>
      <c r="D107" s="20">
        <v>20</v>
      </c>
      <c r="E107" s="20">
        <v>238</v>
      </c>
      <c r="F107" s="20">
        <v>57.33</v>
      </c>
      <c r="G107" s="21">
        <f t="shared" si="23"/>
        <v>295.33</v>
      </c>
      <c r="H107" s="171">
        <v>1</v>
      </c>
      <c r="I107" s="20">
        <v>1190</v>
      </c>
      <c r="J107" s="20">
        <v>20</v>
      </c>
      <c r="K107" s="20">
        <v>238</v>
      </c>
      <c r="L107" s="20">
        <v>57.33</v>
      </c>
      <c r="M107" s="21">
        <f t="shared" si="24"/>
        <v>295.33</v>
      </c>
      <c r="N107" s="171"/>
      <c r="O107" s="20"/>
      <c r="P107" s="20"/>
      <c r="Q107" s="20"/>
      <c r="R107" s="20"/>
      <c r="S107" s="21"/>
    </row>
    <row r="108" spans="1:19" ht="19.5" customHeight="1" x14ac:dyDescent="0.25">
      <c r="A108" s="827" t="s">
        <v>1174</v>
      </c>
      <c r="B108" s="171">
        <v>1</v>
      </c>
      <c r="C108" s="20">
        <v>1190</v>
      </c>
      <c r="D108" s="20">
        <v>20</v>
      </c>
      <c r="E108" s="20">
        <v>238</v>
      </c>
      <c r="F108" s="20">
        <v>57.33</v>
      </c>
      <c r="G108" s="21">
        <f t="shared" si="23"/>
        <v>295.33</v>
      </c>
      <c r="H108" s="171"/>
      <c r="I108" s="20"/>
      <c r="J108" s="20"/>
      <c r="K108" s="20"/>
      <c r="L108" s="20"/>
      <c r="M108" s="21"/>
      <c r="N108" s="171"/>
      <c r="O108" s="20"/>
      <c r="P108" s="20"/>
      <c r="Q108" s="20"/>
      <c r="R108" s="20"/>
      <c r="S108" s="21"/>
    </row>
    <row r="109" spans="1:19" x14ac:dyDescent="0.25">
      <c r="A109" s="827" t="s">
        <v>1174</v>
      </c>
      <c r="B109" s="171">
        <v>1</v>
      </c>
      <c r="C109" s="20">
        <v>1190</v>
      </c>
      <c r="D109" s="20">
        <v>20</v>
      </c>
      <c r="E109" s="20">
        <v>238</v>
      </c>
      <c r="F109" s="20">
        <v>57.33</v>
      </c>
      <c r="G109" s="21">
        <f t="shared" si="23"/>
        <v>295.33</v>
      </c>
      <c r="H109" s="171">
        <v>1</v>
      </c>
      <c r="I109" s="20">
        <v>1190</v>
      </c>
      <c r="J109" s="20">
        <v>20</v>
      </c>
      <c r="K109" s="20">
        <v>238</v>
      </c>
      <c r="L109" s="20">
        <v>57.33</v>
      </c>
      <c r="M109" s="21">
        <f t="shared" ref="M109:M111" si="25">SUM(K109:L109)</f>
        <v>295.33</v>
      </c>
      <c r="N109" s="171"/>
      <c r="O109" s="20"/>
      <c r="P109" s="20"/>
      <c r="Q109" s="233"/>
      <c r="R109" s="233"/>
      <c r="S109" s="233"/>
    </row>
    <row r="110" spans="1:19" x14ac:dyDescent="0.25">
      <c r="A110" s="827" t="s">
        <v>1174</v>
      </c>
      <c r="B110" s="171">
        <v>1</v>
      </c>
      <c r="C110" s="20">
        <v>1190</v>
      </c>
      <c r="D110" s="20">
        <v>20</v>
      </c>
      <c r="E110" s="20">
        <v>238</v>
      </c>
      <c r="F110" s="20">
        <v>57.33</v>
      </c>
      <c r="G110" s="21">
        <f t="shared" si="23"/>
        <v>295.33</v>
      </c>
      <c r="H110" s="171">
        <v>1</v>
      </c>
      <c r="I110" s="20">
        <v>1190</v>
      </c>
      <c r="J110" s="20">
        <v>20</v>
      </c>
      <c r="K110" s="20">
        <v>238</v>
      </c>
      <c r="L110" s="20">
        <v>57.33</v>
      </c>
      <c r="M110" s="21">
        <f t="shared" si="25"/>
        <v>295.33</v>
      </c>
      <c r="N110" s="171"/>
      <c r="O110" s="20"/>
      <c r="P110" s="20"/>
      <c r="Q110" s="233"/>
      <c r="R110" s="233"/>
      <c r="S110" s="233"/>
    </row>
    <row r="111" spans="1:19" x14ac:dyDescent="0.25">
      <c r="A111" s="827" t="s">
        <v>1174</v>
      </c>
      <c r="B111" s="171">
        <v>1</v>
      </c>
      <c r="C111" s="20">
        <v>1190</v>
      </c>
      <c r="D111" s="20">
        <v>20</v>
      </c>
      <c r="E111" s="20">
        <v>238</v>
      </c>
      <c r="F111" s="20">
        <v>57.33</v>
      </c>
      <c r="G111" s="21">
        <f t="shared" si="23"/>
        <v>295.33</v>
      </c>
      <c r="H111" s="171">
        <v>1</v>
      </c>
      <c r="I111" s="20">
        <v>1190</v>
      </c>
      <c r="J111" s="20">
        <v>20</v>
      </c>
      <c r="K111" s="20">
        <v>238</v>
      </c>
      <c r="L111" s="20">
        <v>57.33</v>
      </c>
      <c r="M111" s="21">
        <f t="shared" si="25"/>
        <v>295.33</v>
      </c>
      <c r="N111" s="171"/>
      <c r="O111" s="20"/>
      <c r="P111" s="20"/>
      <c r="Q111" s="233"/>
      <c r="R111" s="233"/>
      <c r="S111" s="233"/>
    </row>
    <row r="112" spans="1:19" s="1" customFormat="1" ht="49.5" x14ac:dyDescent="0.25">
      <c r="A112" s="828" t="s">
        <v>1175</v>
      </c>
      <c r="B112" s="167"/>
      <c r="C112" s="16"/>
      <c r="D112" s="16"/>
      <c r="E112" s="16"/>
      <c r="F112" s="16"/>
      <c r="G112" s="17"/>
      <c r="H112" s="15"/>
      <c r="I112" s="16"/>
      <c r="J112" s="16"/>
      <c r="K112" s="16"/>
      <c r="L112" s="16"/>
      <c r="M112" s="17"/>
      <c r="N112" s="15"/>
      <c r="O112" s="16"/>
      <c r="P112" s="16"/>
      <c r="Q112" s="16"/>
      <c r="R112" s="16"/>
      <c r="S112" s="17"/>
    </row>
    <row r="113" spans="1:19" ht="37.5" customHeight="1" x14ac:dyDescent="0.25">
      <c r="A113" s="424" t="s">
        <v>11</v>
      </c>
      <c r="B113" s="171"/>
      <c r="C113" s="20"/>
      <c r="D113" s="20"/>
      <c r="E113" s="20"/>
      <c r="F113" s="20"/>
      <c r="G113" s="21"/>
      <c r="H113" s="19"/>
      <c r="I113" s="20"/>
      <c r="J113" s="20"/>
      <c r="K113" s="20"/>
      <c r="L113" s="20"/>
      <c r="M113" s="21"/>
      <c r="N113" s="19"/>
      <c r="O113" s="20"/>
      <c r="P113" s="20"/>
      <c r="Q113" s="20"/>
      <c r="R113" s="20"/>
      <c r="S113" s="21"/>
    </row>
    <row r="114" spans="1:19" ht="18.75" customHeight="1" x14ac:dyDescent="0.25">
      <c r="A114" s="827" t="s">
        <v>1176</v>
      </c>
      <c r="B114" s="171">
        <v>1</v>
      </c>
      <c r="C114" s="20">
        <v>1287</v>
      </c>
      <c r="D114" s="20">
        <v>20</v>
      </c>
      <c r="E114" s="20">
        <v>257.39999999999998</v>
      </c>
      <c r="F114" s="20">
        <v>62</v>
      </c>
      <c r="G114" s="21">
        <f>SUM(E114:F114)</f>
        <v>319.39999999999998</v>
      </c>
      <c r="H114" s="19"/>
      <c r="I114" s="20"/>
      <c r="J114" s="20"/>
      <c r="K114" s="20"/>
      <c r="L114" s="20"/>
      <c r="M114" s="21"/>
      <c r="N114" s="19"/>
      <c r="O114" s="20"/>
      <c r="P114" s="20"/>
      <c r="Q114" s="20"/>
      <c r="R114" s="20"/>
      <c r="S114" s="21"/>
    </row>
    <row r="115" spans="1:19" ht="18.75" customHeight="1" x14ac:dyDescent="0.25">
      <c r="A115" s="827" t="s">
        <v>1176</v>
      </c>
      <c r="B115" s="171">
        <v>1</v>
      </c>
      <c r="C115" s="20">
        <v>1190</v>
      </c>
      <c r="D115" s="20">
        <v>20</v>
      </c>
      <c r="E115" s="20">
        <v>183.91</v>
      </c>
      <c r="F115" s="20">
        <v>44.31</v>
      </c>
      <c r="G115" s="21">
        <f>SUM(E115:F115)</f>
        <v>228.22</v>
      </c>
      <c r="H115" s="19"/>
      <c r="I115" s="20"/>
      <c r="J115" s="20"/>
      <c r="K115" s="20"/>
      <c r="L115" s="20"/>
      <c r="M115" s="21"/>
      <c r="N115" s="19"/>
      <c r="O115" s="20"/>
      <c r="P115" s="20"/>
      <c r="Q115" s="20"/>
      <c r="R115" s="20"/>
      <c r="S115" s="21"/>
    </row>
    <row r="116" spans="1:19" s="1" customFormat="1" ht="49.5" x14ac:dyDescent="0.25">
      <c r="A116" s="828" t="s">
        <v>1177</v>
      </c>
      <c r="B116" s="167"/>
      <c r="C116" s="16"/>
      <c r="D116" s="16"/>
      <c r="E116" s="16"/>
      <c r="F116" s="16"/>
      <c r="G116" s="17"/>
      <c r="H116" s="15"/>
      <c r="I116" s="16"/>
      <c r="J116" s="16"/>
      <c r="K116" s="16"/>
      <c r="L116" s="16"/>
      <c r="M116" s="17"/>
      <c r="N116" s="15"/>
      <c r="O116" s="16"/>
      <c r="P116" s="16"/>
      <c r="Q116" s="16"/>
      <c r="R116" s="16"/>
      <c r="S116" s="17"/>
    </row>
    <row r="117" spans="1:19" ht="37.5" customHeight="1" x14ac:dyDescent="0.25">
      <c r="A117" s="424" t="s">
        <v>11</v>
      </c>
      <c r="B117" s="171"/>
      <c r="C117" s="20"/>
      <c r="D117" s="20"/>
      <c r="E117" s="20"/>
      <c r="F117" s="20"/>
      <c r="G117" s="21"/>
      <c r="H117" s="19"/>
      <c r="I117" s="20"/>
      <c r="J117" s="20"/>
      <c r="K117" s="20"/>
      <c r="L117" s="20"/>
      <c r="M117" s="21"/>
      <c r="N117" s="19"/>
      <c r="O117" s="20"/>
      <c r="P117" s="20"/>
      <c r="Q117" s="20"/>
      <c r="R117" s="20"/>
      <c r="S117" s="21"/>
    </row>
    <row r="118" spans="1:19" ht="18.75" customHeight="1" x14ac:dyDescent="0.25">
      <c r="A118" s="827" t="s">
        <v>1178</v>
      </c>
      <c r="B118" s="171">
        <v>1</v>
      </c>
      <c r="C118" s="20">
        <v>1382</v>
      </c>
      <c r="D118" s="20">
        <v>20</v>
      </c>
      <c r="E118" s="20">
        <v>276.39999999999998</v>
      </c>
      <c r="F118" s="20">
        <v>66.59</v>
      </c>
      <c r="G118" s="21">
        <f>SUM(E118:F118)</f>
        <v>342.99</v>
      </c>
      <c r="H118" s="19"/>
      <c r="I118" s="20"/>
      <c r="J118" s="20"/>
      <c r="K118" s="20"/>
      <c r="L118" s="20"/>
      <c r="M118" s="21"/>
      <c r="N118" s="19"/>
      <c r="O118" s="20"/>
      <c r="P118" s="20"/>
      <c r="Q118" s="20"/>
      <c r="R118" s="20"/>
      <c r="S118" s="21"/>
    </row>
    <row r="119" spans="1:19" ht="18.75" customHeight="1" x14ac:dyDescent="0.25">
      <c r="A119" s="827" t="s">
        <v>1174</v>
      </c>
      <c r="B119" s="171">
        <v>1</v>
      </c>
      <c r="C119" s="20">
        <v>1287</v>
      </c>
      <c r="D119" s="20">
        <v>20</v>
      </c>
      <c r="E119" s="20">
        <v>257.39999999999998</v>
      </c>
      <c r="F119" s="20">
        <v>62.01</v>
      </c>
      <c r="G119" s="21">
        <f>SUM(E119:F119)</f>
        <v>319.40999999999997</v>
      </c>
      <c r="H119" s="19">
        <v>1</v>
      </c>
      <c r="I119" s="20">
        <v>1287</v>
      </c>
      <c r="J119" s="20">
        <v>20</v>
      </c>
      <c r="K119" s="20">
        <v>257.39999999999998</v>
      </c>
      <c r="L119" s="20">
        <v>62.01</v>
      </c>
      <c r="M119" s="21">
        <f>SUM(K119:L119)</f>
        <v>319.40999999999997</v>
      </c>
      <c r="N119" s="19"/>
      <c r="O119" s="20"/>
      <c r="P119" s="20"/>
      <c r="Q119" s="20"/>
      <c r="R119" s="20"/>
      <c r="S119" s="21"/>
    </row>
    <row r="120" spans="1:19" x14ac:dyDescent="0.25">
      <c r="A120" s="827" t="s">
        <v>1174</v>
      </c>
      <c r="B120" s="171">
        <v>1</v>
      </c>
      <c r="C120" s="136">
        <v>1287</v>
      </c>
      <c r="D120" s="20">
        <v>20</v>
      </c>
      <c r="E120" s="20">
        <v>257.39999999999998</v>
      </c>
      <c r="F120" s="20">
        <v>62.01</v>
      </c>
      <c r="G120" s="21">
        <f>SUM(E120:F120)</f>
        <v>319.40999999999997</v>
      </c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</row>
    <row r="121" spans="1:19" s="1" customFormat="1" ht="66" x14ac:dyDescent="0.25">
      <c r="A121" s="828" t="s">
        <v>1179</v>
      </c>
      <c r="B121" s="167"/>
      <c r="C121" s="16"/>
      <c r="D121" s="16"/>
      <c r="E121" s="16"/>
      <c r="F121" s="16"/>
      <c r="G121" s="17"/>
      <c r="H121" s="15"/>
      <c r="I121" s="16"/>
      <c r="J121" s="16"/>
      <c r="K121" s="16"/>
      <c r="L121" s="16"/>
      <c r="M121" s="17"/>
      <c r="N121" s="15"/>
      <c r="O121" s="16"/>
      <c r="P121" s="16"/>
      <c r="Q121" s="16"/>
      <c r="R121" s="16"/>
      <c r="S121" s="17"/>
    </row>
    <row r="122" spans="1:19" ht="37.5" customHeight="1" x14ac:dyDescent="0.25">
      <c r="A122" s="424" t="s">
        <v>11</v>
      </c>
      <c r="B122" s="171"/>
      <c r="C122" s="20"/>
      <c r="D122" s="20"/>
      <c r="E122" s="20"/>
      <c r="F122" s="20"/>
      <c r="G122" s="21"/>
      <c r="H122" s="19"/>
      <c r="I122" s="20"/>
      <c r="J122" s="20"/>
      <c r="K122" s="20"/>
      <c r="L122" s="20"/>
      <c r="M122" s="21"/>
      <c r="N122" s="19"/>
      <c r="O122" s="20"/>
      <c r="P122" s="20"/>
      <c r="Q122" s="20"/>
      <c r="R122" s="20"/>
      <c r="S122" s="21"/>
    </row>
    <row r="123" spans="1:19" ht="18.75" customHeight="1" x14ac:dyDescent="0.25">
      <c r="A123" s="827" t="s">
        <v>842</v>
      </c>
      <c r="B123" s="171">
        <v>1</v>
      </c>
      <c r="C123" s="20" t="s">
        <v>1180</v>
      </c>
      <c r="D123" s="20">
        <v>20</v>
      </c>
      <c r="E123" s="20">
        <v>254.31</v>
      </c>
      <c r="F123" s="20">
        <v>61.27</v>
      </c>
      <c r="G123" s="21">
        <f t="shared" ref="G123:G124" si="26">SUM(E123:F123)</f>
        <v>315.58</v>
      </c>
      <c r="H123" s="19">
        <v>1</v>
      </c>
      <c r="I123" s="20">
        <v>1382</v>
      </c>
      <c r="J123" s="20">
        <v>20</v>
      </c>
      <c r="K123" s="20">
        <v>276.39999999999998</v>
      </c>
      <c r="L123" s="20">
        <v>66.58</v>
      </c>
      <c r="M123" s="21">
        <f>SUM(K123:L123)</f>
        <v>342.97999999999996</v>
      </c>
      <c r="N123" s="19"/>
      <c r="O123" s="20"/>
      <c r="P123" s="20"/>
      <c r="Q123" s="20"/>
      <c r="R123" s="20"/>
      <c r="S123" s="21"/>
    </row>
    <row r="124" spans="1:19" ht="18.75" customHeight="1" x14ac:dyDescent="0.25">
      <c r="A124" s="827" t="s">
        <v>1181</v>
      </c>
      <c r="B124" s="171">
        <v>1</v>
      </c>
      <c r="C124" s="20">
        <v>1015</v>
      </c>
      <c r="D124" s="20">
        <v>20</v>
      </c>
      <c r="E124" s="20">
        <v>203</v>
      </c>
      <c r="F124" s="20">
        <v>48.9</v>
      </c>
      <c r="G124" s="21">
        <f t="shared" si="26"/>
        <v>251.9</v>
      </c>
      <c r="H124" s="19">
        <v>1</v>
      </c>
      <c r="I124" s="825" t="s">
        <v>1182</v>
      </c>
      <c r="J124" s="20">
        <v>20</v>
      </c>
      <c r="K124" s="20">
        <v>232.75</v>
      </c>
      <c r="L124" s="20">
        <v>56.07</v>
      </c>
      <c r="M124" s="21">
        <f>SUM(K124:L124)</f>
        <v>288.82</v>
      </c>
      <c r="N124" s="19"/>
      <c r="O124" s="825"/>
      <c r="P124" s="20"/>
      <c r="Q124" s="20"/>
      <c r="R124" s="20"/>
      <c r="S124" s="21"/>
    </row>
    <row r="125" spans="1:19" s="1" customFormat="1" ht="33" x14ac:dyDescent="0.25">
      <c r="A125" s="828" t="s">
        <v>1183</v>
      </c>
      <c r="B125" s="167"/>
      <c r="C125" s="16"/>
      <c r="D125" s="16"/>
      <c r="E125" s="16"/>
      <c r="F125" s="16"/>
      <c r="G125" s="17"/>
      <c r="H125" s="15"/>
      <c r="I125" s="16"/>
      <c r="J125" s="16"/>
      <c r="K125" s="16"/>
      <c r="L125" s="16"/>
      <c r="M125" s="17"/>
      <c r="N125" s="15"/>
      <c r="O125" s="16"/>
      <c r="P125" s="16"/>
      <c r="Q125" s="16"/>
      <c r="R125" s="16"/>
      <c r="S125" s="17"/>
    </row>
    <row r="126" spans="1:19" ht="37.5" customHeight="1" x14ac:dyDescent="0.25">
      <c r="A126" s="424" t="s">
        <v>11</v>
      </c>
      <c r="B126" s="171"/>
      <c r="C126" s="20"/>
      <c r="D126" s="20"/>
      <c r="E126" s="20"/>
      <c r="F126" s="20"/>
      <c r="G126" s="21"/>
      <c r="H126" s="19"/>
      <c r="I126" s="20"/>
      <c r="J126" s="20"/>
      <c r="K126" s="20"/>
      <c r="L126" s="20"/>
      <c r="M126" s="21"/>
      <c r="N126" s="19"/>
      <c r="O126" s="20"/>
      <c r="P126" s="20"/>
      <c r="Q126" s="20"/>
      <c r="R126" s="20"/>
      <c r="S126" s="21"/>
    </row>
    <row r="127" spans="1:19" ht="18.75" customHeight="1" x14ac:dyDescent="0.25">
      <c r="A127" s="827" t="s">
        <v>1164</v>
      </c>
      <c r="B127" s="171">
        <v>1</v>
      </c>
      <c r="C127" s="20">
        <v>1015</v>
      </c>
      <c r="D127" s="20">
        <v>20</v>
      </c>
      <c r="E127" s="20">
        <v>156.86000000000001</v>
      </c>
      <c r="F127" s="20">
        <v>37.79</v>
      </c>
      <c r="G127" s="21">
        <f t="shared" ref="G127:G130" si="27">SUM(E127:F127)</f>
        <v>194.65</v>
      </c>
      <c r="H127" s="19">
        <v>1</v>
      </c>
      <c r="I127" s="825" t="s">
        <v>1182</v>
      </c>
      <c r="J127" s="20">
        <v>20</v>
      </c>
      <c r="K127" s="20">
        <v>208.25</v>
      </c>
      <c r="L127" s="20">
        <v>50.17</v>
      </c>
      <c r="M127" s="21">
        <f>SUM(K127:L127)</f>
        <v>258.42</v>
      </c>
      <c r="N127" s="19"/>
      <c r="O127" s="20"/>
      <c r="P127" s="20"/>
      <c r="Q127" s="20"/>
      <c r="R127" s="20"/>
      <c r="S127" s="21"/>
    </row>
    <row r="128" spans="1:19" ht="18.75" customHeight="1" x14ac:dyDescent="0.25">
      <c r="A128" s="827" t="s">
        <v>1184</v>
      </c>
      <c r="B128" s="171">
        <v>1</v>
      </c>
      <c r="C128" s="20">
        <v>1200</v>
      </c>
      <c r="D128" s="20">
        <v>20</v>
      </c>
      <c r="E128" s="20">
        <v>196.36</v>
      </c>
      <c r="F128" s="20">
        <v>47.3</v>
      </c>
      <c r="G128" s="21">
        <f t="shared" si="27"/>
        <v>243.66000000000003</v>
      </c>
      <c r="H128" s="19"/>
      <c r="I128" s="20"/>
      <c r="J128" s="20"/>
      <c r="K128" s="20"/>
      <c r="L128" s="20"/>
      <c r="M128" s="21"/>
      <c r="N128" s="19"/>
      <c r="O128" s="20"/>
      <c r="P128" s="20"/>
      <c r="Q128" s="20"/>
      <c r="R128" s="20"/>
      <c r="S128" s="21"/>
    </row>
    <row r="129" spans="1:19" ht="18.75" customHeight="1" x14ac:dyDescent="0.25">
      <c r="A129" s="827" t="s">
        <v>1185</v>
      </c>
      <c r="B129" s="171">
        <v>1</v>
      </c>
      <c r="C129" s="20">
        <v>835</v>
      </c>
      <c r="D129" s="20">
        <v>20</v>
      </c>
      <c r="E129" s="20">
        <v>167</v>
      </c>
      <c r="F129" s="20">
        <v>40.229999999999997</v>
      </c>
      <c r="G129" s="21">
        <f t="shared" si="27"/>
        <v>207.23</v>
      </c>
      <c r="H129" s="19">
        <v>1</v>
      </c>
      <c r="I129" s="20">
        <v>835</v>
      </c>
      <c r="J129" s="20">
        <v>20</v>
      </c>
      <c r="K129" s="20">
        <v>167</v>
      </c>
      <c r="L129" s="20">
        <v>40.229999999999997</v>
      </c>
      <c r="M129" s="21">
        <f>SUM(K129:L129)</f>
        <v>207.23</v>
      </c>
      <c r="N129" s="19"/>
      <c r="O129" s="20"/>
      <c r="P129" s="20"/>
      <c r="Q129" s="20"/>
      <c r="R129" s="20"/>
      <c r="S129" s="21"/>
    </row>
    <row r="130" spans="1:19" ht="18.75" customHeight="1" x14ac:dyDescent="0.25">
      <c r="A130" s="827" t="s">
        <v>1185</v>
      </c>
      <c r="B130" s="171">
        <v>1</v>
      </c>
      <c r="C130" s="20">
        <v>1190</v>
      </c>
      <c r="D130" s="20">
        <v>20</v>
      </c>
      <c r="E130" s="20">
        <v>183.91</v>
      </c>
      <c r="F130" s="20">
        <v>44.3</v>
      </c>
      <c r="G130" s="21">
        <f t="shared" si="27"/>
        <v>228.20999999999998</v>
      </c>
      <c r="H130" s="19"/>
      <c r="I130" s="20"/>
      <c r="J130" s="20"/>
      <c r="K130" s="20"/>
      <c r="L130" s="20"/>
      <c r="M130" s="21"/>
      <c r="N130" s="19"/>
      <c r="O130" s="20"/>
      <c r="P130" s="20"/>
      <c r="Q130" s="20"/>
      <c r="R130" s="20"/>
      <c r="S130" s="21"/>
    </row>
    <row r="132" spans="1:19" x14ac:dyDescent="0.25">
      <c r="K132" s="28"/>
      <c r="L132" s="28"/>
    </row>
  </sheetData>
  <mergeCells count="5"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4C95D-4D5B-42F6-8406-CD386EACD1E5}">
  <dimension ref="A1:K26"/>
  <sheetViews>
    <sheetView workbookViewId="0">
      <selection activeCell="F143" sqref="F143"/>
    </sheetView>
  </sheetViews>
  <sheetFormatPr defaultRowHeight="15" x14ac:dyDescent="0.25"/>
  <cols>
    <col min="1" max="1" width="33.42578125" customWidth="1"/>
    <col min="2" max="2" width="26.5703125" customWidth="1"/>
    <col min="3" max="3" width="8.42578125" bestFit="1" customWidth="1"/>
    <col min="4" max="4" width="19.42578125" customWidth="1"/>
    <col min="5" max="5" width="18.28515625" bestFit="1" customWidth="1"/>
    <col min="6" max="6" width="10.5703125" customWidth="1"/>
    <col min="8" max="8" width="13.5703125" customWidth="1"/>
    <col min="9" max="9" width="16.7109375" customWidth="1"/>
    <col min="10" max="10" width="11.5703125" customWidth="1"/>
    <col min="11" max="11" width="42.85546875" customWidth="1"/>
  </cols>
  <sheetData>
    <row r="1" spans="1:11" x14ac:dyDescent="0.25">
      <c r="K1" s="709" t="s">
        <v>971</v>
      </c>
    </row>
    <row r="2" spans="1:11" x14ac:dyDescent="0.25">
      <c r="K2" s="709" t="s">
        <v>972</v>
      </c>
    </row>
    <row r="3" spans="1:11" x14ac:dyDescent="0.25">
      <c r="A3" s="879"/>
      <c r="B3" s="879"/>
      <c r="C3" s="710"/>
      <c r="D3" s="711"/>
      <c r="E3" s="712"/>
      <c r="F3" s="713"/>
      <c r="G3" s="713"/>
      <c r="H3" s="713"/>
      <c r="I3" s="713"/>
      <c r="J3" s="713"/>
    </row>
    <row r="4" spans="1:11" x14ac:dyDescent="0.25">
      <c r="A4" s="879" t="s">
        <v>973</v>
      </c>
      <c r="B4" s="879"/>
      <c r="C4" s="713"/>
      <c r="D4" s="711"/>
      <c r="E4" s="714"/>
      <c r="F4" s="713"/>
      <c r="G4" s="713"/>
      <c r="H4" s="713"/>
      <c r="I4" s="713"/>
      <c r="J4" s="713"/>
    </row>
    <row r="5" spans="1:11" ht="42.75" x14ac:dyDescent="0.25">
      <c r="A5" s="604" t="s">
        <v>259</v>
      </c>
      <c r="B5" s="604" t="s">
        <v>261</v>
      </c>
      <c r="C5" s="604" t="s">
        <v>262</v>
      </c>
      <c r="D5" s="715" t="s">
        <v>974</v>
      </c>
      <c r="E5" s="604" t="s">
        <v>975</v>
      </c>
      <c r="F5" s="604" t="s">
        <v>976</v>
      </c>
      <c r="G5" s="604" t="s">
        <v>0</v>
      </c>
      <c r="H5" s="604" t="s">
        <v>977</v>
      </c>
      <c r="I5" s="716" t="s">
        <v>978</v>
      </c>
      <c r="J5" s="713"/>
    </row>
    <row r="6" spans="1:11" ht="30" x14ac:dyDescent="0.25">
      <c r="A6" s="717" t="s">
        <v>979</v>
      </c>
      <c r="B6" s="717" t="s">
        <v>585</v>
      </c>
      <c r="C6" s="718" t="s">
        <v>588</v>
      </c>
      <c r="D6" s="719">
        <v>96</v>
      </c>
      <c r="E6" s="720">
        <v>28941</v>
      </c>
      <c r="F6" s="721">
        <v>1.2999999999999901E-2</v>
      </c>
      <c r="G6" s="721">
        <f>BKUS_akord_marts!$E6*BKUS_akord_marts!$F6</f>
        <v>376.23299999999711</v>
      </c>
      <c r="H6" s="722">
        <f>ROUND(BKUS_akord_marts!$G6*0.2,2)</f>
        <v>75.25</v>
      </c>
      <c r="I6" s="723" t="s">
        <v>980</v>
      </c>
      <c r="J6" s="713"/>
    </row>
    <row r="7" spans="1:11" ht="30" x14ac:dyDescent="0.25">
      <c r="A7" s="724" t="s">
        <v>979</v>
      </c>
      <c r="B7" s="724" t="s">
        <v>981</v>
      </c>
      <c r="C7" s="725" t="s">
        <v>587</v>
      </c>
      <c r="D7" s="605">
        <v>3</v>
      </c>
      <c r="E7" s="726">
        <v>938</v>
      </c>
      <c r="F7" s="295">
        <v>1.2999999999999901E-2</v>
      </c>
      <c r="G7" s="295">
        <f>BKUS_akord_marts!$E7*BKUS_akord_marts!$F7</f>
        <v>12.193999999999907</v>
      </c>
      <c r="H7" s="296">
        <f>ROUND(BKUS_akord_marts!$G7*0.2,2)</f>
        <v>2.44</v>
      </c>
      <c r="I7" s="727" t="s">
        <v>980</v>
      </c>
      <c r="J7" s="713"/>
    </row>
    <row r="8" spans="1:11" ht="30" x14ac:dyDescent="0.25">
      <c r="A8" s="717" t="s">
        <v>979</v>
      </c>
      <c r="B8" s="717" t="s">
        <v>982</v>
      </c>
      <c r="C8" s="718" t="s">
        <v>586</v>
      </c>
      <c r="D8" s="719">
        <v>1</v>
      </c>
      <c r="E8" s="720">
        <v>173</v>
      </c>
      <c r="F8" s="721">
        <v>1.2999999999999901E-2</v>
      </c>
      <c r="G8" s="721">
        <f>BKUS_akord_marts!$E8*BKUS_akord_marts!$F8</f>
        <v>2.2489999999999828</v>
      </c>
      <c r="H8" s="722">
        <f>ROUND(BKUS_akord_marts!$G8*0.2,2)</f>
        <v>0.45</v>
      </c>
      <c r="I8" s="723" t="s">
        <v>980</v>
      </c>
      <c r="J8" s="713"/>
    </row>
    <row r="9" spans="1:11" x14ac:dyDescent="0.25">
      <c r="A9" s="728"/>
      <c r="B9" s="728"/>
      <c r="C9" s="728"/>
      <c r="D9" s="604">
        <f>SUM(BKUS_akord_marts!$D$6:$D$8)</f>
        <v>100</v>
      </c>
      <c r="E9" s="729"/>
      <c r="F9" s="730"/>
      <c r="G9" s="730"/>
      <c r="H9" s="731">
        <f>SUM(BKUS_akord_marts!$H$6:$H$8)</f>
        <v>78.14</v>
      </c>
      <c r="I9" s="732"/>
      <c r="J9" s="713"/>
    </row>
    <row r="10" spans="1:11" x14ac:dyDescent="0.25">
      <c r="A10" s="713"/>
      <c r="B10" s="713"/>
      <c r="C10" s="713"/>
      <c r="D10" s="711"/>
      <c r="E10" s="714"/>
      <c r="F10" s="713"/>
      <c r="G10" s="713"/>
      <c r="H10" s="713"/>
      <c r="I10" s="713"/>
      <c r="J10" s="713"/>
    </row>
    <row r="11" spans="1:11" x14ac:dyDescent="0.25">
      <c r="A11" s="879" t="s">
        <v>983</v>
      </c>
      <c r="B11" s="879"/>
      <c r="C11" s="713"/>
      <c r="D11" s="711"/>
      <c r="E11" s="712"/>
      <c r="F11" s="713"/>
      <c r="G11" s="713"/>
      <c r="H11" s="713"/>
      <c r="I11" s="713"/>
      <c r="J11" s="713"/>
    </row>
    <row r="12" spans="1:11" ht="42.75" x14ac:dyDescent="0.25">
      <c r="A12" s="715" t="s">
        <v>259</v>
      </c>
      <c r="B12" s="715" t="s">
        <v>261</v>
      </c>
      <c r="C12" s="715" t="s">
        <v>262</v>
      </c>
      <c r="D12" s="715" t="s">
        <v>984</v>
      </c>
      <c r="E12" s="715" t="s">
        <v>985</v>
      </c>
      <c r="F12" s="715" t="s">
        <v>986</v>
      </c>
      <c r="G12" s="715" t="s">
        <v>987</v>
      </c>
      <c r="H12" s="715" t="s">
        <v>988</v>
      </c>
      <c r="I12" s="715" t="s">
        <v>989</v>
      </c>
      <c r="J12" s="604" t="s">
        <v>977</v>
      </c>
      <c r="K12" s="733" t="s">
        <v>978</v>
      </c>
    </row>
    <row r="13" spans="1:11" x14ac:dyDescent="0.25">
      <c r="A13" s="880" t="s">
        <v>990</v>
      </c>
      <c r="B13" s="881" t="s">
        <v>591</v>
      </c>
      <c r="C13" s="734" t="s">
        <v>571</v>
      </c>
      <c r="D13" s="734">
        <v>40</v>
      </c>
      <c r="E13" s="734">
        <v>5</v>
      </c>
      <c r="F13" s="734">
        <v>621.6</v>
      </c>
      <c r="G13" s="735">
        <f>BKUS_akord_marts!$F13*BKUS_akord_marts!$E13</f>
        <v>3108</v>
      </c>
      <c r="H13" s="736">
        <v>4.2000000000000003E-2</v>
      </c>
      <c r="I13" s="735">
        <f>BKUS_akord_marts!$H13*BKUS_akord_marts!$G13</f>
        <v>130.536</v>
      </c>
      <c r="J13" s="737">
        <f>ROUND(BKUS_akord_marts!$I13*0.2,2)</f>
        <v>26.11</v>
      </c>
      <c r="K13" s="738" t="s">
        <v>991</v>
      </c>
    </row>
    <row r="14" spans="1:11" x14ac:dyDescent="0.25">
      <c r="A14" s="880"/>
      <c r="B14" s="881"/>
      <c r="C14" s="739" t="s">
        <v>579</v>
      </c>
      <c r="D14" s="739">
        <v>40</v>
      </c>
      <c r="E14" s="739">
        <v>5</v>
      </c>
      <c r="F14" s="739">
        <v>621.6</v>
      </c>
      <c r="G14" s="740">
        <f>BKUS_akord_marts!$F14*BKUS_akord_marts!$E14</f>
        <v>3108</v>
      </c>
      <c r="H14" s="741">
        <v>4.2000000000000003E-2</v>
      </c>
      <c r="I14" s="740">
        <f>BKUS_akord_marts!$H14*BKUS_akord_marts!$G14</f>
        <v>130.536</v>
      </c>
      <c r="J14" s="742">
        <f>ROUND(BKUS_akord_marts!$I14*0.2,2)</f>
        <v>26.11</v>
      </c>
      <c r="K14" s="743" t="s">
        <v>992</v>
      </c>
    </row>
    <row r="15" spans="1:11" ht="45" x14ac:dyDescent="0.25">
      <c r="A15" s="880"/>
      <c r="B15" s="881"/>
      <c r="C15" s="734" t="s">
        <v>577</v>
      </c>
      <c r="D15" s="734">
        <v>118</v>
      </c>
      <c r="E15" s="734">
        <v>15</v>
      </c>
      <c r="F15" s="734">
        <v>621.6</v>
      </c>
      <c r="G15" s="735">
        <f>BKUS_akord_marts!$F15*BKUS_akord_marts!$E15</f>
        <v>9324</v>
      </c>
      <c r="H15" s="736">
        <v>4.2000000000000003E-2</v>
      </c>
      <c r="I15" s="735">
        <f>BKUS_akord_marts!$H15*BKUS_akord_marts!$G15</f>
        <v>391.608</v>
      </c>
      <c r="J15" s="737">
        <f>ROUND(BKUS_akord_marts!$I15*0.2,2)</f>
        <v>78.319999999999993</v>
      </c>
      <c r="K15" s="738" t="s">
        <v>993</v>
      </c>
    </row>
    <row r="16" spans="1:11" x14ac:dyDescent="0.25">
      <c r="A16" s="880"/>
      <c r="B16" s="881"/>
      <c r="C16" s="739" t="s">
        <v>574</v>
      </c>
      <c r="D16" s="739">
        <v>24</v>
      </c>
      <c r="E16" s="739">
        <v>3</v>
      </c>
      <c r="F16" s="739">
        <v>621.6</v>
      </c>
      <c r="G16" s="740">
        <f>BKUS_akord_marts!$F16*BKUS_akord_marts!$E16</f>
        <v>1864.8000000000002</v>
      </c>
      <c r="H16" s="741">
        <v>4.2000000000000003E-2</v>
      </c>
      <c r="I16" s="740">
        <f>BKUS_akord_marts!$H16*BKUS_akord_marts!$G16</f>
        <v>78.321600000000018</v>
      </c>
      <c r="J16" s="742">
        <f>ROUND(BKUS_akord_marts!$I16*0.2,2)</f>
        <v>15.66</v>
      </c>
      <c r="K16" s="743" t="s">
        <v>994</v>
      </c>
    </row>
    <row r="17" spans="1:11" x14ac:dyDescent="0.25">
      <c r="A17" s="880"/>
      <c r="B17" s="881"/>
      <c r="C17" s="718" t="s">
        <v>575</v>
      </c>
      <c r="D17" s="734">
        <v>8</v>
      </c>
      <c r="E17" s="734">
        <v>1</v>
      </c>
      <c r="F17" s="734">
        <v>621.6</v>
      </c>
      <c r="G17" s="735">
        <f>BKUS_akord_marts!$F17*BKUS_akord_marts!$E17</f>
        <v>621.6</v>
      </c>
      <c r="H17" s="736">
        <v>4.2000000000000003E-2</v>
      </c>
      <c r="I17" s="735">
        <f>BKUS_akord_marts!$H17*BKUS_akord_marts!$G17</f>
        <v>26.107200000000002</v>
      </c>
      <c r="J17" s="737">
        <f>ROUND(BKUS_akord_marts!$I17*0.2,2)</f>
        <v>5.22</v>
      </c>
      <c r="K17" s="738" t="s">
        <v>995</v>
      </c>
    </row>
    <row r="18" spans="1:11" ht="45" x14ac:dyDescent="0.25">
      <c r="A18" s="880"/>
      <c r="B18" s="881"/>
      <c r="C18" s="739" t="s">
        <v>573</v>
      </c>
      <c r="D18" s="739">
        <v>96</v>
      </c>
      <c r="E18" s="739">
        <v>12</v>
      </c>
      <c r="F18" s="739">
        <v>942.8</v>
      </c>
      <c r="G18" s="740">
        <f>BKUS_akord_marts!$F18*BKUS_akord_marts!$E18</f>
        <v>11313.599999999999</v>
      </c>
      <c r="H18" s="741">
        <v>4.2000000000000003E-2</v>
      </c>
      <c r="I18" s="740">
        <f>BKUS_akord_marts!$H18*BKUS_akord_marts!$G18</f>
        <v>475.17119999999994</v>
      </c>
      <c r="J18" s="742">
        <f>ROUND(BKUS_akord_marts!$I18*0.2,2)</f>
        <v>95.03</v>
      </c>
      <c r="K18" s="743" t="s">
        <v>996</v>
      </c>
    </row>
    <row r="19" spans="1:11" ht="45" x14ac:dyDescent="0.25">
      <c r="A19" s="880"/>
      <c r="B19" s="881"/>
      <c r="C19" s="734" t="s">
        <v>577</v>
      </c>
      <c r="D19" s="734">
        <v>120</v>
      </c>
      <c r="E19" s="734">
        <v>15</v>
      </c>
      <c r="F19" s="734">
        <v>942.8</v>
      </c>
      <c r="G19" s="735">
        <f>BKUS_akord_marts!$F19*BKUS_akord_marts!$E19</f>
        <v>14142</v>
      </c>
      <c r="H19" s="736">
        <v>4.2000000000000003E-2</v>
      </c>
      <c r="I19" s="735">
        <f>BKUS_akord_marts!$H19*BKUS_akord_marts!$G19</f>
        <v>593.96400000000006</v>
      </c>
      <c r="J19" s="737">
        <f>ROUND(BKUS_akord_marts!$I19*0.2,2)</f>
        <v>118.79</v>
      </c>
      <c r="K19" s="738" t="s">
        <v>997</v>
      </c>
    </row>
    <row r="20" spans="1:11" ht="45" x14ac:dyDescent="0.25">
      <c r="A20" s="880"/>
      <c r="B20" s="881"/>
      <c r="C20" s="739" t="s">
        <v>576</v>
      </c>
      <c r="D20" s="739">
        <v>144</v>
      </c>
      <c r="E20" s="739">
        <v>18</v>
      </c>
      <c r="F20" s="739">
        <v>942.8</v>
      </c>
      <c r="G20" s="740">
        <f>BKUS_akord_marts!$F20*BKUS_akord_marts!$E20</f>
        <v>16970.399999999998</v>
      </c>
      <c r="H20" s="741">
        <v>4.2000000000000003E-2</v>
      </c>
      <c r="I20" s="740">
        <f>BKUS_akord_marts!$H20*BKUS_akord_marts!$G20</f>
        <v>712.7568</v>
      </c>
      <c r="J20" s="742">
        <f>ROUND(BKUS_akord_marts!$I20*0.2,2)</f>
        <v>142.55000000000001</v>
      </c>
      <c r="K20" s="743" t="s">
        <v>998</v>
      </c>
    </row>
    <row r="21" spans="1:11" ht="45" x14ac:dyDescent="0.25">
      <c r="A21" s="880"/>
      <c r="B21" s="881"/>
      <c r="C21" s="734" t="s">
        <v>572</v>
      </c>
      <c r="D21" s="734">
        <v>144</v>
      </c>
      <c r="E21" s="734">
        <v>18</v>
      </c>
      <c r="F21" s="734">
        <v>942.8</v>
      </c>
      <c r="G21" s="735">
        <f>BKUS_akord_marts!$F21*BKUS_akord_marts!$E21</f>
        <v>16970.399999999998</v>
      </c>
      <c r="H21" s="736">
        <v>4.2000000000000003E-2</v>
      </c>
      <c r="I21" s="735">
        <f>BKUS_akord_marts!$H21*BKUS_akord_marts!$G21</f>
        <v>712.7568</v>
      </c>
      <c r="J21" s="737">
        <f>ROUND(BKUS_akord_marts!$I21*0.2,2)</f>
        <v>142.55000000000001</v>
      </c>
      <c r="K21" s="738" t="s">
        <v>998</v>
      </c>
    </row>
    <row r="22" spans="1:11" ht="45" x14ac:dyDescent="0.25">
      <c r="A22" s="880"/>
      <c r="B22" s="881"/>
      <c r="C22" s="739" t="s">
        <v>569</v>
      </c>
      <c r="D22" s="739">
        <v>152</v>
      </c>
      <c r="E22" s="739">
        <v>17</v>
      </c>
      <c r="F22" s="739">
        <v>942.8</v>
      </c>
      <c r="G22" s="740">
        <f>BKUS_akord_marts!$F22*BKUS_akord_marts!$E22</f>
        <v>16027.599999999999</v>
      </c>
      <c r="H22" s="741">
        <v>4.2000000000000003E-2</v>
      </c>
      <c r="I22" s="740">
        <f>BKUS_akord_marts!$H22*BKUS_akord_marts!$G22</f>
        <v>673.15919999999994</v>
      </c>
      <c r="J22" s="742">
        <f>ROUND(BKUS_akord_marts!$I22*0.2,2)</f>
        <v>134.63</v>
      </c>
      <c r="K22" s="743" t="s">
        <v>999</v>
      </c>
    </row>
    <row r="23" spans="1:11" x14ac:dyDescent="0.25">
      <c r="A23" s="744"/>
      <c r="B23" s="744"/>
      <c r="C23" s="744"/>
      <c r="D23" s="745">
        <f>SUM(BKUS_akord_marts!$D$13:$D$22)</f>
        <v>886</v>
      </c>
      <c r="E23" s="744"/>
      <c r="F23" s="745"/>
      <c r="G23" s="746"/>
      <c r="H23" s="747"/>
      <c r="I23" s="748"/>
      <c r="J23" s="749">
        <f>SUM(BKUS_akord_marts!$J$13:$J$22)</f>
        <v>784.97</v>
      </c>
      <c r="K23" s="750"/>
    </row>
    <row r="24" spans="1:11" x14ac:dyDescent="0.25">
      <c r="A24" s="713"/>
      <c r="B24" s="713"/>
      <c r="C24" s="713"/>
      <c r="D24" s="711"/>
      <c r="E24" s="714"/>
      <c r="F24" s="713"/>
      <c r="G24" s="713"/>
      <c r="H24" s="713"/>
      <c r="I24" s="713"/>
      <c r="J24" s="713"/>
    </row>
    <row r="25" spans="1:11" x14ac:dyDescent="0.25">
      <c r="A25" s="713"/>
      <c r="B25" s="713"/>
      <c r="C25" s="713"/>
      <c r="D25" s="711"/>
      <c r="E25" s="714"/>
      <c r="F25" s="713"/>
      <c r="G25" s="713"/>
      <c r="H25" s="713"/>
      <c r="I25" s="713"/>
      <c r="J25" s="713"/>
    </row>
    <row r="26" spans="1:11" x14ac:dyDescent="0.25">
      <c r="A26" s="713"/>
      <c r="B26" s="713"/>
      <c r="C26" s="713"/>
      <c r="D26" s="711"/>
      <c r="E26" s="714"/>
      <c r="F26" s="713"/>
      <c r="G26" s="713"/>
      <c r="H26" s="713"/>
      <c r="I26" s="713"/>
      <c r="J26" s="713"/>
    </row>
  </sheetData>
  <mergeCells count="5">
    <mergeCell ref="A3:B3"/>
    <mergeCell ref="A4:B4"/>
    <mergeCell ref="A11:B11"/>
    <mergeCell ref="A13:A22"/>
    <mergeCell ref="B13:B22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B933-9A43-478C-805F-04AA79C0232D}">
  <dimension ref="A1:N21"/>
  <sheetViews>
    <sheetView workbookViewId="0">
      <selection activeCell="F143" sqref="F143"/>
    </sheetView>
  </sheetViews>
  <sheetFormatPr defaultRowHeight="15" x14ac:dyDescent="0.25"/>
  <cols>
    <col min="1" max="1" width="33.42578125" customWidth="1"/>
    <col min="2" max="2" width="26.5703125" customWidth="1"/>
    <col min="3" max="3" width="8.42578125" bestFit="1" customWidth="1"/>
    <col min="4" max="4" width="19.42578125" customWidth="1"/>
    <col min="5" max="5" width="18.28515625" bestFit="1" customWidth="1"/>
    <col min="6" max="6" width="10.5703125" customWidth="1"/>
    <col min="7" max="7" width="13.42578125" bestFit="1" customWidth="1"/>
    <col min="8" max="8" width="13.5703125" customWidth="1"/>
    <col min="9" max="9" width="16.7109375" customWidth="1"/>
    <col min="10" max="10" width="11.5703125" customWidth="1"/>
    <col min="11" max="11" width="42.85546875" customWidth="1"/>
    <col min="13" max="13" width="16.85546875" customWidth="1"/>
  </cols>
  <sheetData>
    <row r="1" spans="1:11" x14ac:dyDescent="0.25">
      <c r="K1" s="709" t="s">
        <v>971</v>
      </c>
    </row>
    <row r="2" spans="1:11" x14ac:dyDescent="0.25">
      <c r="K2" s="709" t="s">
        <v>972</v>
      </c>
    </row>
    <row r="3" spans="1:11" x14ac:dyDescent="0.25">
      <c r="A3" s="879"/>
      <c r="B3" s="879"/>
      <c r="C3" s="710"/>
      <c r="D3" s="711"/>
      <c r="E3" s="712"/>
      <c r="F3" s="713"/>
      <c r="G3" s="713"/>
      <c r="H3" s="713"/>
      <c r="I3" s="713"/>
      <c r="J3" s="713"/>
    </row>
    <row r="4" spans="1:11" x14ac:dyDescent="0.25">
      <c r="A4" s="879" t="s">
        <v>1000</v>
      </c>
      <c r="B4" s="879"/>
      <c r="C4" s="713"/>
      <c r="D4" s="711"/>
      <c r="E4" s="714"/>
      <c r="F4" s="713"/>
      <c r="G4" s="713"/>
      <c r="H4" s="713"/>
      <c r="I4" s="713"/>
      <c r="J4" s="713"/>
    </row>
    <row r="5" spans="1:11" ht="42.75" x14ac:dyDescent="0.25">
      <c r="A5" s="604" t="s">
        <v>259</v>
      </c>
      <c r="B5" s="604" t="s">
        <v>261</v>
      </c>
      <c r="C5" s="604" t="s">
        <v>262</v>
      </c>
      <c r="D5" s="715" t="s">
        <v>1001</v>
      </c>
      <c r="E5" s="604" t="s">
        <v>975</v>
      </c>
      <c r="F5" s="604" t="s">
        <v>976</v>
      </c>
      <c r="G5" s="604" t="s">
        <v>0</v>
      </c>
      <c r="H5" s="604" t="s">
        <v>1002</v>
      </c>
      <c r="I5" s="716" t="s">
        <v>978</v>
      </c>
      <c r="J5" s="713"/>
    </row>
    <row r="6" spans="1:11" x14ac:dyDescent="0.25">
      <c r="A6" s="717" t="s">
        <v>990</v>
      </c>
      <c r="B6" s="717" t="s">
        <v>585</v>
      </c>
      <c r="C6" s="718" t="s">
        <v>586</v>
      </c>
      <c r="D6" s="719">
        <v>3</v>
      </c>
      <c r="E6" s="751">
        <v>742</v>
      </c>
      <c r="F6" s="751">
        <v>1.2999999999999901E-2</v>
      </c>
      <c r="G6" s="752">
        <f>F6*E6</f>
        <v>9.6459999999999262</v>
      </c>
      <c r="H6" s="752">
        <f>ROUND(G6*0.3,2)</f>
        <v>2.89</v>
      </c>
      <c r="I6" s="723"/>
      <c r="J6" s="713"/>
    </row>
    <row r="7" spans="1:11" x14ac:dyDescent="0.25">
      <c r="A7" s="724" t="s">
        <v>990</v>
      </c>
      <c r="B7" s="724" t="s">
        <v>585</v>
      </c>
      <c r="C7" s="725" t="s">
        <v>588</v>
      </c>
      <c r="D7" s="605">
        <v>21</v>
      </c>
      <c r="E7" s="753">
        <v>6276</v>
      </c>
      <c r="F7" s="753">
        <v>1.2999999999999901E-2</v>
      </c>
      <c r="G7" s="752">
        <f>F7*E7</f>
        <v>81.587999999999369</v>
      </c>
      <c r="H7" s="752">
        <f>ROUND(G7*0.3,2)</f>
        <v>24.48</v>
      </c>
      <c r="I7" s="727"/>
      <c r="J7" s="713"/>
    </row>
    <row r="8" spans="1:11" x14ac:dyDescent="0.25">
      <c r="A8" s="728"/>
      <c r="B8" s="728"/>
      <c r="C8" s="728"/>
      <c r="D8" s="604">
        <f>SUM(BKUS_akord_aprīlis!$D$6:$D$7)</f>
        <v>24</v>
      </c>
      <c r="E8" s="729"/>
      <c r="F8" s="730"/>
      <c r="G8" s="730"/>
      <c r="H8" s="731">
        <f>SUM(BKUS_akord_aprīlis!$H$6:$H$7)</f>
        <v>27.37</v>
      </c>
      <c r="I8" s="732"/>
      <c r="J8" s="713"/>
    </row>
    <row r="9" spans="1:11" x14ac:dyDescent="0.25">
      <c r="A9" s="713"/>
      <c r="B9" s="713"/>
      <c r="C9" s="713"/>
      <c r="D9" s="711"/>
      <c r="E9" s="714"/>
      <c r="F9" s="713"/>
      <c r="G9" s="713"/>
      <c r="H9" s="713"/>
      <c r="I9" s="713"/>
      <c r="J9" s="713"/>
    </row>
    <row r="10" spans="1:11" x14ac:dyDescent="0.25">
      <c r="A10" s="879" t="s">
        <v>1003</v>
      </c>
      <c r="B10" s="879"/>
      <c r="C10" s="713"/>
      <c r="D10" s="711"/>
      <c r="E10" s="712"/>
      <c r="F10" s="713"/>
      <c r="G10" s="713"/>
      <c r="H10" s="713"/>
      <c r="I10" s="713"/>
      <c r="J10" s="713"/>
    </row>
    <row r="11" spans="1:11" ht="42.75" x14ac:dyDescent="0.25">
      <c r="A11" s="715" t="s">
        <v>259</v>
      </c>
      <c r="B11" s="715" t="s">
        <v>261</v>
      </c>
      <c r="C11" s="715" t="s">
        <v>262</v>
      </c>
      <c r="D11" s="715" t="s">
        <v>1001</v>
      </c>
      <c r="E11" s="715" t="s">
        <v>985</v>
      </c>
      <c r="F11" s="715" t="s">
        <v>986</v>
      </c>
      <c r="G11" s="715" t="s">
        <v>987</v>
      </c>
      <c r="H11" s="715" t="s">
        <v>988</v>
      </c>
      <c r="I11" s="715" t="s">
        <v>989</v>
      </c>
      <c r="J11" s="604" t="s">
        <v>1002</v>
      </c>
      <c r="K11" s="733" t="s">
        <v>978</v>
      </c>
    </row>
    <row r="12" spans="1:11" x14ac:dyDescent="0.25">
      <c r="A12" s="880" t="s">
        <v>990</v>
      </c>
      <c r="B12" s="881" t="s">
        <v>591</v>
      </c>
      <c r="C12" s="754" t="s">
        <v>578</v>
      </c>
      <c r="D12" s="719">
        <v>40</v>
      </c>
      <c r="E12" s="755">
        <v>6</v>
      </c>
      <c r="F12" s="755">
        <v>621.6</v>
      </c>
      <c r="G12" s="756">
        <f>F12*E12</f>
        <v>3729.6000000000004</v>
      </c>
      <c r="H12" s="757">
        <v>4.2000000000000003E-2</v>
      </c>
      <c r="I12" s="756">
        <f>H12*G12</f>
        <v>156.64320000000004</v>
      </c>
      <c r="J12" s="758">
        <f>ROUND(I12*0.3,2)</f>
        <v>46.99</v>
      </c>
      <c r="K12" s="759" t="s">
        <v>1004</v>
      </c>
    </row>
    <row r="13" spans="1:11" x14ac:dyDescent="0.25">
      <c r="A13" s="880"/>
      <c r="B13" s="881"/>
      <c r="C13" s="760" t="s">
        <v>574</v>
      </c>
      <c r="D13" s="605">
        <v>8</v>
      </c>
      <c r="E13" s="761">
        <v>1</v>
      </c>
      <c r="F13" s="761">
        <v>621.6</v>
      </c>
      <c r="G13" s="756">
        <f t="shared" ref="G13:G17" si="0">F13*E13</f>
        <v>621.6</v>
      </c>
      <c r="H13" s="762">
        <v>4.2000000000000003E-2</v>
      </c>
      <c r="I13" s="756">
        <f t="shared" ref="I13:I17" si="1">H13*G13</f>
        <v>26.107200000000002</v>
      </c>
      <c r="J13" s="758">
        <f t="shared" ref="J13:J17" si="2">ROUND(I13*0.3,2)</f>
        <v>7.83</v>
      </c>
      <c r="K13" s="763" t="s">
        <v>1005</v>
      </c>
    </row>
    <row r="14" spans="1:11" x14ac:dyDescent="0.25">
      <c r="A14" s="880"/>
      <c r="B14" s="881"/>
      <c r="C14" s="754" t="s">
        <v>577</v>
      </c>
      <c r="D14" s="719">
        <v>40</v>
      </c>
      <c r="E14" s="755">
        <v>4</v>
      </c>
      <c r="F14" s="755">
        <v>942.8</v>
      </c>
      <c r="G14" s="756">
        <f t="shared" si="0"/>
        <v>3771.2</v>
      </c>
      <c r="H14" s="757">
        <v>4.2000000000000003E-2</v>
      </c>
      <c r="I14" s="756">
        <f t="shared" si="1"/>
        <v>158.3904</v>
      </c>
      <c r="J14" s="758">
        <f t="shared" si="2"/>
        <v>47.52</v>
      </c>
      <c r="K14" s="759" t="s">
        <v>1006</v>
      </c>
    </row>
    <row r="15" spans="1:11" x14ac:dyDescent="0.25">
      <c r="A15" s="880"/>
      <c r="B15" s="881"/>
      <c r="C15" s="760" t="s">
        <v>576</v>
      </c>
      <c r="D15" s="605">
        <v>40</v>
      </c>
      <c r="E15" s="761">
        <v>5</v>
      </c>
      <c r="F15" s="761">
        <v>942.8</v>
      </c>
      <c r="G15" s="756">
        <f t="shared" si="0"/>
        <v>4714</v>
      </c>
      <c r="H15" s="762">
        <v>4.2000000000000003E-2</v>
      </c>
      <c r="I15" s="756">
        <f t="shared" si="1"/>
        <v>197.988</v>
      </c>
      <c r="J15" s="758">
        <f t="shared" si="2"/>
        <v>59.4</v>
      </c>
      <c r="K15" s="763" t="s">
        <v>1007</v>
      </c>
    </row>
    <row r="16" spans="1:11" x14ac:dyDescent="0.25">
      <c r="A16" s="880"/>
      <c r="B16" s="881"/>
      <c r="C16" s="754" t="s">
        <v>572</v>
      </c>
      <c r="D16" s="719">
        <v>40</v>
      </c>
      <c r="E16" s="755">
        <v>4</v>
      </c>
      <c r="F16" s="755">
        <v>942.8</v>
      </c>
      <c r="G16" s="756">
        <f t="shared" si="0"/>
        <v>3771.2</v>
      </c>
      <c r="H16" s="757">
        <v>4.2000000000000003E-2</v>
      </c>
      <c r="I16" s="756">
        <f t="shared" si="1"/>
        <v>158.3904</v>
      </c>
      <c r="J16" s="758">
        <f t="shared" si="2"/>
        <v>47.52</v>
      </c>
      <c r="K16" s="759" t="s">
        <v>1008</v>
      </c>
    </row>
    <row r="17" spans="1:14" x14ac:dyDescent="0.25">
      <c r="A17" s="880"/>
      <c r="B17" s="881"/>
      <c r="C17" s="760" t="s">
        <v>569</v>
      </c>
      <c r="D17" s="605">
        <v>32</v>
      </c>
      <c r="E17" s="761">
        <v>3</v>
      </c>
      <c r="F17" s="761">
        <v>942.8</v>
      </c>
      <c r="G17" s="756">
        <f t="shared" si="0"/>
        <v>2828.3999999999996</v>
      </c>
      <c r="H17" s="762">
        <v>4.2000000000000003E-2</v>
      </c>
      <c r="I17" s="756">
        <f t="shared" si="1"/>
        <v>118.79279999999999</v>
      </c>
      <c r="J17" s="758">
        <f t="shared" si="2"/>
        <v>35.64</v>
      </c>
      <c r="K17" s="763" t="s">
        <v>1009</v>
      </c>
    </row>
    <row r="18" spans="1:14" x14ac:dyDescent="0.25">
      <c r="A18" s="744"/>
      <c r="B18" s="744"/>
      <c r="C18" s="744"/>
      <c r="D18" s="745">
        <f>SUM(BKUS_akord_aprīlis!$D$12:$D$17)</f>
        <v>200</v>
      </c>
      <c r="E18" s="744"/>
      <c r="F18" s="745"/>
      <c r="G18" s="746"/>
      <c r="H18" s="747"/>
      <c r="I18" s="748"/>
      <c r="J18" s="764">
        <f>SUM(BKUS_akord_aprīlis!$J$12:$J$17)</f>
        <v>244.90000000000003</v>
      </c>
      <c r="K18" s="750"/>
    </row>
    <row r="19" spans="1:14" x14ac:dyDescent="0.25">
      <c r="A19" s="713"/>
      <c r="B19" s="713"/>
      <c r="C19" s="713"/>
      <c r="D19" s="711"/>
      <c r="E19" s="714"/>
      <c r="F19" s="713"/>
      <c r="G19" s="713"/>
      <c r="H19" s="713"/>
      <c r="I19" s="713"/>
      <c r="J19" s="713"/>
    </row>
    <row r="20" spans="1:14" x14ac:dyDescent="0.25">
      <c r="A20" s="713"/>
      <c r="B20" s="713"/>
      <c r="C20" s="713"/>
      <c r="D20" s="711"/>
      <c r="E20" s="714"/>
      <c r="F20" s="713"/>
      <c r="G20" s="713"/>
      <c r="H20" s="713"/>
      <c r="I20" s="713"/>
      <c r="J20" s="713"/>
    </row>
    <row r="21" spans="1:14" x14ac:dyDescent="0.25">
      <c r="A21" s="713"/>
      <c r="B21" s="713"/>
      <c r="C21" s="713"/>
      <c r="D21" s="713"/>
      <c r="E21" s="713"/>
      <c r="F21" s="711"/>
      <c r="G21" s="711"/>
      <c r="H21" s="711"/>
      <c r="I21" s="714"/>
      <c r="J21" s="713"/>
      <c r="K21" s="713"/>
      <c r="L21" s="713"/>
      <c r="M21" s="713"/>
      <c r="N21" s="713"/>
    </row>
  </sheetData>
  <mergeCells count="5">
    <mergeCell ref="A3:B3"/>
    <mergeCell ref="A4:B4"/>
    <mergeCell ref="A10:B10"/>
    <mergeCell ref="A12:A17"/>
    <mergeCell ref="B12:B17"/>
  </mergeCells>
  <conditionalFormatting sqref="C12:C17">
    <cfRule type="duplicateValues" dxfId="0" priority="1"/>
  </conditionalFormatting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E8BC-AB3B-4389-8DDF-0F7144896D97}">
  <dimension ref="A2:T466"/>
  <sheetViews>
    <sheetView zoomScale="69" zoomScaleNormal="69" workbookViewId="0">
      <selection activeCell="B25" sqref="B25:B27"/>
    </sheetView>
  </sheetViews>
  <sheetFormatPr defaultRowHeight="15" x14ac:dyDescent="0.25"/>
  <cols>
    <col min="1" max="1" width="44.7109375" style="606" customWidth="1"/>
    <col min="2" max="2" width="9.42578125" style="606" customWidth="1"/>
    <col min="3" max="3" width="12.28515625" style="606" customWidth="1"/>
    <col min="4" max="4" width="9.5703125" style="606" customWidth="1"/>
    <col min="5" max="5" width="9.85546875" style="606" customWidth="1"/>
    <col min="6" max="6" width="11.42578125" style="606" customWidth="1"/>
    <col min="7" max="7" width="11.5703125" style="606" customWidth="1"/>
    <col min="8" max="8" width="9.28515625" style="606" customWidth="1"/>
    <col min="9" max="9" width="12.28515625" style="606" customWidth="1"/>
    <col min="10" max="10" width="9.42578125" style="606" customWidth="1"/>
    <col min="11" max="11" width="9.85546875" style="606" customWidth="1"/>
    <col min="12" max="12" width="11.42578125" style="606" customWidth="1"/>
    <col min="13" max="13" width="11.7109375" style="606" customWidth="1"/>
    <col min="14" max="14" width="9.140625" style="606" customWidth="1"/>
    <col min="15" max="15" width="12" style="606" customWidth="1"/>
    <col min="16" max="16" width="10.28515625" style="606" customWidth="1"/>
    <col min="17" max="17" width="9.7109375" style="606" customWidth="1"/>
    <col min="18" max="18" width="10.28515625" style="606" customWidth="1"/>
    <col min="19" max="19" width="12.28515625" style="606" customWidth="1"/>
    <col min="20" max="16384" width="9.140625" style="606"/>
  </cols>
  <sheetData>
    <row r="2" spans="1:19" ht="29.25" customHeight="1" x14ac:dyDescent="0.25">
      <c r="A2" s="883" t="s">
        <v>15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</row>
    <row r="4" spans="1:19" x14ac:dyDescent="0.25">
      <c r="A4" s="607" t="s">
        <v>734</v>
      </c>
    </row>
    <row r="5" spans="1:19" ht="17.25" thickBot="1" x14ac:dyDescent="0.3">
      <c r="A5" s="409"/>
      <c r="G5" s="606">
        <v>176</v>
      </c>
      <c r="H5" s="606">
        <v>158</v>
      </c>
    </row>
    <row r="6" spans="1:19" x14ac:dyDescent="0.25">
      <c r="A6" s="884"/>
      <c r="B6" s="884" t="s">
        <v>2</v>
      </c>
      <c r="C6" s="886"/>
      <c r="D6" s="886"/>
      <c r="E6" s="886"/>
      <c r="F6" s="886"/>
      <c r="G6" s="887"/>
      <c r="H6" s="888" t="s">
        <v>169</v>
      </c>
      <c r="I6" s="889"/>
      <c r="J6" s="889"/>
      <c r="K6" s="889"/>
      <c r="L6" s="889"/>
      <c r="M6" s="890"/>
      <c r="N6" s="888" t="s">
        <v>5</v>
      </c>
      <c r="O6" s="889"/>
      <c r="P6" s="889"/>
      <c r="Q6" s="889"/>
      <c r="R6" s="889"/>
      <c r="S6" s="890"/>
    </row>
    <row r="7" spans="1:19" ht="81.75" customHeight="1" x14ac:dyDescent="0.25">
      <c r="A7" s="885"/>
      <c r="B7" s="608" t="s">
        <v>28</v>
      </c>
      <c r="C7" s="609" t="s">
        <v>10</v>
      </c>
      <c r="D7" s="609" t="s">
        <v>6</v>
      </c>
      <c r="E7" s="609" t="s">
        <v>7</v>
      </c>
      <c r="F7" s="609" t="s">
        <v>8</v>
      </c>
      <c r="G7" s="610" t="s">
        <v>9</v>
      </c>
      <c r="H7" s="608" t="s">
        <v>28</v>
      </c>
      <c r="I7" s="609" t="s">
        <v>10</v>
      </c>
      <c r="J7" s="609" t="s">
        <v>6</v>
      </c>
      <c r="K7" s="609" t="s">
        <v>7</v>
      </c>
      <c r="L7" s="609" t="s">
        <v>8</v>
      </c>
      <c r="M7" s="610" t="s">
        <v>9</v>
      </c>
      <c r="N7" s="608" t="s">
        <v>28</v>
      </c>
      <c r="O7" s="609" t="s">
        <v>10</v>
      </c>
      <c r="P7" s="609" t="s">
        <v>6</v>
      </c>
      <c r="Q7" s="609" t="s">
        <v>7</v>
      </c>
      <c r="R7" s="609" t="s">
        <v>8</v>
      </c>
      <c r="S7" s="610" t="s">
        <v>9</v>
      </c>
    </row>
    <row r="8" spans="1:19" x14ac:dyDescent="0.25">
      <c r="A8" s="611"/>
      <c r="B8" s="608"/>
      <c r="C8" s="609"/>
      <c r="D8" s="609"/>
      <c r="E8" s="609"/>
      <c r="F8" s="609"/>
      <c r="G8" s="610"/>
      <c r="H8" s="608"/>
      <c r="I8" s="609"/>
      <c r="J8" s="609"/>
      <c r="K8" s="609"/>
      <c r="L8" s="609"/>
      <c r="M8" s="610"/>
      <c r="N8" s="608"/>
      <c r="O8" s="609"/>
      <c r="P8" s="609"/>
      <c r="Q8" s="609"/>
      <c r="R8" s="609"/>
      <c r="S8" s="610"/>
    </row>
    <row r="9" spans="1:19" x14ac:dyDescent="0.25">
      <c r="A9" s="612" t="s">
        <v>0</v>
      </c>
      <c r="B9" s="613">
        <f>SUM(B10,B13,B18,B44,B56,B62,B65,B78,B81,B118,B130,B133,B137,B200,B203,B384,B387,B435,B439,B447)</f>
        <v>119.41032818181817</v>
      </c>
      <c r="C9" s="614"/>
      <c r="D9" s="614"/>
      <c r="E9" s="614">
        <f>SUM(E10,E13,E18,E44,E56,E62,E65,E78,E81,E118,E130,E133,E137,E200,E203,E384,E387,E435,E439,E447)</f>
        <v>36625.480000000003</v>
      </c>
      <c r="F9" s="614">
        <f t="shared" ref="F9" si="0">SUM(F10,F13,F18,F44,F56,F62,F65,F78,F81,F118,F130,F133,F137,F200,F203,F384,F387,F435,F439,F447)</f>
        <v>8823.0781319999987</v>
      </c>
      <c r="G9" s="615">
        <f>SUM(G10,G13,G18,G44,G56,G62,G65,G78,G81,G118,G130,G133,G137,G200,G203,G384,G387,G435,G439,G447)</f>
        <v>45448.520000000004</v>
      </c>
      <c r="H9" s="613">
        <f>SUM(H10,H13,H18,H44,H56,H62,H65,H78,H81,H118,H130,H133,H137,H200,H203,H384,H387,H435,H439,H447)</f>
        <v>264.23101265822788</v>
      </c>
      <c r="I9" s="614"/>
      <c r="J9" s="614"/>
      <c r="K9" s="614">
        <f>SUM(K10,K13,K18,K44,K56,K62,K65,K78,K81,K118,K130,K133,K137,K200,K203,K384,K387,K435,K439,K447)</f>
        <v>47206.5</v>
      </c>
      <c r="L9" s="614">
        <f t="shared" ref="L9:M9" si="1">SUM(L10,L13,L18,L44,L56,L62,L65,L78,L81,L118,L130,L133,L137,L200,L203,L384,L387,L435,L439,L447)</f>
        <v>11372.045849999997</v>
      </c>
      <c r="M9" s="615">
        <f t="shared" si="1"/>
        <v>58578.559999999998</v>
      </c>
      <c r="N9" s="616"/>
      <c r="O9" s="614"/>
      <c r="P9" s="614"/>
      <c r="Q9" s="614"/>
      <c r="R9" s="614"/>
      <c r="S9" s="615"/>
    </row>
    <row r="10" spans="1:19" ht="15.75" thickBot="1" x14ac:dyDescent="0.3">
      <c r="A10" s="617" t="s">
        <v>735</v>
      </c>
      <c r="B10" s="618">
        <f>B11</f>
        <v>0.18181818181818182</v>
      </c>
      <c r="C10" s="619"/>
      <c r="D10" s="619"/>
      <c r="E10" s="619">
        <f>E11</f>
        <v>84</v>
      </c>
      <c r="F10" s="619">
        <f t="shared" ref="F10:G10" si="2">F11</f>
        <v>20.235600000000002</v>
      </c>
      <c r="G10" s="620">
        <f t="shared" si="2"/>
        <v>104.24</v>
      </c>
      <c r="H10" s="618">
        <f>H11</f>
        <v>0</v>
      </c>
      <c r="I10" s="619"/>
      <c r="J10" s="619"/>
      <c r="K10" s="619">
        <f>K11</f>
        <v>0</v>
      </c>
      <c r="L10" s="619">
        <f t="shared" ref="L10:M10" si="3">L11</f>
        <v>0</v>
      </c>
      <c r="M10" s="620">
        <f t="shared" si="3"/>
        <v>0</v>
      </c>
      <c r="N10" s="618"/>
      <c r="O10" s="619"/>
      <c r="P10" s="619"/>
      <c r="Q10" s="619"/>
      <c r="R10" s="619"/>
      <c r="S10" s="620"/>
    </row>
    <row r="11" spans="1:19" ht="38.25" x14ac:dyDescent="0.25">
      <c r="A11" s="621" t="s">
        <v>12</v>
      </c>
      <c r="B11" s="622">
        <f>SUM(B12)</f>
        <v>0.18181818181818182</v>
      </c>
      <c r="C11" s="623"/>
      <c r="D11" s="623"/>
      <c r="E11" s="623">
        <f>SUM(E12)</f>
        <v>84</v>
      </c>
      <c r="F11" s="623">
        <f t="shared" ref="F11:G11" si="4">SUM(F12)</f>
        <v>20.235600000000002</v>
      </c>
      <c r="G11" s="624">
        <f t="shared" si="4"/>
        <v>104.24</v>
      </c>
      <c r="H11" s="625">
        <f>SUM(H12)</f>
        <v>0</v>
      </c>
      <c r="I11" s="626"/>
      <c r="J11" s="626"/>
      <c r="K11" s="626">
        <f>SUM(K12)</f>
        <v>0</v>
      </c>
      <c r="L11" s="626">
        <f t="shared" ref="L11:M11" si="5">SUM(L12)</f>
        <v>0</v>
      </c>
      <c r="M11" s="627">
        <f t="shared" si="5"/>
        <v>0</v>
      </c>
      <c r="N11" s="622"/>
      <c r="O11" s="623"/>
      <c r="P11" s="623"/>
      <c r="Q11" s="623"/>
      <c r="R11" s="623"/>
      <c r="S11" s="628"/>
    </row>
    <row r="12" spans="1:19" ht="15.75" thickBot="1" x14ac:dyDescent="0.3">
      <c r="A12" s="629" t="s">
        <v>16</v>
      </c>
      <c r="B12" s="630">
        <f>32/176</f>
        <v>0.18181818181818182</v>
      </c>
      <c r="C12" s="631">
        <v>1540</v>
      </c>
      <c r="D12" s="631">
        <v>30</v>
      </c>
      <c r="E12" s="632">
        <f>ROUND(B12*C12*0.3,2)</f>
        <v>84</v>
      </c>
      <c r="F12" s="633">
        <f>E12*0.2409</f>
        <v>20.235600000000002</v>
      </c>
      <c r="G12" s="634">
        <f>ROUND(SUM(E12:F12),2)</f>
        <v>104.24</v>
      </c>
      <c r="H12" s="635"/>
      <c r="I12" s="632"/>
      <c r="J12" s="636"/>
      <c r="K12" s="636"/>
      <c r="L12" s="632"/>
      <c r="M12" s="637"/>
      <c r="N12" s="638"/>
      <c r="O12" s="639"/>
      <c r="P12" s="640"/>
      <c r="Q12" s="640"/>
      <c r="R12" s="639"/>
      <c r="S12" s="641"/>
    </row>
    <row r="13" spans="1:19" ht="15.75" thickBot="1" x14ac:dyDescent="0.3">
      <c r="A13" s="642" t="s">
        <v>675</v>
      </c>
      <c r="B13" s="643">
        <f>B14</f>
        <v>0</v>
      </c>
      <c r="C13" s="643"/>
      <c r="D13" s="643"/>
      <c r="E13" s="643">
        <f>E14</f>
        <v>0</v>
      </c>
      <c r="F13" s="643">
        <f t="shared" ref="F13:G13" si="6">F14</f>
        <v>0</v>
      </c>
      <c r="G13" s="644">
        <f t="shared" si="6"/>
        <v>0</v>
      </c>
      <c r="H13" s="645">
        <f>H14</f>
        <v>0.86075949367088611</v>
      </c>
      <c r="I13" s="643"/>
      <c r="J13" s="643"/>
      <c r="K13" s="643">
        <f>K14</f>
        <v>237.52</v>
      </c>
      <c r="L13" s="643">
        <f t="shared" ref="L13:M13" si="7">L14</f>
        <v>57.218568000000005</v>
      </c>
      <c r="M13" s="646">
        <f t="shared" si="7"/>
        <v>294.75</v>
      </c>
      <c r="N13" s="645"/>
      <c r="O13" s="643"/>
      <c r="P13" s="643"/>
      <c r="Q13" s="643"/>
      <c r="R13" s="643"/>
      <c r="S13" s="646"/>
    </row>
    <row r="14" spans="1:19" ht="27.75" customHeight="1" x14ac:dyDescent="0.25">
      <c r="A14" s="647" t="s">
        <v>676</v>
      </c>
      <c r="B14" s="625">
        <f>SUM(B15:B17)</f>
        <v>0</v>
      </c>
      <c r="C14" s="626"/>
      <c r="D14" s="626"/>
      <c r="E14" s="626">
        <f>SUM(E15:E17)</f>
        <v>0</v>
      </c>
      <c r="F14" s="626">
        <f t="shared" ref="F14:G14" si="8">SUM(F15:F17)</f>
        <v>0</v>
      </c>
      <c r="G14" s="627">
        <f t="shared" si="8"/>
        <v>0</v>
      </c>
      <c r="H14" s="625">
        <f>SUM(H15:H17)</f>
        <v>0.86075949367088611</v>
      </c>
      <c r="I14" s="626"/>
      <c r="J14" s="626"/>
      <c r="K14" s="626">
        <f>SUM(K15:K17)</f>
        <v>237.52</v>
      </c>
      <c r="L14" s="626">
        <f t="shared" ref="L14:M14" si="9">SUM(L15:L17)</f>
        <v>57.218568000000005</v>
      </c>
      <c r="M14" s="627">
        <f t="shared" si="9"/>
        <v>294.75</v>
      </c>
      <c r="N14" s="625"/>
      <c r="O14" s="626"/>
      <c r="P14" s="626"/>
      <c r="Q14" s="626"/>
      <c r="R14" s="626"/>
      <c r="S14" s="627"/>
    </row>
    <row r="15" spans="1:19" x14ac:dyDescent="0.25">
      <c r="A15" s="648" t="s">
        <v>677</v>
      </c>
      <c r="B15" s="649"/>
      <c r="C15" s="650"/>
      <c r="D15" s="650"/>
      <c r="E15" s="650"/>
      <c r="F15" s="650"/>
      <c r="G15" s="651"/>
      <c r="H15" s="652">
        <f>40/158</f>
        <v>0.25316455696202533</v>
      </c>
      <c r="I15" s="633">
        <v>10.962</v>
      </c>
      <c r="J15" s="653">
        <v>20</v>
      </c>
      <c r="K15" s="653">
        <f>ROUND(I15*158*H15*0.2,2)</f>
        <v>87.7</v>
      </c>
      <c r="L15" s="633">
        <f>K15*0.2409</f>
        <v>21.126930000000002</v>
      </c>
      <c r="M15" s="634">
        <f>ROUND(SUM(K15:L15),2)</f>
        <v>108.83</v>
      </c>
      <c r="N15" s="654"/>
      <c r="O15" s="633"/>
      <c r="P15" s="653"/>
      <c r="Q15" s="653"/>
      <c r="R15" s="633"/>
      <c r="S15" s="634"/>
    </row>
    <row r="16" spans="1:19" x14ac:dyDescent="0.25">
      <c r="A16" s="648" t="s">
        <v>678</v>
      </c>
      <c r="B16" s="649"/>
      <c r="C16" s="650"/>
      <c r="D16" s="650"/>
      <c r="E16" s="650"/>
      <c r="F16" s="650"/>
      <c r="G16" s="651"/>
      <c r="H16" s="652">
        <f>80/158</f>
        <v>0.50632911392405067</v>
      </c>
      <c r="I16" s="633">
        <v>7.86</v>
      </c>
      <c r="J16" s="653">
        <v>20</v>
      </c>
      <c r="K16" s="653">
        <f>ROUND(I16*158*H16*0.2,2)</f>
        <v>125.76</v>
      </c>
      <c r="L16" s="633">
        <f t="shared" ref="L16:L17" si="10">K16*0.2409</f>
        <v>30.295584000000002</v>
      </c>
      <c r="M16" s="634">
        <f t="shared" ref="M16:M17" si="11">ROUND(SUM(K16:L16),2)</f>
        <v>156.06</v>
      </c>
      <c r="N16" s="654"/>
      <c r="O16" s="633"/>
      <c r="P16" s="653"/>
      <c r="Q16" s="653"/>
      <c r="R16" s="633"/>
      <c r="S16" s="634"/>
    </row>
    <row r="17" spans="1:19" ht="15.75" thickBot="1" x14ac:dyDescent="0.3">
      <c r="A17" s="655" t="s">
        <v>20</v>
      </c>
      <c r="B17" s="656"/>
      <c r="C17" s="631"/>
      <c r="D17" s="631"/>
      <c r="E17" s="631"/>
      <c r="F17" s="631"/>
      <c r="G17" s="657"/>
      <c r="H17" s="658">
        <f>16/158</f>
        <v>0.10126582278481013</v>
      </c>
      <c r="I17" s="632">
        <v>7.52</v>
      </c>
      <c r="J17" s="636">
        <v>20</v>
      </c>
      <c r="K17" s="653">
        <f>ROUND(I17*158*H17*0.2,2)</f>
        <v>24.06</v>
      </c>
      <c r="L17" s="633">
        <f t="shared" si="10"/>
        <v>5.7960539999999998</v>
      </c>
      <c r="M17" s="634">
        <f t="shared" si="11"/>
        <v>29.86</v>
      </c>
      <c r="N17" s="635"/>
      <c r="O17" s="632"/>
      <c r="P17" s="636"/>
      <c r="Q17" s="636"/>
      <c r="R17" s="632"/>
      <c r="S17" s="637"/>
    </row>
    <row r="18" spans="1:19" ht="15.75" thickBot="1" x14ac:dyDescent="0.3">
      <c r="A18" s="642" t="s">
        <v>679</v>
      </c>
      <c r="B18" s="659">
        <f>B19+B32+B37</f>
        <v>0</v>
      </c>
      <c r="C18" s="659"/>
      <c r="D18" s="659"/>
      <c r="E18" s="659">
        <f>E19+E32+E37</f>
        <v>0</v>
      </c>
      <c r="F18" s="659">
        <f t="shared" ref="F18:G18" si="12">F19+F32+F37</f>
        <v>0</v>
      </c>
      <c r="G18" s="660">
        <f t="shared" si="12"/>
        <v>0</v>
      </c>
      <c r="H18" s="661">
        <f>H19+H32+H37</f>
        <v>17.708860759493675</v>
      </c>
      <c r="I18" s="659"/>
      <c r="J18" s="659"/>
      <c r="K18" s="659">
        <f>K19+K32+K37</f>
        <v>2687.53</v>
      </c>
      <c r="L18" s="659">
        <f t="shared" ref="L18:M18" si="13">L19+L32+L37</f>
        <v>647.42597699999999</v>
      </c>
      <c r="M18" s="662">
        <f t="shared" si="13"/>
        <v>3334.9700000000003</v>
      </c>
      <c r="N18" s="661"/>
      <c r="O18" s="659"/>
      <c r="P18" s="659"/>
      <c r="Q18" s="659"/>
      <c r="R18" s="659"/>
      <c r="S18" s="662"/>
    </row>
    <row r="19" spans="1:19" ht="39" customHeight="1" x14ac:dyDescent="0.25">
      <c r="A19" s="663" t="s">
        <v>12</v>
      </c>
      <c r="B19" s="625">
        <f>SUM(B20:B31)</f>
        <v>0</v>
      </c>
      <c r="C19" s="626"/>
      <c r="D19" s="626"/>
      <c r="E19" s="626">
        <f>SUM(E20:E31)</f>
        <v>0</v>
      </c>
      <c r="F19" s="626">
        <f t="shared" ref="F19:G19" si="14">SUM(F20:F31)</f>
        <v>0</v>
      </c>
      <c r="G19" s="627">
        <f t="shared" si="14"/>
        <v>0</v>
      </c>
      <c r="H19" s="625">
        <f>SUM(H20:H31)</f>
        <v>8.8987341772151911</v>
      </c>
      <c r="I19" s="626"/>
      <c r="J19" s="626"/>
      <c r="K19" s="626">
        <f>SUM(K20:K31)</f>
        <v>1689.1600000000003</v>
      </c>
      <c r="L19" s="626">
        <f t="shared" ref="L19:M19" si="15">SUM(L20:L31)</f>
        <v>406.91864400000003</v>
      </c>
      <c r="M19" s="627">
        <f t="shared" si="15"/>
        <v>2096.08</v>
      </c>
      <c r="N19" s="625"/>
      <c r="O19" s="626"/>
      <c r="P19" s="626"/>
      <c r="Q19" s="626"/>
      <c r="R19" s="626"/>
      <c r="S19" s="627"/>
    </row>
    <row r="20" spans="1:19" x14ac:dyDescent="0.25">
      <c r="A20" s="648" t="s">
        <v>680</v>
      </c>
      <c r="B20" s="649"/>
      <c r="C20" s="650"/>
      <c r="D20" s="650"/>
      <c r="E20" s="650"/>
      <c r="F20" s="650"/>
      <c r="G20" s="651"/>
      <c r="H20" s="652">
        <f>72/158</f>
        <v>0.45569620253164556</v>
      </c>
      <c r="I20" s="633">
        <v>5.7750000000000004</v>
      </c>
      <c r="J20" s="653">
        <v>20</v>
      </c>
      <c r="K20" s="653">
        <f>ROUND(I20*158*H20*0.2,2)</f>
        <v>83.16</v>
      </c>
      <c r="L20" s="633">
        <f t="shared" ref="L20:L31" si="16">K20*0.2409</f>
        <v>20.033244</v>
      </c>
      <c r="M20" s="634">
        <f t="shared" ref="M20:M31" si="17">ROUND(SUM(K20:L20),2)</f>
        <v>103.19</v>
      </c>
      <c r="N20" s="654"/>
      <c r="O20" s="633"/>
      <c r="P20" s="653"/>
      <c r="Q20" s="653"/>
      <c r="R20" s="633"/>
      <c r="S20" s="634"/>
    </row>
    <row r="21" spans="1:19" x14ac:dyDescent="0.25">
      <c r="A21" s="648" t="s">
        <v>17</v>
      </c>
      <c r="B21" s="649"/>
      <c r="C21" s="650"/>
      <c r="D21" s="650"/>
      <c r="E21" s="650"/>
      <c r="F21" s="650"/>
      <c r="G21" s="651"/>
      <c r="H21" s="652">
        <f>104/158</f>
        <v>0.65822784810126578</v>
      </c>
      <c r="I21" s="633">
        <v>4.75</v>
      </c>
      <c r="J21" s="653">
        <v>20</v>
      </c>
      <c r="K21" s="653">
        <f t="shared" ref="K21:K30" si="18">ROUND(I21*158*H21*0.2,2)</f>
        <v>98.8</v>
      </c>
      <c r="L21" s="633">
        <f t="shared" si="16"/>
        <v>23.800919999999998</v>
      </c>
      <c r="M21" s="634">
        <f t="shared" si="17"/>
        <v>122.6</v>
      </c>
      <c r="N21" s="654"/>
      <c r="O21" s="633"/>
      <c r="P21" s="653"/>
      <c r="Q21" s="653"/>
      <c r="R21" s="633"/>
      <c r="S21" s="634"/>
    </row>
    <row r="22" spans="1:19" x14ac:dyDescent="0.25">
      <c r="A22" s="648" t="s">
        <v>680</v>
      </c>
      <c r="B22" s="649"/>
      <c r="C22" s="650"/>
      <c r="D22" s="650"/>
      <c r="E22" s="650"/>
      <c r="F22" s="650"/>
      <c r="G22" s="651"/>
      <c r="H22" s="652">
        <f>72/158</f>
        <v>0.45569620253164556</v>
      </c>
      <c r="I22" s="633">
        <v>5.7750000000000004</v>
      </c>
      <c r="J22" s="653">
        <v>20</v>
      </c>
      <c r="K22" s="653">
        <f t="shared" si="18"/>
        <v>83.16</v>
      </c>
      <c r="L22" s="633">
        <f t="shared" si="16"/>
        <v>20.033244</v>
      </c>
      <c r="M22" s="634">
        <f t="shared" si="17"/>
        <v>103.19</v>
      </c>
      <c r="N22" s="654"/>
      <c r="O22" s="633"/>
      <c r="P22" s="653"/>
      <c r="Q22" s="653"/>
      <c r="R22" s="633"/>
      <c r="S22" s="634"/>
    </row>
    <row r="23" spans="1:19" x14ac:dyDescent="0.25">
      <c r="A23" s="648" t="s">
        <v>680</v>
      </c>
      <c r="B23" s="649"/>
      <c r="C23" s="650"/>
      <c r="D23" s="650"/>
      <c r="E23" s="650"/>
      <c r="F23" s="650"/>
      <c r="G23" s="651"/>
      <c r="H23" s="652">
        <f>136/158</f>
        <v>0.86075949367088611</v>
      </c>
      <c r="I23" s="633">
        <v>5.7750000000000004</v>
      </c>
      <c r="J23" s="653">
        <v>20</v>
      </c>
      <c r="K23" s="653">
        <f t="shared" si="18"/>
        <v>157.08000000000001</v>
      </c>
      <c r="L23" s="633">
        <f t="shared" si="16"/>
        <v>37.840572000000002</v>
      </c>
      <c r="M23" s="634">
        <f t="shared" si="17"/>
        <v>194.92</v>
      </c>
      <c r="N23" s="654"/>
      <c r="O23" s="633"/>
      <c r="P23" s="653"/>
      <c r="Q23" s="653"/>
      <c r="R23" s="633"/>
      <c r="S23" s="634"/>
    </row>
    <row r="24" spans="1:19" x14ac:dyDescent="0.25">
      <c r="A24" s="648" t="s">
        <v>681</v>
      </c>
      <c r="B24" s="649"/>
      <c r="C24" s="650"/>
      <c r="D24" s="650"/>
      <c r="E24" s="650"/>
      <c r="F24" s="650"/>
      <c r="G24" s="651"/>
      <c r="H24" s="652">
        <f>128/158</f>
        <v>0.810126582278481</v>
      </c>
      <c r="I24" s="633">
        <v>5.72</v>
      </c>
      <c r="J24" s="653">
        <v>20</v>
      </c>
      <c r="K24" s="653">
        <f t="shared" si="18"/>
        <v>146.43</v>
      </c>
      <c r="L24" s="633">
        <f t="shared" si="16"/>
        <v>35.274987000000003</v>
      </c>
      <c r="M24" s="634">
        <f t="shared" si="17"/>
        <v>181.7</v>
      </c>
      <c r="N24" s="654"/>
      <c r="O24" s="633"/>
      <c r="P24" s="653"/>
      <c r="Q24" s="653"/>
      <c r="R24" s="633"/>
      <c r="S24" s="634"/>
    </row>
    <row r="25" spans="1:19" x14ac:dyDescent="0.25">
      <c r="A25" s="648" t="s">
        <v>680</v>
      </c>
      <c r="B25" s="649"/>
      <c r="C25" s="650"/>
      <c r="D25" s="650"/>
      <c r="E25" s="650"/>
      <c r="F25" s="650"/>
      <c r="G25" s="651"/>
      <c r="H25" s="652">
        <f>144/158</f>
        <v>0.91139240506329111</v>
      </c>
      <c r="I25" s="633">
        <v>5.6639999999999997</v>
      </c>
      <c r="J25" s="653">
        <v>20</v>
      </c>
      <c r="K25" s="653">
        <f t="shared" si="18"/>
        <v>163.12</v>
      </c>
      <c r="L25" s="633">
        <f t="shared" si="16"/>
        <v>39.295608000000001</v>
      </c>
      <c r="M25" s="634">
        <f t="shared" si="17"/>
        <v>202.42</v>
      </c>
      <c r="N25" s="654"/>
      <c r="O25" s="633"/>
      <c r="P25" s="653"/>
      <c r="Q25" s="653"/>
      <c r="R25" s="633"/>
      <c r="S25" s="634"/>
    </row>
    <row r="26" spans="1:19" x14ac:dyDescent="0.25">
      <c r="A26" s="648" t="s">
        <v>680</v>
      </c>
      <c r="B26" s="649"/>
      <c r="C26" s="650"/>
      <c r="D26" s="650"/>
      <c r="E26" s="650"/>
      <c r="F26" s="650"/>
      <c r="G26" s="651"/>
      <c r="H26" s="652">
        <f>144/158</f>
        <v>0.91139240506329111</v>
      </c>
      <c r="I26" s="633">
        <v>5.6639999999999997</v>
      </c>
      <c r="J26" s="653">
        <v>20</v>
      </c>
      <c r="K26" s="653">
        <f t="shared" si="18"/>
        <v>163.12</v>
      </c>
      <c r="L26" s="633">
        <f t="shared" si="16"/>
        <v>39.295608000000001</v>
      </c>
      <c r="M26" s="634">
        <f t="shared" si="17"/>
        <v>202.42</v>
      </c>
      <c r="N26" s="654"/>
      <c r="O26" s="633"/>
      <c r="P26" s="653"/>
      <c r="Q26" s="653"/>
      <c r="R26" s="633"/>
      <c r="S26" s="634"/>
    </row>
    <row r="27" spans="1:19" x14ac:dyDescent="0.25">
      <c r="A27" s="648" t="s">
        <v>682</v>
      </c>
      <c r="B27" s="649"/>
      <c r="C27" s="650"/>
      <c r="D27" s="650"/>
      <c r="E27" s="650"/>
      <c r="F27" s="650"/>
      <c r="G27" s="651"/>
      <c r="H27" s="652">
        <f>48/158</f>
        <v>0.30379746835443039</v>
      </c>
      <c r="I27" s="633">
        <v>5.58</v>
      </c>
      <c r="J27" s="653">
        <v>20</v>
      </c>
      <c r="K27" s="653">
        <f t="shared" si="18"/>
        <v>53.57</v>
      </c>
      <c r="L27" s="633">
        <f t="shared" si="16"/>
        <v>12.905013</v>
      </c>
      <c r="M27" s="634">
        <f t="shared" si="17"/>
        <v>66.48</v>
      </c>
      <c r="N27" s="654"/>
      <c r="O27" s="633"/>
      <c r="P27" s="653"/>
      <c r="Q27" s="653"/>
      <c r="R27" s="633"/>
      <c r="S27" s="634"/>
    </row>
    <row r="28" spans="1:19" x14ac:dyDescent="0.25">
      <c r="A28" s="648" t="s">
        <v>17</v>
      </c>
      <c r="B28" s="649"/>
      <c r="C28" s="650"/>
      <c r="D28" s="650"/>
      <c r="E28" s="650"/>
      <c r="F28" s="650"/>
      <c r="G28" s="651"/>
      <c r="H28" s="652">
        <f>120/158</f>
        <v>0.759493670886076</v>
      </c>
      <c r="I28" s="633">
        <v>4.75</v>
      </c>
      <c r="J28" s="653">
        <v>20</v>
      </c>
      <c r="K28" s="653">
        <f t="shared" si="18"/>
        <v>114</v>
      </c>
      <c r="L28" s="633">
        <f t="shared" si="16"/>
        <v>27.462600000000002</v>
      </c>
      <c r="M28" s="634">
        <f t="shared" si="17"/>
        <v>141.46</v>
      </c>
      <c r="N28" s="654"/>
      <c r="O28" s="633"/>
      <c r="P28" s="653"/>
      <c r="Q28" s="653"/>
      <c r="R28" s="633"/>
      <c r="S28" s="634"/>
    </row>
    <row r="29" spans="1:19" x14ac:dyDescent="0.25">
      <c r="A29" s="648" t="s">
        <v>17</v>
      </c>
      <c r="B29" s="649"/>
      <c r="C29" s="650"/>
      <c r="D29" s="650"/>
      <c r="E29" s="650"/>
      <c r="F29" s="650"/>
      <c r="G29" s="651"/>
      <c r="H29" s="652">
        <f>136/158</f>
        <v>0.86075949367088611</v>
      </c>
      <c r="I29" s="633">
        <v>4.75</v>
      </c>
      <c r="J29" s="653">
        <v>20</v>
      </c>
      <c r="K29" s="653">
        <f t="shared" si="18"/>
        <v>129.19999999999999</v>
      </c>
      <c r="L29" s="633">
        <f t="shared" si="16"/>
        <v>31.124279999999999</v>
      </c>
      <c r="M29" s="634">
        <f t="shared" si="17"/>
        <v>160.32</v>
      </c>
      <c r="N29" s="654"/>
      <c r="O29" s="633"/>
      <c r="P29" s="653"/>
      <c r="Q29" s="653"/>
      <c r="R29" s="633"/>
      <c r="S29" s="634"/>
    </row>
    <row r="30" spans="1:19" x14ac:dyDescent="0.25">
      <c r="A30" s="648" t="s">
        <v>680</v>
      </c>
      <c r="B30" s="649"/>
      <c r="C30" s="650"/>
      <c r="D30" s="650"/>
      <c r="E30" s="650"/>
      <c r="F30" s="650"/>
      <c r="G30" s="651"/>
      <c r="H30" s="652">
        <f>144/158</f>
        <v>0.91139240506329111</v>
      </c>
      <c r="I30" s="633">
        <v>5.6639999999999997</v>
      </c>
      <c r="J30" s="653">
        <v>20</v>
      </c>
      <c r="K30" s="653">
        <f t="shared" si="18"/>
        <v>163.12</v>
      </c>
      <c r="L30" s="633">
        <f t="shared" si="16"/>
        <v>39.295608000000001</v>
      </c>
      <c r="M30" s="634">
        <f t="shared" si="17"/>
        <v>202.42</v>
      </c>
      <c r="N30" s="654"/>
      <c r="O30" s="633"/>
      <c r="P30" s="653"/>
      <c r="Q30" s="653"/>
      <c r="R30" s="633"/>
      <c r="S30" s="634"/>
    </row>
    <row r="31" spans="1:19" ht="15.75" thickBot="1" x14ac:dyDescent="0.3">
      <c r="A31" s="655" t="s">
        <v>16</v>
      </c>
      <c r="B31" s="656"/>
      <c r="C31" s="631"/>
      <c r="D31" s="631"/>
      <c r="E31" s="631"/>
      <c r="F31" s="631"/>
      <c r="G31" s="657"/>
      <c r="H31" s="635">
        <f>158/158</f>
        <v>1</v>
      </c>
      <c r="I31" s="632">
        <v>1672</v>
      </c>
      <c r="J31" s="636">
        <v>20</v>
      </c>
      <c r="K31" s="636">
        <f>ROUND(H31*I31*0.2,2)</f>
        <v>334.4</v>
      </c>
      <c r="L31" s="632">
        <f t="shared" si="16"/>
        <v>80.556959999999989</v>
      </c>
      <c r="M31" s="637">
        <f t="shared" si="17"/>
        <v>414.96</v>
      </c>
      <c r="N31" s="638"/>
      <c r="O31" s="639"/>
      <c r="P31" s="640"/>
      <c r="Q31" s="640"/>
      <c r="R31" s="639"/>
      <c r="S31" s="641"/>
    </row>
    <row r="32" spans="1:19" ht="38.25" x14ac:dyDescent="0.25">
      <c r="A32" s="663" t="s">
        <v>13</v>
      </c>
      <c r="B32" s="625">
        <f>SUM(B33:B36)</f>
        <v>0</v>
      </c>
      <c r="C32" s="626"/>
      <c r="D32" s="626"/>
      <c r="E32" s="626">
        <f>SUM(E33:E36)</f>
        <v>0</v>
      </c>
      <c r="F32" s="626">
        <f>SUM(F33:F36)</f>
        <v>0</v>
      </c>
      <c r="G32" s="627">
        <f>SUM(G33:G36)</f>
        <v>0</v>
      </c>
      <c r="H32" s="625">
        <f>SUM(H33:H36)</f>
        <v>3.6708860759493671</v>
      </c>
      <c r="I32" s="626"/>
      <c r="J32" s="626"/>
      <c r="K32" s="626">
        <f>SUM(K33:K36)</f>
        <v>435.81</v>
      </c>
      <c r="L32" s="626">
        <f>SUM(L33:L36)</f>
        <v>104.98662899999999</v>
      </c>
      <c r="M32" s="627">
        <f>SUM(M33:M36)</f>
        <v>540.80000000000007</v>
      </c>
      <c r="N32" s="664"/>
      <c r="O32" s="626"/>
      <c r="P32" s="626"/>
      <c r="Q32" s="626"/>
      <c r="R32" s="626"/>
      <c r="S32" s="627"/>
    </row>
    <row r="33" spans="1:19" x14ac:dyDescent="0.25">
      <c r="A33" s="648" t="s">
        <v>156</v>
      </c>
      <c r="B33" s="649"/>
      <c r="C33" s="650"/>
      <c r="D33" s="650"/>
      <c r="E33" s="650"/>
      <c r="F33" s="650"/>
      <c r="G33" s="651"/>
      <c r="H33" s="652">
        <f>72/158</f>
        <v>0.45569620253164556</v>
      </c>
      <c r="I33" s="633">
        <v>3.806</v>
      </c>
      <c r="J33" s="653">
        <v>20</v>
      </c>
      <c r="K33" s="653">
        <f>ROUND(I33*158*H33*0.2,2)</f>
        <v>54.81</v>
      </c>
      <c r="L33" s="633">
        <f t="shared" ref="L33:L43" si="19">K33*0.2409</f>
        <v>13.203729000000001</v>
      </c>
      <c r="M33" s="634">
        <f t="shared" ref="M33:M36" si="20">ROUND(SUM(K33:L33),2)</f>
        <v>68.010000000000005</v>
      </c>
      <c r="N33" s="665"/>
      <c r="O33" s="633"/>
      <c r="P33" s="653"/>
      <c r="Q33" s="653"/>
      <c r="R33" s="633"/>
      <c r="S33" s="634"/>
    </row>
    <row r="34" spans="1:19" x14ac:dyDescent="0.25">
      <c r="A34" s="648" t="s">
        <v>156</v>
      </c>
      <c r="B34" s="649"/>
      <c r="C34" s="650"/>
      <c r="D34" s="650"/>
      <c r="E34" s="650"/>
      <c r="F34" s="650"/>
      <c r="G34" s="651"/>
      <c r="H34" s="652">
        <f>192/158</f>
        <v>1.2151898734177216</v>
      </c>
      <c r="I34" s="633">
        <v>3.75</v>
      </c>
      <c r="J34" s="653">
        <v>20</v>
      </c>
      <c r="K34" s="653">
        <f>ROUND(I34*158*H34*0.2,2)</f>
        <v>144</v>
      </c>
      <c r="L34" s="633">
        <f t="shared" si="19"/>
        <v>34.689599999999999</v>
      </c>
      <c r="M34" s="634">
        <f t="shared" si="20"/>
        <v>178.69</v>
      </c>
      <c r="N34" s="665"/>
      <c r="O34" s="633"/>
      <c r="P34" s="653"/>
      <c r="Q34" s="653"/>
      <c r="R34" s="633"/>
      <c r="S34" s="634"/>
    </row>
    <row r="35" spans="1:19" x14ac:dyDescent="0.25">
      <c r="A35" s="648" t="s">
        <v>156</v>
      </c>
      <c r="B35" s="649"/>
      <c r="C35" s="650"/>
      <c r="D35" s="650"/>
      <c r="E35" s="650"/>
      <c r="F35" s="650"/>
      <c r="G35" s="651"/>
      <c r="H35" s="652">
        <f>144/158</f>
        <v>0.91139240506329111</v>
      </c>
      <c r="I35" s="633">
        <v>3.75</v>
      </c>
      <c r="J35" s="653">
        <v>20</v>
      </c>
      <c r="K35" s="653">
        <f>ROUND(I35*158*H35*0.2,2)</f>
        <v>108</v>
      </c>
      <c r="L35" s="633">
        <f t="shared" si="19"/>
        <v>26.017199999999999</v>
      </c>
      <c r="M35" s="634">
        <f t="shared" si="20"/>
        <v>134.02000000000001</v>
      </c>
      <c r="N35" s="665"/>
      <c r="O35" s="633"/>
      <c r="P35" s="653"/>
      <c r="Q35" s="653"/>
      <c r="R35" s="633"/>
      <c r="S35" s="634"/>
    </row>
    <row r="36" spans="1:19" ht="15.75" thickBot="1" x14ac:dyDescent="0.3">
      <c r="A36" s="666" t="s">
        <v>156</v>
      </c>
      <c r="B36" s="656"/>
      <c r="C36" s="631"/>
      <c r="D36" s="631"/>
      <c r="E36" s="631"/>
      <c r="F36" s="631"/>
      <c r="G36" s="657"/>
      <c r="H36" s="658">
        <f>172/158</f>
        <v>1.0886075949367089</v>
      </c>
      <c r="I36" s="632">
        <v>3.75</v>
      </c>
      <c r="J36" s="636">
        <v>20</v>
      </c>
      <c r="K36" s="636">
        <f>ROUND(I36*158*H36*0.2,2)</f>
        <v>129</v>
      </c>
      <c r="L36" s="632">
        <f t="shared" si="19"/>
        <v>31.0761</v>
      </c>
      <c r="M36" s="637">
        <f t="shared" si="20"/>
        <v>160.08000000000001</v>
      </c>
      <c r="N36" s="667"/>
      <c r="O36" s="632"/>
      <c r="P36" s="636"/>
      <c r="Q36" s="636"/>
      <c r="R36" s="632"/>
      <c r="S36" s="637"/>
    </row>
    <row r="37" spans="1:19" ht="25.5" x14ac:dyDescent="0.25">
      <c r="A37" s="663" t="s">
        <v>11</v>
      </c>
      <c r="B37" s="625">
        <f>SUM(B38:B43)</f>
        <v>0</v>
      </c>
      <c r="C37" s="626"/>
      <c r="D37" s="626"/>
      <c r="E37" s="626">
        <f>SUM(E38:E43)</f>
        <v>0</v>
      </c>
      <c r="F37" s="626">
        <f t="shared" ref="F37" si="21">SUM(F38:F43)</f>
        <v>0</v>
      </c>
      <c r="G37" s="627">
        <f>SUM(G38:G43)</f>
        <v>0</v>
      </c>
      <c r="H37" s="625">
        <f>SUM(H38:H43)</f>
        <v>5.1392405063291147</v>
      </c>
      <c r="I37" s="626"/>
      <c r="J37" s="626"/>
      <c r="K37" s="626">
        <f>SUM(K38:K43)</f>
        <v>562.55999999999995</v>
      </c>
      <c r="L37" s="626">
        <f t="shared" ref="L37" si="22">SUM(L38:L43)</f>
        <v>135.52070399999999</v>
      </c>
      <c r="M37" s="627">
        <f>SUM(M38:M43)</f>
        <v>698.08999999999992</v>
      </c>
      <c r="N37" s="625"/>
      <c r="O37" s="626"/>
      <c r="P37" s="626"/>
      <c r="Q37" s="626"/>
      <c r="R37" s="626"/>
      <c r="S37" s="627"/>
    </row>
    <row r="38" spans="1:19" x14ac:dyDescent="0.25">
      <c r="A38" s="648" t="s">
        <v>19</v>
      </c>
      <c r="B38" s="649"/>
      <c r="C38" s="650"/>
      <c r="D38" s="650"/>
      <c r="E38" s="650"/>
      <c r="F38" s="650"/>
      <c r="G38" s="651"/>
      <c r="H38" s="652">
        <f>180/158</f>
        <v>1.139240506329114</v>
      </c>
      <c r="I38" s="633">
        <v>3.36</v>
      </c>
      <c r="J38" s="653">
        <v>20</v>
      </c>
      <c r="K38" s="653">
        <f>ROUND(I38*158*H38*0.2,2)</f>
        <v>120.96</v>
      </c>
      <c r="L38" s="633">
        <f t="shared" si="19"/>
        <v>29.139263999999997</v>
      </c>
      <c r="M38" s="634">
        <f t="shared" ref="M38:M43" si="23">ROUND(SUM(K38:L38),2)</f>
        <v>150.1</v>
      </c>
      <c r="N38" s="654"/>
      <c r="O38" s="633"/>
      <c r="P38" s="653"/>
      <c r="Q38" s="653"/>
      <c r="R38" s="633"/>
      <c r="S38" s="634"/>
    </row>
    <row r="39" spans="1:19" x14ac:dyDescent="0.25">
      <c r="A39" s="648" t="s">
        <v>19</v>
      </c>
      <c r="B39" s="649"/>
      <c r="C39" s="650"/>
      <c r="D39" s="650"/>
      <c r="E39" s="650"/>
      <c r="F39" s="650"/>
      <c r="G39" s="651"/>
      <c r="H39" s="652">
        <f>168/158</f>
        <v>1.0632911392405062</v>
      </c>
      <c r="I39" s="633">
        <v>3.36</v>
      </c>
      <c r="J39" s="653">
        <v>20</v>
      </c>
      <c r="K39" s="653">
        <f t="shared" ref="K39:K43" si="24">ROUND(I39*158*H39*0.2,2)</f>
        <v>112.9</v>
      </c>
      <c r="L39" s="633">
        <f t="shared" si="19"/>
        <v>27.197610000000001</v>
      </c>
      <c r="M39" s="634">
        <f t="shared" si="23"/>
        <v>140.1</v>
      </c>
      <c r="N39" s="654"/>
      <c r="O39" s="633"/>
      <c r="P39" s="653"/>
      <c r="Q39" s="653"/>
      <c r="R39" s="633"/>
      <c r="S39" s="634"/>
    </row>
    <row r="40" spans="1:19" x14ac:dyDescent="0.25">
      <c r="A40" s="648" t="s">
        <v>19</v>
      </c>
      <c r="B40" s="649"/>
      <c r="C40" s="650"/>
      <c r="D40" s="650"/>
      <c r="E40" s="650"/>
      <c r="F40" s="650"/>
      <c r="G40" s="651"/>
      <c r="H40" s="652">
        <f>112/158</f>
        <v>0.70886075949367089</v>
      </c>
      <c r="I40" s="633">
        <v>3.36</v>
      </c>
      <c r="J40" s="653">
        <v>20</v>
      </c>
      <c r="K40" s="653">
        <f t="shared" si="24"/>
        <v>75.260000000000005</v>
      </c>
      <c r="L40" s="633">
        <f t="shared" si="19"/>
        <v>18.130134000000002</v>
      </c>
      <c r="M40" s="634">
        <f t="shared" si="23"/>
        <v>93.39</v>
      </c>
      <c r="N40" s="654"/>
      <c r="O40" s="633"/>
      <c r="P40" s="653"/>
      <c r="Q40" s="653"/>
      <c r="R40" s="633"/>
      <c r="S40" s="634"/>
    </row>
    <row r="41" spans="1:19" x14ac:dyDescent="0.25">
      <c r="A41" s="648" t="s">
        <v>18</v>
      </c>
      <c r="B41" s="649"/>
      <c r="C41" s="650"/>
      <c r="D41" s="650"/>
      <c r="E41" s="650"/>
      <c r="F41" s="650"/>
      <c r="G41" s="651"/>
      <c r="H41" s="652">
        <f>96/158</f>
        <v>0.60759493670886078</v>
      </c>
      <c r="I41" s="633">
        <v>3.8</v>
      </c>
      <c r="J41" s="653">
        <v>20</v>
      </c>
      <c r="K41" s="653">
        <f t="shared" si="24"/>
        <v>72.959999999999994</v>
      </c>
      <c r="L41" s="633">
        <f t="shared" si="19"/>
        <v>17.576063999999999</v>
      </c>
      <c r="M41" s="634">
        <f t="shared" si="23"/>
        <v>90.54</v>
      </c>
      <c r="N41" s="654"/>
      <c r="O41" s="633"/>
      <c r="P41" s="653"/>
      <c r="Q41" s="653"/>
      <c r="R41" s="633"/>
      <c r="S41" s="634"/>
    </row>
    <row r="42" spans="1:19" x14ac:dyDescent="0.25">
      <c r="A42" s="648" t="s">
        <v>18</v>
      </c>
      <c r="B42" s="649"/>
      <c r="C42" s="650"/>
      <c r="D42" s="650"/>
      <c r="E42" s="650"/>
      <c r="F42" s="650"/>
      <c r="G42" s="651"/>
      <c r="H42" s="652">
        <f>96/158</f>
        <v>0.60759493670886078</v>
      </c>
      <c r="I42" s="633">
        <v>3.8</v>
      </c>
      <c r="J42" s="653">
        <v>20</v>
      </c>
      <c r="K42" s="653">
        <f t="shared" si="24"/>
        <v>72.959999999999994</v>
      </c>
      <c r="L42" s="633">
        <f t="shared" si="19"/>
        <v>17.576063999999999</v>
      </c>
      <c r="M42" s="634">
        <f t="shared" si="23"/>
        <v>90.54</v>
      </c>
      <c r="N42" s="654"/>
      <c r="O42" s="633"/>
      <c r="P42" s="653"/>
      <c r="Q42" s="653"/>
      <c r="R42" s="633"/>
      <c r="S42" s="634"/>
    </row>
    <row r="43" spans="1:19" ht="15.75" thickBot="1" x14ac:dyDescent="0.3">
      <c r="A43" s="666" t="s">
        <v>19</v>
      </c>
      <c r="B43" s="656"/>
      <c r="C43" s="631"/>
      <c r="D43" s="631"/>
      <c r="E43" s="631"/>
      <c r="F43" s="631"/>
      <c r="G43" s="657"/>
      <c r="H43" s="658">
        <f>160/158</f>
        <v>1.0126582278481013</v>
      </c>
      <c r="I43" s="632">
        <v>3.36</v>
      </c>
      <c r="J43" s="636">
        <v>20</v>
      </c>
      <c r="K43" s="636">
        <f t="shared" si="24"/>
        <v>107.52</v>
      </c>
      <c r="L43" s="632">
        <f t="shared" si="19"/>
        <v>25.901568000000001</v>
      </c>
      <c r="M43" s="637">
        <f t="shared" si="23"/>
        <v>133.41999999999999</v>
      </c>
      <c r="N43" s="635"/>
      <c r="O43" s="632"/>
      <c r="P43" s="636"/>
      <c r="Q43" s="636"/>
      <c r="R43" s="632"/>
      <c r="S43" s="637"/>
    </row>
    <row r="44" spans="1:19" ht="15.75" thickBot="1" x14ac:dyDescent="0.3">
      <c r="A44" s="668" t="s">
        <v>683</v>
      </c>
      <c r="B44" s="669">
        <f>B45+B47+B51+B54</f>
        <v>0.84090909090909083</v>
      </c>
      <c r="C44" s="670"/>
      <c r="D44" s="670"/>
      <c r="E44" s="670">
        <f>E45+E47+E51+E54</f>
        <v>338.04</v>
      </c>
      <c r="F44" s="670">
        <f>F45+F47+F51+F54</f>
        <v>81.433835999999999</v>
      </c>
      <c r="G44" s="671">
        <f t="shared" ref="G44" si="25">G45+G47+G51+G54</f>
        <v>419.47</v>
      </c>
      <c r="H44" s="669">
        <f>H45+H47+H51+H54</f>
        <v>0.39240506329113922</v>
      </c>
      <c r="I44" s="670"/>
      <c r="J44" s="670"/>
      <c r="K44" s="670">
        <f>K45+K47+K51+K54</f>
        <v>63.349999999999994</v>
      </c>
      <c r="L44" s="670">
        <f>L45+L47+L51+L54</f>
        <v>15.261015</v>
      </c>
      <c r="M44" s="671">
        <f t="shared" ref="M44" si="26">M45+M47+M51+M54</f>
        <v>78.62</v>
      </c>
      <c r="N44" s="672"/>
      <c r="O44" s="673"/>
      <c r="P44" s="673"/>
      <c r="Q44" s="673"/>
      <c r="R44" s="673"/>
      <c r="S44" s="674"/>
    </row>
    <row r="45" spans="1:19" ht="25.5" x14ac:dyDescent="0.25">
      <c r="A45" s="663" t="s">
        <v>676</v>
      </c>
      <c r="B45" s="625">
        <f>B46</f>
        <v>6.8181818181818177E-2</v>
      </c>
      <c r="C45" s="626"/>
      <c r="D45" s="626"/>
      <c r="E45" s="626">
        <f>E46</f>
        <v>48.81</v>
      </c>
      <c r="F45" s="626">
        <f>F46</f>
        <v>11.758329</v>
      </c>
      <c r="G45" s="626">
        <f>G46</f>
        <v>60.57</v>
      </c>
      <c r="H45" s="625">
        <f>H46</f>
        <v>3.7974683544303799E-2</v>
      </c>
      <c r="I45" s="626"/>
      <c r="J45" s="626"/>
      <c r="K45" s="626">
        <f>K46</f>
        <v>9.76</v>
      </c>
      <c r="L45" s="626">
        <f>L46</f>
        <v>2.3511839999999999</v>
      </c>
      <c r="M45" s="626">
        <f>M46</f>
        <v>12.11</v>
      </c>
      <c r="N45" s="625"/>
      <c r="O45" s="626"/>
      <c r="P45" s="626"/>
      <c r="Q45" s="626"/>
      <c r="R45" s="626"/>
      <c r="S45" s="627"/>
    </row>
    <row r="46" spans="1:19" ht="15.75" thickBot="1" x14ac:dyDescent="0.3">
      <c r="A46" s="666" t="s">
        <v>684</v>
      </c>
      <c r="B46" s="630">
        <f>12/176</f>
        <v>6.8181818181818177E-2</v>
      </c>
      <c r="C46" s="631">
        <v>8.1349999999999998</v>
      </c>
      <c r="D46" s="631">
        <v>50</v>
      </c>
      <c r="E46" s="636">
        <f>ROUND(C46*176*B46*0.5,2)</f>
        <v>48.81</v>
      </c>
      <c r="F46" s="632">
        <f t="shared" ref="F46" si="27">E46*0.2409</f>
        <v>11.758329</v>
      </c>
      <c r="G46" s="637">
        <f t="shared" ref="G46" si="28">ROUND(SUM(E46:F46),2)</f>
        <v>60.57</v>
      </c>
      <c r="H46" s="658">
        <f>6/158</f>
        <v>3.7974683544303799E-2</v>
      </c>
      <c r="I46" s="632">
        <v>8.1349999999999998</v>
      </c>
      <c r="J46" s="636">
        <v>20</v>
      </c>
      <c r="K46" s="636">
        <f>ROUND(I46*158*H46*0.2,2)</f>
        <v>9.76</v>
      </c>
      <c r="L46" s="632">
        <f t="shared" ref="L46" si="29">K46*0.2409</f>
        <v>2.3511839999999999</v>
      </c>
      <c r="M46" s="637">
        <f t="shared" ref="M46" si="30">ROUND(SUM(K46:L46),2)</f>
        <v>12.11</v>
      </c>
      <c r="N46" s="635"/>
      <c r="O46" s="632"/>
      <c r="P46" s="636"/>
      <c r="Q46" s="636"/>
      <c r="R46" s="632"/>
      <c r="S46" s="637"/>
    </row>
    <row r="47" spans="1:19" ht="38.25" x14ac:dyDescent="0.25">
      <c r="A47" s="663" t="s">
        <v>12</v>
      </c>
      <c r="B47" s="625">
        <f>SUM(B48:B50)</f>
        <v>0.22727272727272727</v>
      </c>
      <c r="C47" s="626"/>
      <c r="D47" s="626"/>
      <c r="E47" s="626">
        <f>SUM(E48:E50)</f>
        <v>108.63</v>
      </c>
      <c r="F47" s="626">
        <f t="shared" ref="F47:G47" si="31">SUM(F48:F50)</f>
        <v>26.168966999999999</v>
      </c>
      <c r="G47" s="626">
        <f t="shared" si="31"/>
        <v>134.79</v>
      </c>
      <c r="H47" s="625">
        <f>SUM(H48:H50)</f>
        <v>0.20253164556962025</v>
      </c>
      <c r="I47" s="626"/>
      <c r="J47" s="626"/>
      <c r="K47" s="626">
        <f>SUM(K48:K50)</f>
        <v>35.589999999999996</v>
      </c>
      <c r="L47" s="626">
        <f t="shared" ref="L47:M47" si="32">SUM(L48:L50)</f>
        <v>8.5736310000000007</v>
      </c>
      <c r="M47" s="626">
        <f t="shared" si="32"/>
        <v>44.17</v>
      </c>
      <c r="N47" s="625"/>
      <c r="O47" s="626"/>
      <c r="P47" s="626"/>
      <c r="Q47" s="626"/>
      <c r="R47" s="626"/>
      <c r="S47" s="627"/>
    </row>
    <row r="48" spans="1:19" x14ac:dyDescent="0.25">
      <c r="A48" s="648" t="s">
        <v>685</v>
      </c>
      <c r="B48" s="649"/>
      <c r="C48" s="650"/>
      <c r="D48" s="650"/>
      <c r="E48" s="650"/>
      <c r="F48" s="650"/>
      <c r="G48" s="651"/>
      <c r="H48" s="652">
        <f>24/158</f>
        <v>0.15189873417721519</v>
      </c>
      <c r="I48" s="633">
        <v>5.7750000000000004</v>
      </c>
      <c r="J48" s="653">
        <v>20</v>
      </c>
      <c r="K48" s="653">
        <f t="shared" ref="K48:K49" si="33">ROUND(I48*158*H48*0.2,2)</f>
        <v>27.72</v>
      </c>
      <c r="L48" s="633">
        <f t="shared" ref="L48:L49" si="34">K48*0.2409</f>
        <v>6.6777480000000002</v>
      </c>
      <c r="M48" s="634">
        <f t="shared" ref="M48:M49" si="35">ROUND(SUM(K48:L48),2)</f>
        <v>34.4</v>
      </c>
      <c r="N48" s="654"/>
      <c r="O48" s="633"/>
      <c r="P48" s="653"/>
      <c r="Q48" s="653"/>
      <c r="R48" s="633"/>
      <c r="S48" s="634"/>
    </row>
    <row r="49" spans="1:19" x14ac:dyDescent="0.25">
      <c r="A49" s="648" t="s">
        <v>17</v>
      </c>
      <c r="B49" s="675">
        <f>24/176</f>
        <v>0.13636363636363635</v>
      </c>
      <c r="C49" s="650">
        <v>5.7750000000000004</v>
      </c>
      <c r="D49" s="650">
        <v>50</v>
      </c>
      <c r="E49" s="653">
        <f>ROUND(C49*176*B49*0.5,2)</f>
        <v>69.3</v>
      </c>
      <c r="F49" s="633">
        <f t="shared" ref="F49:F50" si="36">E49*0.2409</f>
        <v>16.694369999999999</v>
      </c>
      <c r="G49" s="634">
        <f t="shared" ref="G49:G50" si="37">ROUND(SUM(E49:F49),2)</f>
        <v>85.99</v>
      </c>
      <c r="H49" s="652">
        <f>8/158</f>
        <v>5.0632911392405063E-2</v>
      </c>
      <c r="I49" s="633">
        <v>4.9160000000000004</v>
      </c>
      <c r="J49" s="653">
        <v>20</v>
      </c>
      <c r="K49" s="653">
        <f t="shared" si="33"/>
        <v>7.87</v>
      </c>
      <c r="L49" s="633">
        <f t="shared" si="34"/>
        <v>1.895883</v>
      </c>
      <c r="M49" s="634">
        <f t="shared" si="35"/>
        <v>9.77</v>
      </c>
      <c r="N49" s="654"/>
      <c r="O49" s="633"/>
      <c r="P49" s="653"/>
      <c r="Q49" s="653"/>
      <c r="R49" s="633"/>
      <c r="S49" s="634"/>
    </row>
    <row r="50" spans="1:19" ht="15.75" thickBot="1" x14ac:dyDescent="0.3">
      <c r="A50" s="666" t="s">
        <v>17</v>
      </c>
      <c r="B50" s="676">
        <f>16/176</f>
        <v>9.0909090909090912E-2</v>
      </c>
      <c r="C50" s="677">
        <v>4.9160000000000004</v>
      </c>
      <c r="D50" s="677">
        <v>50</v>
      </c>
      <c r="E50" s="678">
        <f>ROUND(C50*176*B50*0.5,2)</f>
        <v>39.33</v>
      </c>
      <c r="F50" s="632">
        <f t="shared" si="36"/>
        <v>9.4745969999999993</v>
      </c>
      <c r="G50" s="637">
        <f t="shared" si="37"/>
        <v>48.8</v>
      </c>
      <c r="H50" s="679"/>
      <c r="I50" s="680"/>
      <c r="J50" s="678"/>
      <c r="K50" s="678"/>
      <c r="L50" s="680"/>
      <c r="M50" s="681"/>
      <c r="N50" s="679"/>
      <c r="O50" s="680"/>
      <c r="P50" s="678"/>
      <c r="Q50" s="678"/>
      <c r="R50" s="680"/>
      <c r="S50" s="681"/>
    </row>
    <row r="51" spans="1:19" ht="38.25" x14ac:dyDescent="0.25">
      <c r="A51" s="663" t="s">
        <v>13</v>
      </c>
      <c r="B51" s="625">
        <f>B52+B53</f>
        <v>0.40909090909090906</v>
      </c>
      <c r="C51" s="626"/>
      <c r="D51" s="626"/>
      <c r="E51" s="626">
        <f>E52+E53</f>
        <v>135</v>
      </c>
      <c r="F51" s="626">
        <f t="shared" ref="F51:G51" si="38">F52+F53</f>
        <v>32.521500000000003</v>
      </c>
      <c r="G51" s="626">
        <f t="shared" si="38"/>
        <v>167.52</v>
      </c>
      <c r="H51" s="625">
        <f>H52</f>
        <v>0.15189873417721519</v>
      </c>
      <c r="I51" s="626"/>
      <c r="J51" s="626"/>
      <c r="K51" s="626">
        <f>K52</f>
        <v>18</v>
      </c>
      <c r="L51" s="626">
        <f t="shared" ref="L51:M51" si="39">L52</f>
        <v>4.3361999999999998</v>
      </c>
      <c r="M51" s="626">
        <f t="shared" si="39"/>
        <v>22.34</v>
      </c>
      <c r="N51" s="625"/>
      <c r="O51" s="626"/>
      <c r="P51" s="626"/>
      <c r="Q51" s="626"/>
      <c r="R51" s="626"/>
      <c r="S51" s="627"/>
    </row>
    <row r="52" spans="1:19" x14ac:dyDescent="0.25">
      <c r="A52" s="648" t="s">
        <v>156</v>
      </c>
      <c r="B52" s="675">
        <f>24/176</f>
        <v>0.13636363636363635</v>
      </c>
      <c r="C52" s="650">
        <v>3.75</v>
      </c>
      <c r="D52" s="650">
        <v>50</v>
      </c>
      <c r="E52" s="653">
        <f>ROUND(C52*176*B52*0.5,2)</f>
        <v>45</v>
      </c>
      <c r="F52" s="633">
        <f t="shared" ref="F52:F53" si="40">E52*0.2409</f>
        <v>10.8405</v>
      </c>
      <c r="G52" s="634">
        <f t="shared" ref="G52:G53" si="41">ROUND(SUM(E52:F52),2)</f>
        <v>55.84</v>
      </c>
      <c r="H52" s="652">
        <f>24/158</f>
        <v>0.15189873417721519</v>
      </c>
      <c r="I52" s="633">
        <v>3.75</v>
      </c>
      <c r="J52" s="653">
        <v>20</v>
      </c>
      <c r="K52" s="653">
        <f t="shared" ref="K52" si="42">ROUND(I52*158*H52*0.2,2)</f>
        <v>18</v>
      </c>
      <c r="L52" s="633">
        <f t="shared" ref="L52" si="43">K52*0.2409</f>
        <v>4.3361999999999998</v>
      </c>
      <c r="M52" s="634">
        <f t="shared" ref="M52" si="44">ROUND(SUM(K52:L52),2)</f>
        <v>22.34</v>
      </c>
      <c r="N52" s="654"/>
      <c r="O52" s="633"/>
      <c r="P52" s="653"/>
      <c r="Q52" s="653"/>
      <c r="R52" s="633"/>
      <c r="S52" s="634"/>
    </row>
    <row r="53" spans="1:19" ht="15.75" thickBot="1" x14ac:dyDescent="0.3">
      <c r="A53" s="666" t="s">
        <v>156</v>
      </c>
      <c r="B53" s="630">
        <f>48/176</f>
        <v>0.27272727272727271</v>
      </c>
      <c r="C53" s="631">
        <v>3.75</v>
      </c>
      <c r="D53" s="631">
        <v>50</v>
      </c>
      <c r="E53" s="678">
        <f>ROUND(C53*176*B53*0.5,2)</f>
        <v>90</v>
      </c>
      <c r="F53" s="632">
        <f t="shared" si="40"/>
        <v>21.681000000000001</v>
      </c>
      <c r="G53" s="637">
        <f t="shared" si="41"/>
        <v>111.68</v>
      </c>
      <c r="H53" s="635"/>
      <c r="I53" s="632"/>
      <c r="J53" s="636"/>
      <c r="K53" s="636"/>
      <c r="L53" s="632"/>
      <c r="M53" s="637"/>
      <c r="N53" s="635"/>
      <c r="O53" s="632"/>
      <c r="P53" s="636"/>
      <c r="Q53" s="636"/>
      <c r="R53" s="632"/>
      <c r="S53" s="637"/>
    </row>
    <row r="54" spans="1:19" ht="25.5" x14ac:dyDescent="0.25">
      <c r="A54" s="663" t="s">
        <v>11</v>
      </c>
      <c r="B54" s="625">
        <f>B55</f>
        <v>0.13636363636363635</v>
      </c>
      <c r="C54" s="626"/>
      <c r="D54" s="626"/>
      <c r="E54" s="626">
        <f>E55</f>
        <v>45.6</v>
      </c>
      <c r="F54" s="626">
        <f>F55</f>
        <v>10.98504</v>
      </c>
      <c r="G54" s="627">
        <f>G55</f>
        <v>56.59</v>
      </c>
      <c r="H54" s="625">
        <f>H55</f>
        <v>0</v>
      </c>
      <c r="I54" s="626"/>
      <c r="J54" s="626"/>
      <c r="K54" s="626">
        <f>K55</f>
        <v>0</v>
      </c>
      <c r="L54" s="626">
        <f>L55</f>
        <v>0</v>
      </c>
      <c r="M54" s="627">
        <f>M55</f>
        <v>0</v>
      </c>
      <c r="N54" s="625"/>
      <c r="O54" s="626"/>
      <c r="P54" s="626"/>
      <c r="Q54" s="626"/>
      <c r="R54" s="626"/>
      <c r="S54" s="627"/>
    </row>
    <row r="55" spans="1:19" ht="15.75" thickBot="1" x14ac:dyDescent="0.3">
      <c r="A55" s="666" t="s">
        <v>18</v>
      </c>
      <c r="B55" s="630">
        <f>24/176</f>
        <v>0.13636363636363635</v>
      </c>
      <c r="C55" s="631">
        <v>3.8</v>
      </c>
      <c r="D55" s="631">
        <v>50</v>
      </c>
      <c r="E55" s="678">
        <f>ROUND(C55*176*B55*0.5,2)</f>
        <v>45.6</v>
      </c>
      <c r="F55" s="632">
        <f t="shared" ref="F55" si="45">E55*0.2409</f>
        <v>10.98504</v>
      </c>
      <c r="G55" s="637">
        <f t="shared" ref="G55" si="46">ROUND(SUM(E55:F55),2)</f>
        <v>56.59</v>
      </c>
      <c r="H55" s="635"/>
      <c r="I55" s="632"/>
      <c r="J55" s="636"/>
      <c r="K55" s="636"/>
      <c r="L55" s="632"/>
      <c r="M55" s="637"/>
      <c r="N55" s="635"/>
      <c r="O55" s="632"/>
      <c r="P55" s="636"/>
      <c r="Q55" s="636"/>
      <c r="R55" s="632"/>
      <c r="S55" s="637"/>
    </row>
    <row r="56" spans="1:19" ht="15.75" thickBot="1" x14ac:dyDescent="0.3">
      <c r="A56" s="682" t="s">
        <v>686</v>
      </c>
      <c r="B56" s="661">
        <f>B57+B60</f>
        <v>9.0909090909090912E-2</v>
      </c>
      <c r="C56" s="659"/>
      <c r="D56" s="659"/>
      <c r="E56" s="659">
        <f>E57+E60</f>
        <v>47.53</v>
      </c>
      <c r="F56" s="659">
        <f t="shared" ref="F56:G56" si="47">F57+F60</f>
        <v>11.449977000000001</v>
      </c>
      <c r="G56" s="659">
        <f t="shared" si="47"/>
        <v>58.98</v>
      </c>
      <c r="H56" s="661">
        <f>H57+H60</f>
        <v>0.22151898734177217</v>
      </c>
      <c r="I56" s="659"/>
      <c r="J56" s="659"/>
      <c r="K56" s="659">
        <f>K57+K60</f>
        <v>46.13</v>
      </c>
      <c r="L56" s="659">
        <f t="shared" ref="L56:M56" si="48">L57+L60</f>
        <v>11.112717</v>
      </c>
      <c r="M56" s="659">
        <f t="shared" si="48"/>
        <v>57.25</v>
      </c>
      <c r="N56" s="661"/>
      <c r="O56" s="659"/>
      <c r="P56" s="659"/>
      <c r="Q56" s="659"/>
      <c r="R56" s="659"/>
      <c r="S56" s="662"/>
    </row>
    <row r="57" spans="1:19" ht="25.5" x14ac:dyDescent="0.25">
      <c r="A57" s="663" t="s">
        <v>676</v>
      </c>
      <c r="B57" s="625">
        <f>SUM(B58:B59)</f>
        <v>0</v>
      </c>
      <c r="C57" s="626"/>
      <c r="D57" s="626"/>
      <c r="E57" s="626">
        <f>SUM(E58:E59)</f>
        <v>0</v>
      </c>
      <c r="F57" s="626">
        <f t="shared" ref="F57:G57" si="49">SUM(F58:F59)</f>
        <v>0</v>
      </c>
      <c r="G57" s="626">
        <f t="shared" si="49"/>
        <v>0</v>
      </c>
      <c r="H57" s="625">
        <f>SUM(H58:H59)</f>
        <v>5.5379746835443042E-2</v>
      </c>
      <c r="I57" s="626"/>
      <c r="J57" s="626"/>
      <c r="K57" s="626">
        <f>SUM(K58:K59)</f>
        <v>15.99</v>
      </c>
      <c r="L57" s="626">
        <f t="shared" ref="L57:M57" si="50">SUM(L58:L59)</f>
        <v>3.8519909999999999</v>
      </c>
      <c r="M57" s="626">
        <f t="shared" si="50"/>
        <v>19.850000000000001</v>
      </c>
      <c r="N57" s="625"/>
      <c r="O57" s="626"/>
      <c r="P57" s="626"/>
      <c r="Q57" s="626"/>
      <c r="R57" s="626"/>
      <c r="S57" s="627"/>
    </row>
    <row r="58" spans="1:19" x14ac:dyDescent="0.25">
      <c r="A58" s="648" t="s">
        <v>687</v>
      </c>
      <c r="B58" s="649"/>
      <c r="C58" s="650"/>
      <c r="D58" s="650"/>
      <c r="E58" s="650"/>
      <c r="F58" s="650"/>
      <c r="G58" s="651"/>
      <c r="H58" s="652">
        <f>2.75/158</f>
        <v>1.740506329113924E-2</v>
      </c>
      <c r="I58" s="633">
        <v>9.2629999999999999</v>
      </c>
      <c r="J58" s="653">
        <v>20</v>
      </c>
      <c r="K58" s="653">
        <f t="shared" ref="K58:K59" si="51">ROUND(I58*158*H58*0.2,2)</f>
        <v>5.09</v>
      </c>
      <c r="L58" s="633">
        <f t="shared" ref="L58:L61" si="52">K58*0.2409</f>
        <v>1.226181</v>
      </c>
      <c r="M58" s="634">
        <f t="shared" ref="M58:M59" si="53">ROUND(SUM(K58:L58),2)</f>
        <v>6.32</v>
      </c>
      <c r="N58" s="654"/>
      <c r="O58" s="633"/>
      <c r="P58" s="653"/>
      <c r="Q58" s="653"/>
      <c r="R58" s="633"/>
      <c r="S58" s="634"/>
    </row>
    <row r="59" spans="1:19" ht="15.75" thickBot="1" x14ac:dyDescent="0.3">
      <c r="A59" s="666" t="s">
        <v>687</v>
      </c>
      <c r="B59" s="656"/>
      <c r="C59" s="631"/>
      <c r="D59" s="631"/>
      <c r="E59" s="631"/>
      <c r="F59" s="631"/>
      <c r="G59" s="657"/>
      <c r="H59" s="658">
        <f>6/158</f>
        <v>3.7974683544303799E-2</v>
      </c>
      <c r="I59" s="632">
        <v>9.0839999999999996</v>
      </c>
      <c r="J59" s="636">
        <v>20</v>
      </c>
      <c r="K59" s="636">
        <f t="shared" si="51"/>
        <v>10.9</v>
      </c>
      <c r="L59" s="632">
        <f t="shared" si="52"/>
        <v>2.62581</v>
      </c>
      <c r="M59" s="637">
        <f t="shared" si="53"/>
        <v>13.53</v>
      </c>
      <c r="N59" s="635"/>
      <c r="O59" s="632"/>
      <c r="P59" s="636"/>
      <c r="Q59" s="636"/>
      <c r="R59" s="632"/>
      <c r="S59" s="637"/>
    </row>
    <row r="60" spans="1:19" ht="38.25" x14ac:dyDescent="0.25">
      <c r="A60" s="663" t="s">
        <v>12</v>
      </c>
      <c r="B60" s="625">
        <f>B61</f>
        <v>9.0909090909090912E-2</v>
      </c>
      <c r="C60" s="626"/>
      <c r="D60" s="626"/>
      <c r="E60" s="626">
        <f>E61</f>
        <v>47.53</v>
      </c>
      <c r="F60" s="626">
        <f>F61</f>
        <v>11.449977000000001</v>
      </c>
      <c r="G60" s="627">
        <f>G61</f>
        <v>58.98</v>
      </c>
      <c r="H60" s="625">
        <f>H61</f>
        <v>0.16613924050632911</v>
      </c>
      <c r="I60" s="626"/>
      <c r="J60" s="626"/>
      <c r="K60" s="626">
        <f>K61</f>
        <v>30.14</v>
      </c>
      <c r="L60" s="626">
        <f>L61</f>
        <v>7.260726</v>
      </c>
      <c r="M60" s="627">
        <f>M61</f>
        <v>37.4</v>
      </c>
      <c r="N60" s="625"/>
      <c r="O60" s="626"/>
      <c r="P60" s="626"/>
      <c r="Q60" s="626"/>
      <c r="R60" s="626"/>
      <c r="S60" s="627"/>
    </row>
    <row r="61" spans="1:19" ht="15.75" thickBot="1" x14ac:dyDescent="0.3">
      <c r="A61" s="666" t="s">
        <v>688</v>
      </c>
      <c r="B61" s="630">
        <f>16/176</f>
        <v>9.0909090909090912E-2</v>
      </c>
      <c r="C61" s="631">
        <v>5.9409999999999998</v>
      </c>
      <c r="D61" s="631">
        <v>50</v>
      </c>
      <c r="E61" s="678">
        <f>ROUND(C61*176*B61*0.5,2)</f>
        <v>47.53</v>
      </c>
      <c r="F61" s="632">
        <f t="shared" ref="F61" si="54">E61*0.2409</f>
        <v>11.449977000000001</v>
      </c>
      <c r="G61" s="637">
        <f t="shared" ref="G61" si="55">ROUND(SUM(E61:F61),2)</f>
        <v>58.98</v>
      </c>
      <c r="H61" s="658">
        <f>26.25/158</f>
        <v>0.16613924050632911</v>
      </c>
      <c r="I61" s="632">
        <v>5.74</v>
      </c>
      <c r="J61" s="636">
        <v>20</v>
      </c>
      <c r="K61" s="636">
        <f t="shared" ref="K61" si="56">ROUND(I61*158*H61*0.2,2)</f>
        <v>30.14</v>
      </c>
      <c r="L61" s="632">
        <f t="shared" si="52"/>
        <v>7.260726</v>
      </c>
      <c r="M61" s="637">
        <f t="shared" ref="M61" si="57">ROUND(SUM(K61:L61),2)</f>
        <v>37.4</v>
      </c>
      <c r="N61" s="635"/>
      <c r="O61" s="632"/>
      <c r="P61" s="636"/>
      <c r="Q61" s="636"/>
      <c r="R61" s="632"/>
      <c r="S61" s="637"/>
    </row>
    <row r="62" spans="1:19" ht="15.75" thickBot="1" x14ac:dyDescent="0.3">
      <c r="A62" s="682" t="s">
        <v>736</v>
      </c>
      <c r="B62" s="661">
        <f>B63</f>
        <v>0.12501999999999999</v>
      </c>
      <c r="C62" s="659"/>
      <c r="D62" s="659"/>
      <c r="E62" s="659">
        <f t="shared" ref="E62:H63" si="58">E63</f>
        <v>85.4</v>
      </c>
      <c r="F62" s="659">
        <f t="shared" si="58"/>
        <v>20.572860000000002</v>
      </c>
      <c r="G62" s="662">
        <f t="shared" si="58"/>
        <v>105.97</v>
      </c>
      <c r="H62" s="661">
        <f t="shared" si="58"/>
        <v>0</v>
      </c>
      <c r="I62" s="659"/>
      <c r="J62" s="659"/>
      <c r="K62" s="659">
        <f t="shared" ref="K62:M63" si="59">K63</f>
        <v>0</v>
      </c>
      <c r="L62" s="659">
        <f t="shared" si="59"/>
        <v>0</v>
      </c>
      <c r="M62" s="662">
        <f t="shared" si="59"/>
        <v>0</v>
      </c>
      <c r="N62" s="661"/>
      <c r="O62" s="659"/>
      <c r="P62" s="659"/>
      <c r="Q62" s="659"/>
      <c r="R62" s="659"/>
      <c r="S62" s="662"/>
    </row>
    <row r="63" spans="1:19" ht="38.25" x14ac:dyDescent="0.25">
      <c r="A63" s="663" t="s">
        <v>12</v>
      </c>
      <c r="B63" s="625">
        <f>B64</f>
        <v>0.12501999999999999</v>
      </c>
      <c r="C63" s="626"/>
      <c r="D63" s="626"/>
      <c r="E63" s="626">
        <f t="shared" si="58"/>
        <v>85.4</v>
      </c>
      <c r="F63" s="626">
        <f t="shared" si="58"/>
        <v>20.572860000000002</v>
      </c>
      <c r="G63" s="627">
        <f t="shared" si="58"/>
        <v>105.97</v>
      </c>
      <c r="H63" s="625">
        <f t="shared" si="58"/>
        <v>0</v>
      </c>
      <c r="I63" s="626"/>
      <c r="J63" s="626"/>
      <c r="K63" s="626">
        <f t="shared" si="59"/>
        <v>0</v>
      </c>
      <c r="L63" s="626">
        <f t="shared" si="59"/>
        <v>0</v>
      </c>
      <c r="M63" s="627">
        <f t="shared" si="59"/>
        <v>0</v>
      </c>
      <c r="N63" s="625"/>
      <c r="O63" s="626"/>
      <c r="P63" s="626"/>
      <c r="Q63" s="626"/>
      <c r="R63" s="626"/>
      <c r="S63" s="627"/>
    </row>
    <row r="64" spans="1:19" ht="15.75" thickBot="1" x14ac:dyDescent="0.3">
      <c r="A64" s="666" t="s">
        <v>737</v>
      </c>
      <c r="B64" s="630">
        <v>0.12501999999999999</v>
      </c>
      <c r="C64" s="631">
        <v>2277</v>
      </c>
      <c r="D64" s="631">
        <v>30</v>
      </c>
      <c r="E64" s="632">
        <f>ROUND(B64*C64*0.3,2)</f>
        <v>85.4</v>
      </c>
      <c r="F64" s="632">
        <f t="shared" ref="F64" si="60">E64*0.2409</f>
        <v>20.572860000000002</v>
      </c>
      <c r="G64" s="637">
        <f t="shared" ref="G64" si="61">ROUND(SUM(E64:F64),2)</f>
        <v>105.97</v>
      </c>
      <c r="H64" s="635"/>
      <c r="I64" s="632"/>
      <c r="J64" s="636"/>
      <c r="K64" s="636"/>
      <c r="L64" s="632"/>
      <c r="M64" s="637"/>
      <c r="N64" s="635"/>
      <c r="O64" s="632"/>
      <c r="P64" s="636"/>
      <c r="Q64" s="636"/>
      <c r="R64" s="632"/>
      <c r="S64" s="637"/>
    </row>
    <row r="65" spans="1:19" ht="15.75" thickBot="1" x14ac:dyDescent="0.3">
      <c r="A65" s="682" t="s">
        <v>689</v>
      </c>
      <c r="B65" s="661">
        <f>B66+B68+B76</f>
        <v>1.2273090909090909</v>
      </c>
      <c r="C65" s="659"/>
      <c r="D65" s="659"/>
      <c r="E65" s="659">
        <f>E66+E68+E76</f>
        <v>738.42000000000007</v>
      </c>
      <c r="F65" s="659">
        <f t="shared" ref="F65:G65" si="62">F66+F68+F76</f>
        <v>177.885378</v>
      </c>
      <c r="G65" s="659">
        <f t="shared" si="62"/>
        <v>916.31</v>
      </c>
      <c r="H65" s="661">
        <f>H66+H68+H76</f>
        <v>3.3291139240506329</v>
      </c>
      <c r="I65" s="659"/>
      <c r="J65" s="659"/>
      <c r="K65" s="659">
        <f>K66+K68+K76</f>
        <v>893.18999999999994</v>
      </c>
      <c r="L65" s="659">
        <f t="shared" ref="L65:M65" si="63">L66+L68+L76</f>
        <v>215.16947100000002</v>
      </c>
      <c r="M65" s="659">
        <f t="shared" si="63"/>
        <v>1108.3499999999999</v>
      </c>
      <c r="N65" s="661"/>
      <c r="O65" s="659"/>
      <c r="P65" s="659"/>
      <c r="Q65" s="659"/>
      <c r="R65" s="659"/>
      <c r="S65" s="662"/>
    </row>
    <row r="66" spans="1:19" ht="25.5" x14ac:dyDescent="0.25">
      <c r="A66" s="663" t="s">
        <v>676</v>
      </c>
      <c r="B66" s="625">
        <f>B67</f>
        <v>0.13639999999999999</v>
      </c>
      <c r="C66" s="626"/>
      <c r="D66" s="626"/>
      <c r="E66" s="626">
        <f>E67</f>
        <v>79.2</v>
      </c>
      <c r="F66" s="626">
        <f t="shared" ref="F66:G66" si="64">F67</f>
        <v>19.079280000000001</v>
      </c>
      <c r="G66" s="626">
        <f t="shared" si="64"/>
        <v>98.28</v>
      </c>
      <c r="H66" s="625">
        <f>H67</f>
        <v>1</v>
      </c>
      <c r="I66" s="626"/>
      <c r="J66" s="626"/>
      <c r="K66" s="626">
        <f>K67</f>
        <v>387.09</v>
      </c>
      <c r="L66" s="626">
        <f t="shared" ref="L66:M66" si="65">L67</f>
        <v>93.249980999999991</v>
      </c>
      <c r="M66" s="626">
        <f t="shared" si="65"/>
        <v>480.34</v>
      </c>
      <c r="N66" s="625"/>
      <c r="O66" s="626"/>
      <c r="P66" s="626"/>
      <c r="Q66" s="626"/>
      <c r="R66" s="626"/>
      <c r="S66" s="627"/>
    </row>
    <row r="67" spans="1:19" ht="15.75" thickBot="1" x14ac:dyDescent="0.3">
      <c r="A67" s="666" t="s">
        <v>690</v>
      </c>
      <c r="B67" s="630">
        <v>0.13639999999999999</v>
      </c>
      <c r="C67" s="631">
        <v>1935.45</v>
      </c>
      <c r="D67" s="631">
        <v>30</v>
      </c>
      <c r="E67" s="636">
        <f>ROUND(B67*C67*0.3,2)</f>
        <v>79.2</v>
      </c>
      <c r="F67" s="632">
        <f t="shared" ref="F67" si="66">E67*0.2409</f>
        <v>19.079280000000001</v>
      </c>
      <c r="G67" s="637">
        <f t="shared" ref="G67" si="67">ROUND(SUM(E67:F67),2)</f>
        <v>98.28</v>
      </c>
      <c r="H67" s="635">
        <v>1</v>
      </c>
      <c r="I67" s="632">
        <v>1935.45</v>
      </c>
      <c r="J67" s="636">
        <v>20</v>
      </c>
      <c r="K67" s="636">
        <f>ROUND(H67*I67*0.2,2)</f>
        <v>387.09</v>
      </c>
      <c r="L67" s="632">
        <f t="shared" ref="L67:L73" si="68">K67*0.2409</f>
        <v>93.249980999999991</v>
      </c>
      <c r="M67" s="637">
        <f t="shared" ref="M67" si="69">ROUND(SUM(K67:L67),2)</f>
        <v>480.34</v>
      </c>
      <c r="N67" s="635"/>
      <c r="O67" s="632"/>
      <c r="P67" s="636"/>
      <c r="Q67" s="636"/>
      <c r="R67" s="632"/>
      <c r="S67" s="637"/>
    </row>
    <row r="68" spans="1:19" ht="41.25" customHeight="1" x14ac:dyDescent="0.25">
      <c r="A68" s="663" t="s">
        <v>12</v>
      </c>
      <c r="B68" s="625">
        <f>SUM(B69:B75)</f>
        <v>0.90909090909090895</v>
      </c>
      <c r="C68" s="626"/>
      <c r="D68" s="626"/>
      <c r="E68" s="626">
        <f>SUM(E69:E75)</f>
        <v>533.46</v>
      </c>
      <c r="F68" s="626">
        <f t="shared" ref="F68:G68" si="70">SUM(F69:F75)</f>
        <v>128.510514</v>
      </c>
      <c r="G68" s="626">
        <f t="shared" si="70"/>
        <v>661.97</v>
      </c>
      <c r="H68" s="625">
        <f>SUM(H69:H75)</f>
        <v>1.9240506329113924</v>
      </c>
      <c r="I68" s="626"/>
      <c r="J68" s="626"/>
      <c r="K68" s="626">
        <f>SUM(K69:K75)</f>
        <v>405.49</v>
      </c>
      <c r="L68" s="626">
        <f t="shared" ref="L68:M68" si="71">SUM(L69:L75)</f>
        <v>97.682541000000001</v>
      </c>
      <c r="M68" s="626">
        <f t="shared" si="71"/>
        <v>503.15999999999997</v>
      </c>
      <c r="N68" s="625"/>
      <c r="O68" s="626"/>
      <c r="P68" s="626"/>
      <c r="Q68" s="626"/>
      <c r="R68" s="626"/>
      <c r="S68" s="627"/>
    </row>
    <row r="69" spans="1:19" x14ac:dyDescent="0.25">
      <c r="A69" s="648" t="s">
        <v>396</v>
      </c>
      <c r="B69" s="675">
        <f>32/176</f>
        <v>0.18181818181818182</v>
      </c>
      <c r="C69" s="650">
        <v>6.7169999999999996</v>
      </c>
      <c r="D69" s="650">
        <v>50</v>
      </c>
      <c r="E69" s="653">
        <f>ROUND(C69*176*B69*0.5,2)</f>
        <v>107.47</v>
      </c>
      <c r="F69" s="633">
        <f t="shared" ref="F69:F75" si="72">E69*0.2409</f>
        <v>25.889523000000001</v>
      </c>
      <c r="G69" s="634">
        <f t="shared" ref="G69" si="73">ROUND(SUM(E69:F69),2)</f>
        <v>133.36000000000001</v>
      </c>
      <c r="H69" s="652">
        <f>56/158</f>
        <v>0.35443037974683544</v>
      </c>
      <c r="I69" s="633">
        <v>6.7169999999999996</v>
      </c>
      <c r="J69" s="653">
        <v>20</v>
      </c>
      <c r="K69" s="653">
        <f t="shared" ref="K69:K73" si="74">ROUND(I69*158*H69*0.2,2)</f>
        <v>75.23</v>
      </c>
      <c r="L69" s="633">
        <f t="shared" si="68"/>
        <v>18.122907000000001</v>
      </c>
      <c r="M69" s="634">
        <f t="shared" ref="M69:M73" si="75">ROUND(SUM(K69:L69),2)</f>
        <v>93.35</v>
      </c>
      <c r="N69" s="654"/>
      <c r="O69" s="633"/>
      <c r="P69" s="653"/>
      <c r="Q69" s="653"/>
      <c r="R69" s="633"/>
      <c r="S69" s="634"/>
    </row>
    <row r="70" spans="1:19" x14ac:dyDescent="0.25">
      <c r="A70" s="648" t="s">
        <v>396</v>
      </c>
      <c r="B70" s="675">
        <f t="shared" ref="B70:B71" si="76">32/176</f>
        <v>0.18181818181818182</v>
      </c>
      <c r="C70" s="650">
        <v>6.7169999999999996</v>
      </c>
      <c r="D70" s="650">
        <v>50</v>
      </c>
      <c r="E70" s="653">
        <f t="shared" ref="E70:E77" si="77">ROUND(C70*176*B70*0.5,2)</f>
        <v>107.47</v>
      </c>
      <c r="F70" s="633">
        <f t="shared" si="72"/>
        <v>25.889523000000001</v>
      </c>
      <c r="G70" s="634">
        <f t="shared" ref="G70:G75" si="78">ROUND(SUM(E70:F70),2)</f>
        <v>133.36000000000001</v>
      </c>
      <c r="H70" s="652">
        <f>64/158</f>
        <v>0.4050632911392405</v>
      </c>
      <c r="I70" s="633">
        <v>6.7169999999999996</v>
      </c>
      <c r="J70" s="653">
        <v>20</v>
      </c>
      <c r="K70" s="653">
        <f t="shared" si="74"/>
        <v>85.98</v>
      </c>
      <c r="L70" s="633">
        <f t="shared" si="68"/>
        <v>20.712582000000001</v>
      </c>
      <c r="M70" s="634">
        <f t="shared" si="75"/>
        <v>106.69</v>
      </c>
      <c r="N70" s="654"/>
      <c r="O70" s="633"/>
      <c r="P70" s="653"/>
      <c r="Q70" s="653"/>
      <c r="R70" s="633"/>
      <c r="S70" s="634"/>
    </row>
    <row r="71" spans="1:19" x14ac:dyDescent="0.25">
      <c r="A71" s="648" t="s">
        <v>396</v>
      </c>
      <c r="B71" s="675">
        <f t="shared" si="76"/>
        <v>0.18181818181818182</v>
      </c>
      <c r="C71" s="650">
        <v>6.7169999999999996</v>
      </c>
      <c r="D71" s="650">
        <v>50</v>
      </c>
      <c r="E71" s="653">
        <f t="shared" si="77"/>
        <v>107.47</v>
      </c>
      <c r="F71" s="633">
        <f t="shared" si="72"/>
        <v>25.889523000000001</v>
      </c>
      <c r="G71" s="634">
        <f t="shared" si="78"/>
        <v>133.36000000000001</v>
      </c>
      <c r="H71" s="652">
        <f>56/158</f>
        <v>0.35443037974683544</v>
      </c>
      <c r="I71" s="633">
        <v>6.7169999999999996</v>
      </c>
      <c r="J71" s="653">
        <v>20</v>
      </c>
      <c r="K71" s="653">
        <f t="shared" si="74"/>
        <v>75.23</v>
      </c>
      <c r="L71" s="633">
        <f t="shared" si="68"/>
        <v>18.122907000000001</v>
      </c>
      <c r="M71" s="634">
        <f t="shared" si="75"/>
        <v>93.35</v>
      </c>
      <c r="N71" s="654"/>
      <c r="O71" s="633"/>
      <c r="P71" s="653"/>
      <c r="Q71" s="653"/>
      <c r="R71" s="633"/>
      <c r="S71" s="634"/>
    </row>
    <row r="72" spans="1:19" x14ac:dyDescent="0.25">
      <c r="A72" s="648" t="s">
        <v>396</v>
      </c>
      <c r="B72" s="675">
        <f>8/176</f>
        <v>4.5454545454545456E-2</v>
      </c>
      <c r="C72" s="650">
        <v>6.6520000000000001</v>
      </c>
      <c r="D72" s="650">
        <v>50</v>
      </c>
      <c r="E72" s="653">
        <f t="shared" si="77"/>
        <v>26.61</v>
      </c>
      <c r="F72" s="633">
        <f t="shared" si="72"/>
        <v>6.4103490000000001</v>
      </c>
      <c r="G72" s="634">
        <f t="shared" si="78"/>
        <v>33.020000000000003</v>
      </c>
      <c r="H72" s="652">
        <f>64/158</f>
        <v>0.4050632911392405</v>
      </c>
      <c r="I72" s="633">
        <v>6.7169999999999996</v>
      </c>
      <c r="J72" s="653">
        <v>20</v>
      </c>
      <c r="K72" s="653">
        <f t="shared" si="74"/>
        <v>85.98</v>
      </c>
      <c r="L72" s="633">
        <f t="shared" si="68"/>
        <v>20.712582000000001</v>
      </c>
      <c r="M72" s="634">
        <f t="shared" si="75"/>
        <v>106.69</v>
      </c>
      <c r="N72" s="654"/>
      <c r="O72" s="633"/>
      <c r="P72" s="653"/>
      <c r="Q72" s="653"/>
      <c r="R72" s="633"/>
      <c r="S72" s="634"/>
    </row>
    <row r="73" spans="1:19" x14ac:dyDescent="0.25">
      <c r="A73" s="648" t="s">
        <v>396</v>
      </c>
      <c r="B73" s="675">
        <f>24/176</f>
        <v>0.13636363636363635</v>
      </c>
      <c r="C73" s="650">
        <v>6.49</v>
      </c>
      <c r="D73" s="650">
        <v>50</v>
      </c>
      <c r="E73" s="653">
        <f t="shared" si="77"/>
        <v>77.88</v>
      </c>
      <c r="F73" s="633">
        <f t="shared" si="72"/>
        <v>18.761291999999997</v>
      </c>
      <c r="G73" s="634">
        <f t="shared" si="78"/>
        <v>96.64</v>
      </c>
      <c r="H73" s="652">
        <f>64/158</f>
        <v>0.4050632911392405</v>
      </c>
      <c r="I73" s="633">
        <v>6.49</v>
      </c>
      <c r="J73" s="653">
        <v>20</v>
      </c>
      <c r="K73" s="653">
        <f t="shared" si="74"/>
        <v>83.07</v>
      </c>
      <c r="L73" s="633">
        <f t="shared" si="68"/>
        <v>20.011562999999999</v>
      </c>
      <c r="M73" s="634">
        <f t="shared" si="75"/>
        <v>103.08</v>
      </c>
      <c r="N73" s="654"/>
      <c r="O73" s="633"/>
      <c r="P73" s="653"/>
      <c r="Q73" s="653"/>
      <c r="R73" s="633"/>
      <c r="S73" s="634"/>
    </row>
    <row r="74" spans="1:19" x14ac:dyDescent="0.25">
      <c r="A74" s="648" t="s">
        <v>396</v>
      </c>
      <c r="B74" s="675">
        <f>24/176</f>
        <v>0.13636363636363635</v>
      </c>
      <c r="C74" s="683">
        <v>6.7169999999999996</v>
      </c>
      <c r="D74" s="683">
        <v>50</v>
      </c>
      <c r="E74" s="653">
        <f t="shared" si="77"/>
        <v>80.599999999999994</v>
      </c>
      <c r="F74" s="633">
        <f t="shared" si="72"/>
        <v>19.416539999999998</v>
      </c>
      <c r="G74" s="634">
        <f t="shared" si="78"/>
        <v>100.02</v>
      </c>
      <c r="H74" s="684"/>
      <c r="I74" s="685"/>
      <c r="J74" s="686"/>
      <c r="K74" s="686"/>
      <c r="L74" s="685"/>
      <c r="M74" s="687"/>
      <c r="N74" s="684"/>
      <c r="O74" s="685"/>
      <c r="P74" s="686"/>
      <c r="Q74" s="686"/>
      <c r="R74" s="685"/>
      <c r="S74" s="687"/>
    </row>
    <row r="75" spans="1:19" ht="15.75" thickBot="1" x14ac:dyDescent="0.3">
      <c r="A75" s="666" t="s">
        <v>738</v>
      </c>
      <c r="B75" s="675">
        <f>8/176</f>
        <v>4.5454545454545456E-2</v>
      </c>
      <c r="C75" s="677">
        <v>6.49</v>
      </c>
      <c r="D75" s="677">
        <v>50</v>
      </c>
      <c r="E75" s="653">
        <f t="shared" si="77"/>
        <v>25.96</v>
      </c>
      <c r="F75" s="633">
        <f t="shared" si="72"/>
        <v>6.2537640000000003</v>
      </c>
      <c r="G75" s="634">
        <f t="shared" si="78"/>
        <v>32.21</v>
      </c>
      <c r="H75" s="679"/>
      <c r="I75" s="680"/>
      <c r="J75" s="678"/>
      <c r="K75" s="678"/>
      <c r="L75" s="680"/>
      <c r="M75" s="681"/>
      <c r="N75" s="679"/>
      <c r="O75" s="680"/>
      <c r="P75" s="678"/>
      <c r="Q75" s="678"/>
      <c r="R75" s="680"/>
      <c r="S75" s="681"/>
    </row>
    <row r="76" spans="1:19" ht="25.5" x14ac:dyDescent="0.25">
      <c r="A76" s="663" t="s">
        <v>11</v>
      </c>
      <c r="B76" s="625">
        <f>B77</f>
        <v>0.18181818181818182</v>
      </c>
      <c r="C76" s="626"/>
      <c r="D76" s="626"/>
      <c r="E76" s="626">
        <f>E77</f>
        <v>125.76</v>
      </c>
      <c r="F76" s="626">
        <f>F77</f>
        <v>30.295584000000002</v>
      </c>
      <c r="G76" s="627">
        <f>G77</f>
        <v>156.06</v>
      </c>
      <c r="H76" s="625">
        <f>H77</f>
        <v>0.4050632911392405</v>
      </c>
      <c r="I76" s="626"/>
      <c r="J76" s="626"/>
      <c r="K76" s="626">
        <f>K77</f>
        <v>100.61</v>
      </c>
      <c r="L76" s="626">
        <f>L77</f>
        <v>24.236948999999999</v>
      </c>
      <c r="M76" s="627">
        <f>M77</f>
        <v>124.85</v>
      </c>
      <c r="N76" s="625"/>
      <c r="O76" s="626"/>
      <c r="P76" s="626"/>
      <c r="Q76" s="626"/>
      <c r="R76" s="626"/>
      <c r="S76" s="627"/>
    </row>
    <row r="77" spans="1:19" ht="15.75" thickBot="1" x14ac:dyDescent="0.3">
      <c r="A77" s="666" t="s">
        <v>691</v>
      </c>
      <c r="B77" s="630">
        <f>32/176</f>
        <v>0.18181818181818182</v>
      </c>
      <c r="C77" s="631">
        <v>7.86</v>
      </c>
      <c r="D77" s="631">
        <v>50</v>
      </c>
      <c r="E77" s="653">
        <f t="shared" si="77"/>
        <v>125.76</v>
      </c>
      <c r="F77" s="632">
        <f t="shared" ref="F77" si="79">E77*0.2409</f>
        <v>30.295584000000002</v>
      </c>
      <c r="G77" s="637">
        <f t="shared" ref="G77" si="80">ROUND(SUM(E77:F77),2)</f>
        <v>156.06</v>
      </c>
      <c r="H77" s="658">
        <f>64/158</f>
        <v>0.4050632911392405</v>
      </c>
      <c r="I77" s="632">
        <v>7.86</v>
      </c>
      <c r="J77" s="636">
        <v>20</v>
      </c>
      <c r="K77" s="636">
        <f t="shared" ref="K77" si="81">ROUND(I77*158*H77*0.2,2)</f>
        <v>100.61</v>
      </c>
      <c r="L77" s="632">
        <f t="shared" ref="L77" si="82">K77*0.2409</f>
        <v>24.236948999999999</v>
      </c>
      <c r="M77" s="637">
        <f t="shared" ref="M77" si="83">ROUND(SUM(K77:L77),2)</f>
        <v>124.85</v>
      </c>
      <c r="N77" s="635"/>
      <c r="O77" s="632"/>
      <c r="P77" s="636"/>
      <c r="Q77" s="636"/>
      <c r="R77" s="632"/>
      <c r="S77" s="637"/>
    </row>
    <row r="78" spans="1:19" ht="15.75" thickBot="1" x14ac:dyDescent="0.3">
      <c r="A78" s="682" t="s">
        <v>692</v>
      </c>
      <c r="B78" s="661">
        <f>B79</f>
        <v>0</v>
      </c>
      <c r="C78" s="659"/>
      <c r="D78" s="659"/>
      <c r="E78" s="659">
        <f t="shared" ref="E78:H79" si="84">E79</f>
        <v>0</v>
      </c>
      <c r="F78" s="659">
        <f t="shared" si="84"/>
        <v>0</v>
      </c>
      <c r="G78" s="662">
        <f t="shared" si="84"/>
        <v>0</v>
      </c>
      <c r="H78" s="661">
        <f t="shared" si="84"/>
        <v>0.12658227848101267</v>
      </c>
      <c r="I78" s="659"/>
      <c r="J78" s="659"/>
      <c r="K78" s="659">
        <f t="shared" ref="K78:M79" si="85">K79</f>
        <v>64.05</v>
      </c>
      <c r="L78" s="659">
        <f t="shared" si="85"/>
        <v>15.429644999999999</v>
      </c>
      <c r="M78" s="662">
        <f t="shared" si="85"/>
        <v>79.48</v>
      </c>
      <c r="N78" s="661"/>
      <c r="O78" s="659"/>
      <c r="P78" s="659"/>
      <c r="Q78" s="659"/>
      <c r="R78" s="659"/>
      <c r="S78" s="662"/>
    </row>
    <row r="79" spans="1:19" ht="25.5" x14ac:dyDescent="0.25">
      <c r="A79" s="663" t="s">
        <v>676</v>
      </c>
      <c r="B79" s="625">
        <f>B80</f>
        <v>0</v>
      </c>
      <c r="C79" s="626"/>
      <c r="D79" s="626"/>
      <c r="E79" s="626">
        <f t="shared" si="84"/>
        <v>0</v>
      </c>
      <c r="F79" s="626">
        <f t="shared" si="84"/>
        <v>0</v>
      </c>
      <c r="G79" s="627">
        <f t="shared" si="84"/>
        <v>0</v>
      </c>
      <c r="H79" s="625">
        <f t="shared" si="84"/>
        <v>0.12658227848101267</v>
      </c>
      <c r="I79" s="626"/>
      <c r="J79" s="626"/>
      <c r="K79" s="626">
        <f t="shared" si="85"/>
        <v>64.05</v>
      </c>
      <c r="L79" s="626">
        <f t="shared" si="85"/>
        <v>15.429644999999999</v>
      </c>
      <c r="M79" s="627">
        <f t="shared" si="85"/>
        <v>79.48</v>
      </c>
      <c r="N79" s="625"/>
      <c r="O79" s="626"/>
      <c r="P79" s="626"/>
      <c r="Q79" s="626"/>
      <c r="R79" s="626"/>
      <c r="S79" s="627"/>
    </row>
    <row r="80" spans="1:19" ht="15.75" thickBot="1" x14ac:dyDescent="0.3">
      <c r="A80" s="666" t="s">
        <v>89</v>
      </c>
      <c r="B80" s="656"/>
      <c r="C80" s="631"/>
      <c r="D80" s="631"/>
      <c r="E80" s="631"/>
      <c r="F80" s="631"/>
      <c r="G80" s="657"/>
      <c r="H80" s="658">
        <f>20/158</f>
        <v>0.12658227848101267</v>
      </c>
      <c r="I80" s="632">
        <v>2530</v>
      </c>
      <c r="J80" s="636">
        <v>20</v>
      </c>
      <c r="K80" s="636">
        <f>ROUND(H80*I80*0.2,2)</f>
        <v>64.05</v>
      </c>
      <c r="L80" s="632">
        <f t="shared" ref="L80" si="86">K80*0.2409</f>
        <v>15.429644999999999</v>
      </c>
      <c r="M80" s="637">
        <f t="shared" ref="M80" si="87">ROUND(SUM(K80:L80),2)</f>
        <v>79.48</v>
      </c>
      <c r="N80" s="635"/>
      <c r="O80" s="632"/>
      <c r="P80" s="636"/>
      <c r="Q80" s="636"/>
      <c r="R80" s="632"/>
      <c r="S80" s="637"/>
    </row>
    <row r="81" spans="1:19" ht="15.75" thickBot="1" x14ac:dyDescent="0.3">
      <c r="A81" s="682" t="s">
        <v>693</v>
      </c>
      <c r="B81" s="661">
        <f>B82+B95+B110+B114</f>
        <v>7.2727272727272716</v>
      </c>
      <c r="C81" s="659"/>
      <c r="D81" s="659"/>
      <c r="E81" s="659">
        <f>E82+E95+E110+E114</f>
        <v>2376.0299999999997</v>
      </c>
      <c r="F81" s="659">
        <f t="shared" ref="F81" si="88">F82+F95+F110+F114</f>
        <v>572.385627</v>
      </c>
      <c r="G81" s="662">
        <f>G82+G95+G110+G114</f>
        <v>2948.44</v>
      </c>
      <c r="H81" s="688">
        <f>H82+H95+H110+H114</f>
        <v>16.696202531645575</v>
      </c>
      <c r="I81" s="659"/>
      <c r="J81" s="659"/>
      <c r="K81" s="659">
        <f>K82+K95+K110+K114</f>
        <v>3229.66</v>
      </c>
      <c r="L81" s="659">
        <f t="shared" ref="L81:M81" si="89">L82+L95+L110+L114</f>
        <v>778.02509399999997</v>
      </c>
      <c r="M81" s="659">
        <f t="shared" si="89"/>
        <v>4007.69</v>
      </c>
      <c r="N81" s="661"/>
      <c r="O81" s="659"/>
      <c r="P81" s="659"/>
      <c r="Q81" s="659"/>
      <c r="R81" s="659"/>
      <c r="S81" s="662"/>
    </row>
    <row r="82" spans="1:19" ht="25.5" x14ac:dyDescent="0.25">
      <c r="A82" s="663" t="s">
        <v>676</v>
      </c>
      <c r="B82" s="625">
        <f>SUM(B83:B94)</f>
        <v>2.1363636363636358</v>
      </c>
      <c r="C82" s="626"/>
      <c r="D82" s="626"/>
      <c r="E82" s="626">
        <f>SUM(E83:E94)</f>
        <v>974.60000000000014</v>
      </c>
      <c r="F82" s="626">
        <f t="shared" ref="F82" si="90">SUM(F83:F94)</f>
        <v>234.78113999999999</v>
      </c>
      <c r="G82" s="627">
        <f>SUM(G83:G94)</f>
        <v>1209.3800000000001</v>
      </c>
      <c r="H82" s="664">
        <f>SUM(H83:H94)</f>
        <v>4.5443037974683547</v>
      </c>
      <c r="I82" s="626"/>
      <c r="J82" s="626"/>
      <c r="K82" s="626">
        <f>SUM(K83:K94)</f>
        <v>1240.7200000000003</v>
      </c>
      <c r="L82" s="626">
        <f t="shared" ref="L82:M82" si="91">SUM(L83:L94)</f>
        <v>298.88944800000002</v>
      </c>
      <c r="M82" s="626">
        <f t="shared" si="91"/>
        <v>1539.6200000000001</v>
      </c>
      <c r="N82" s="625"/>
      <c r="O82" s="626"/>
      <c r="P82" s="626"/>
      <c r="Q82" s="626"/>
      <c r="R82" s="626"/>
      <c r="S82" s="627"/>
    </row>
    <row r="83" spans="1:19" x14ac:dyDescent="0.25">
      <c r="A83" s="648" t="s">
        <v>658</v>
      </c>
      <c r="B83" s="689"/>
      <c r="C83" s="690"/>
      <c r="D83" s="690"/>
      <c r="E83" s="690"/>
      <c r="F83" s="690"/>
      <c r="G83" s="691"/>
      <c r="H83" s="692">
        <f>24/158</f>
        <v>0.15189873417721519</v>
      </c>
      <c r="I83" s="633">
        <v>8.64</v>
      </c>
      <c r="J83" s="653">
        <v>20</v>
      </c>
      <c r="K83" s="653">
        <f t="shared" ref="K83:K94" si="92">ROUND(I83*158*H83*0.2,2)</f>
        <v>41.47</v>
      </c>
      <c r="L83" s="633">
        <f t="shared" ref="L83:L109" si="93">K83*0.2409</f>
        <v>9.9901230000000005</v>
      </c>
      <c r="M83" s="634">
        <f t="shared" ref="M83:M94" si="94">ROUND(SUM(K83:L83),2)</f>
        <v>51.46</v>
      </c>
      <c r="N83" s="654"/>
      <c r="O83" s="633"/>
      <c r="P83" s="653"/>
      <c r="Q83" s="653"/>
      <c r="R83" s="633"/>
      <c r="S83" s="634"/>
    </row>
    <row r="84" spans="1:19" x14ac:dyDescent="0.25">
      <c r="A84" s="648" t="s">
        <v>658</v>
      </c>
      <c r="B84" s="689"/>
      <c r="C84" s="690"/>
      <c r="D84" s="690"/>
      <c r="E84" s="690"/>
      <c r="F84" s="690"/>
      <c r="G84" s="691"/>
      <c r="H84" s="665">
        <v>1</v>
      </c>
      <c r="I84" s="633">
        <v>8.64</v>
      </c>
      <c r="J84" s="653">
        <v>20</v>
      </c>
      <c r="K84" s="653">
        <f t="shared" si="92"/>
        <v>273.02</v>
      </c>
      <c r="L84" s="633">
        <f t="shared" si="93"/>
        <v>65.770517999999996</v>
      </c>
      <c r="M84" s="634">
        <f t="shared" si="94"/>
        <v>338.79</v>
      </c>
      <c r="N84" s="654"/>
      <c r="O84" s="633"/>
      <c r="P84" s="653"/>
      <c r="Q84" s="653"/>
      <c r="R84" s="633"/>
      <c r="S84" s="634"/>
    </row>
    <row r="85" spans="1:19" x14ac:dyDescent="0.25">
      <c r="A85" s="648" t="s">
        <v>658</v>
      </c>
      <c r="B85" s="675">
        <f>48/176</f>
        <v>0.27272727272727271</v>
      </c>
      <c r="C85" s="650">
        <v>8.64</v>
      </c>
      <c r="D85" s="650">
        <v>30</v>
      </c>
      <c r="E85" s="653">
        <f>ROUND(C85*176*B85*0.3,2)</f>
        <v>124.42</v>
      </c>
      <c r="F85" s="633">
        <f t="shared" ref="F85:F93" si="95">E85*0.2409</f>
        <v>29.972778000000002</v>
      </c>
      <c r="G85" s="634">
        <f t="shared" ref="G85" si="96">ROUND(SUM(E85:F85),2)</f>
        <v>154.38999999999999</v>
      </c>
      <c r="H85" s="692">
        <f>36/158</f>
        <v>0.22784810126582278</v>
      </c>
      <c r="I85" s="633">
        <v>8.64</v>
      </c>
      <c r="J85" s="653">
        <v>20</v>
      </c>
      <c r="K85" s="653">
        <f t="shared" si="92"/>
        <v>62.21</v>
      </c>
      <c r="L85" s="633">
        <f t="shared" si="93"/>
        <v>14.986389000000001</v>
      </c>
      <c r="M85" s="634">
        <f t="shared" si="94"/>
        <v>77.2</v>
      </c>
      <c r="N85" s="654"/>
      <c r="O85" s="633"/>
      <c r="P85" s="653"/>
      <c r="Q85" s="653"/>
      <c r="R85" s="633"/>
      <c r="S85" s="634"/>
    </row>
    <row r="86" spans="1:19" x14ac:dyDescent="0.25">
      <c r="A86" s="648" t="s">
        <v>658</v>
      </c>
      <c r="B86" s="675">
        <f>60/176</f>
        <v>0.34090909090909088</v>
      </c>
      <c r="C86" s="650">
        <v>8.64</v>
      </c>
      <c r="D86" s="650">
        <v>30</v>
      </c>
      <c r="E86" s="653">
        <f t="shared" ref="E86:E93" si="97">ROUND(C86*176*B86*0.3,2)</f>
        <v>155.52000000000001</v>
      </c>
      <c r="F86" s="633">
        <f t="shared" si="95"/>
        <v>37.464767999999999</v>
      </c>
      <c r="G86" s="634">
        <f t="shared" ref="G86:G93" si="98">ROUND(SUM(E86:F86),2)</f>
        <v>192.98</v>
      </c>
      <c r="H86" s="692">
        <f>12/158</f>
        <v>7.5949367088607597E-2</v>
      </c>
      <c r="I86" s="633">
        <v>8.64</v>
      </c>
      <c r="J86" s="653">
        <v>20</v>
      </c>
      <c r="K86" s="653">
        <f t="shared" si="92"/>
        <v>20.74</v>
      </c>
      <c r="L86" s="633">
        <f t="shared" si="93"/>
        <v>4.9962659999999994</v>
      </c>
      <c r="M86" s="634">
        <f t="shared" si="94"/>
        <v>25.74</v>
      </c>
      <c r="N86" s="654"/>
      <c r="O86" s="633"/>
      <c r="P86" s="653"/>
      <c r="Q86" s="653"/>
      <c r="R86" s="633"/>
      <c r="S86" s="634"/>
    </row>
    <row r="87" spans="1:19" x14ac:dyDescent="0.25">
      <c r="A87" s="648" t="s">
        <v>658</v>
      </c>
      <c r="B87" s="675">
        <f>72/176</f>
        <v>0.40909090909090912</v>
      </c>
      <c r="C87" s="650">
        <v>8.64</v>
      </c>
      <c r="D87" s="650">
        <v>30</v>
      </c>
      <c r="E87" s="653">
        <f t="shared" si="97"/>
        <v>186.62</v>
      </c>
      <c r="F87" s="633">
        <f t="shared" si="95"/>
        <v>44.956758000000001</v>
      </c>
      <c r="G87" s="634">
        <f t="shared" si="98"/>
        <v>231.58</v>
      </c>
      <c r="H87" s="692">
        <f>72/158</f>
        <v>0.45569620253164556</v>
      </c>
      <c r="I87" s="633">
        <v>8.64</v>
      </c>
      <c r="J87" s="653">
        <v>20</v>
      </c>
      <c r="K87" s="653">
        <f t="shared" si="92"/>
        <v>124.42</v>
      </c>
      <c r="L87" s="633">
        <f t="shared" si="93"/>
        <v>29.972778000000002</v>
      </c>
      <c r="M87" s="634">
        <f t="shared" si="94"/>
        <v>154.38999999999999</v>
      </c>
      <c r="N87" s="654"/>
      <c r="O87" s="633"/>
      <c r="P87" s="653"/>
      <c r="Q87" s="653"/>
      <c r="R87" s="633"/>
      <c r="S87" s="634"/>
    </row>
    <row r="88" spans="1:19" x14ac:dyDescent="0.25">
      <c r="A88" s="648" t="s">
        <v>658</v>
      </c>
      <c r="B88" s="675">
        <f>84/176</f>
        <v>0.47727272727272729</v>
      </c>
      <c r="C88" s="650">
        <v>8.64</v>
      </c>
      <c r="D88" s="650">
        <v>30</v>
      </c>
      <c r="E88" s="653">
        <f t="shared" si="97"/>
        <v>217.73</v>
      </c>
      <c r="F88" s="633">
        <f t="shared" si="95"/>
        <v>52.451156999999995</v>
      </c>
      <c r="G88" s="634">
        <f t="shared" si="98"/>
        <v>270.18</v>
      </c>
      <c r="H88" s="692">
        <f>96/158</f>
        <v>0.60759493670886078</v>
      </c>
      <c r="I88" s="633">
        <v>8.64</v>
      </c>
      <c r="J88" s="653">
        <v>20</v>
      </c>
      <c r="K88" s="653">
        <f t="shared" si="92"/>
        <v>165.89</v>
      </c>
      <c r="L88" s="633">
        <f t="shared" si="93"/>
        <v>39.962900999999995</v>
      </c>
      <c r="M88" s="634">
        <f t="shared" si="94"/>
        <v>205.85</v>
      </c>
      <c r="N88" s="654"/>
      <c r="O88" s="633"/>
      <c r="P88" s="653"/>
      <c r="Q88" s="653"/>
      <c r="R88" s="633"/>
      <c r="S88" s="634"/>
    </row>
    <row r="89" spans="1:19" x14ac:dyDescent="0.25">
      <c r="A89" s="648" t="s">
        <v>658</v>
      </c>
      <c r="B89" s="675">
        <f>24/176</f>
        <v>0.13636363636363635</v>
      </c>
      <c r="C89" s="650">
        <v>8.64</v>
      </c>
      <c r="D89" s="650">
        <v>30</v>
      </c>
      <c r="E89" s="653">
        <f t="shared" si="97"/>
        <v>62.21</v>
      </c>
      <c r="F89" s="633">
        <f t="shared" si="95"/>
        <v>14.986389000000001</v>
      </c>
      <c r="G89" s="634">
        <f t="shared" si="98"/>
        <v>77.2</v>
      </c>
      <c r="H89" s="692">
        <f>60/158</f>
        <v>0.379746835443038</v>
      </c>
      <c r="I89" s="633">
        <v>8.64</v>
      </c>
      <c r="J89" s="653">
        <v>20</v>
      </c>
      <c r="K89" s="653">
        <f t="shared" si="92"/>
        <v>103.68</v>
      </c>
      <c r="L89" s="633">
        <f t="shared" si="93"/>
        <v>24.976512000000003</v>
      </c>
      <c r="M89" s="634">
        <f t="shared" si="94"/>
        <v>128.66</v>
      </c>
      <c r="N89" s="654"/>
      <c r="O89" s="633"/>
      <c r="P89" s="653"/>
      <c r="Q89" s="653"/>
      <c r="R89" s="633"/>
      <c r="S89" s="634"/>
    </row>
    <row r="90" spans="1:19" x14ac:dyDescent="0.25">
      <c r="A90" s="648" t="s">
        <v>658</v>
      </c>
      <c r="B90" s="675">
        <f t="shared" ref="B90:B91" si="99">24/176</f>
        <v>0.13636363636363635</v>
      </c>
      <c r="C90" s="650">
        <v>8.64</v>
      </c>
      <c r="D90" s="650">
        <v>30</v>
      </c>
      <c r="E90" s="653">
        <f t="shared" si="97"/>
        <v>62.21</v>
      </c>
      <c r="F90" s="633">
        <f t="shared" si="95"/>
        <v>14.986389000000001</v>
      </c>
      <c r="G90" s="634">
        <f t="shared" si="98"/>
        <v>77.2</v>
      </c>
      <c r="H90" s="692">
        <f>60/158</f>
        <v>0.379746835443038</v>
      </c>
      <c r="I90" s="633">
        <v>8.64</v>
      </c>
      <c r="J90" s="653">
        <v>20</v>
      </c>
      <c r="K90" s="653">
        <f t="shared" si="92"/>
        <v>103.68</v>
      </c>
      <c r="L90" s="633">
        <f t="shared" si="93"/>
        <v>24.976512000000003</v>
      </c>
      <c r="M90" s="634">
        <f t="shared" si="94"/>
        <v>128.66</v>
      </c>
      <c r="N90" s="654"/>
      <c r="O90" s="633"/>
      <c r="P90" s="653"/>
      <c r="Q90" s="653"/>
      <c r="R90" s="633"/>
      <c r="S90" s="634"/>
    </row>
    <row r="91" spans="1:19" x14ac:dyDescent="0.25">
      <c r="A91" s="648" t="s">
        <v>658</v>
      </c>
      <c r="B91" s="675">
        <f t="shared" si="99"/>
        <v>0.13636363636363635</v>
      </c>
      <c r="C91" s="650">
        <v>8.64</v>
      </c>
      <c r="D91" s="650">
        <v>30</v>
      </c>
      <c r="E91" s="653">
        <f t="shared" si="97"/>
        <v>62.21</v>
      </c>
      <c r="F91" s="633">
        <f t="shared" si="95"/>
        <v>14.986389000000001</v>
      </c>
      <c r="G91" s="634">
        <f t="shared" si="98"/>
        <v>77.2</v>
      </c>
      <c r="H91" s="692">
        <f>36/158</f>
        <v>0.22784810126582278</v>
      </c>
      <c r="I91" s="633">
        <v>8.64</v>
      </c>
      <c r="J91" s="653">
        <v>20</v>
      </c>
      <c r="K91" s="653">
        <f t="shared" si="92"/>
        <v>62.21</v>
      </c>
      <c r="L91" s="633">
        <f t="shared" si="93"/>
        <v>14.986389000000001</v>
      </c>
      <c r="M91" s="634">
        <f t="shared" si="94"/>
        <v>77.2</v>
      </c>
      <c r="N91" s="654"/>
      <c r="O91" s="633"/>
      <c r="P91" s="653"/>
      <c r="Q91" s="653"/>
      <c r="R91" s="633"/>
      <c r="S91" s="634"/>
    </row>
    <row r="92" spans="1:19" x14ac:dyDescent="0.25">
      <c r="A92" s="648" t="s">
        <v>694</v>
      </c>
      <c r="B92" s="675">
        <f>12/176</f>
        <v>6.8181818181818177E-2</v>
      </c>
      <c r="C92" s="650">
        <v>8.64</v>
      </c>
      <c r="D92" s="650">
        <v>30</v>
      </c>
      <c r="E92" s="653">
        <f t="shared" si="97"/>
        <v>31.1</v>
      </c>
      <c r="F92" s="633">
        <f t="shared" si="95"/>
        <v>7.4919900000000004</v>
      </c>
      <c r="G92" s="634">
        <f t="shared" si="98"/>
        <v>38.590000000000003</v>
      </c>
      <c r="H92" s="692">
        <f>56/158</f>
        <v>0.35443037974683544</v>
      </c>
      <c r="I92" s="633">
        <v>8.64</v>
      </c>
      <c r="J92" s="653">
        <v>20</v>
      </c>
      <c r="K92" s="653">
        <f t="shared" si="92"/>
        <v>96.77</v>
      </c>
      <c r="L92" s="633">
        <f t="shared" si="93"/>
        <v>23.311892999999998</v>
      </c>
      <c r="M92" s="634">
        <f t="shared" si="94"/>
        <v>120.08</v>
      </c>
      <c r="N92" s="654"/>
      <c r="O92" s="633"/>
      <c r="P92" s="653"/>
      <c r="Q92" s="653"/>
      <c r="R92" s="633"/>
      <c r="S92" s="634"/>
    </row>
    <row r="93" spans="1:19" x14ac:dyDescent="0.25">
      <c r="A93" s="648" t="s">
        <v>694</v>
      </c>
      <c r="B93" s="675">
        <f>28/176</f>
        <v>0.15909090909090909</v>
      </c>
      <c r="C93" s="650">
        <v>8.64</v>
      </c>
      <c r="D93" s="650">
        <v>30</v>
      </c>
      <c r="E93" s="653">
        <f t="shared" si="97"/>
        <v>72.58</v>
      </c>
      <c r="F93" s="633">
        <f t="shared" si="95"/>
        <v>17.484521999999998</v>
      </c>
      <c r="G93" s="634">
        <f t="shared" si="98"/>
        <v>90.06</v>
      </c>
      <c r="H93" s="692">
        <f>72/158</f>
        <v>0.45569620253164556</v>
      </c>
      <c r="I93" s="633">
        <v>8.64</v>
      </c>
      <c r="J93" s="653">
        <v>20</v>
      </c>
      <c r="K93" s="653">
        <f t="shared" si="92"/>
        <v>124.42</v>
      </c>
      <c r="L93" s="633">
        <f t="shared" si="93"/>
        <v>29.972778000000002</v>
      </c>
      <c r="M93" s="634">
        <f t="shared" si="94"/>
        <v>154.38999999999999</v>
      </c>
      <c r="N93" s="654"/>
      <c r="O93" s="633"/>
      <c r="P93" s="653"/>
      <c r="Q93" s="653"/>
      <c r="R93" s="633"/>
      <c r="S93" s="634"/>
    </row>
    <row r="94" spans="1:19" ht="15.75" thickBot="1" x14ac:dyDescent="0.3">
      <c r="A94" s="666" t="s">
        <v>694</v>
      </c>
      <c r="B94" s="656"/>
      <c r="C94" s="631"/>
      <c r="D94" s="631"/>
      <c r="E94" s="631"/>
      <c r="F94" s="631"/>
      <c r="G94" s="657"/>
      <c r="H94" s="693">
        <f>36/158</f>
        <v>0.22784810126582278</v>
      </c>
      <c r="I94" s="632">
        <v>8.64</v>
      </c>
      <c r="J94" s="636">
        <v>20</v>
      </c>
      <c r="K94" s="636">
        <f t="shared" si="92"/>
        <v>62.21</v>
      </c>
      <c r="L94" s="632">
        <f t="shared" si="93"/>
        <v>14.986389000000001</v>
      </c>
      <c r="M94" s="637">
        <f t="shared" si="94"/>
        <v>77.2</v>
      </c>
      <c r="N94" s="635"/>
      <c r="O94" s="632"/>
      <c r="P94" s="636"/>
      <c r="Q94" s="636"/>
      <c r="R94" s="632"/>
      <c r="S94" s="637"/>
    </row>
    <row r="95" spans="1:19" ht="38.25" x14ac:dyDescent="0.25">
      <c r="A95" s="663" t="s">
        <v>12</v>
      </c>
      <c r="B95" s="625">
        <f>SUM(B96:B109)</f>
        <v>3.8636363636363633</v>
      </c>
      <c r="C95" s="626"/>
      <c r="D95" s="626"/>
      <c r="E95" s="626">
        <f>SUM(E96:E109)</f>
        <v>1170.9599999999998</v>
      </c>
      <c r="F95" s="626">
        <f t="shared" ref="F95" si="100">SUM(F96:F109)</f>
        <v>282.08426400000002</v>
      </c>
      <c r="G95" s="626">
        <f>SUM(G96:G109)</f>
        <v>1453.06</v>
      </c>
      <c r="H95" s="625">
        <f>SUM(H96:H109)</f>
        <v>9.1139240506329138</v>
      </c>
      <c r="I95" s="626"/>
      <c r="J95" s="626"/>
      <c r="K95" s="626">
        <f>SUM(K96:K109)</f>
        <v>1653.1099999999997</v>
      </c>
      <c r="L95" s="626">
        <f t="shared" ref="L95:M95" si="101">SUM(L96:L109)</f>
        <v>398.23419899999999</v>
      </c>
      <c r="M95" s="626">
        <f t="shared" si="101"/>
        <v>2051.34</v>
      </c>
      <c r="N95" s="625"/>
      <c r="O95" s="626"/>
      <c r="P95" s="626"/>
      <c r="Q95" s="626"/>
      <c r="R95" s="626"/>
      <c r="S95" s="627"/>
    </row>
    <row r="96" spans="1:19" x14ac:dyDescent="0.25">
      <c r="A96" s="648" t="s">
        <v>231</v>
      </c>
      <c r="B96" s="675">
        <f>72/176</f>
        <v>0.40909090909090912</v>
      </c>
      <c r="C96" s="650">
        <v>5.74</v>
      </c>
      <c r="D96" s="650">
        <v>30</v>
      </c>
      <c r="E96" s="653">
        <f t="shared" ref="E96:E106" si="102">ROUND(C96*176*B96*0.3,2)</f>
        <v>123.98</v>
      </c>
      <c r="F96" s="633">
        <f t="shared" ref="F96:F106" si="103">E96*0.2409</f>
        <v>29.866782000000001</v>
      </c>
      <c r="G96" s="634">
        <f t="shared" ref="G96" si="104">ROUND(SUM(E96:F96),2)</f>
        <v>153.85</v>
      </c>
      <c r="H96" s="652">
        <f>160/158</f>
        <v>1.0126582278481013</v>
      </c>
      <c r="I96" s="633">
        <v>5.74</v>
      </c>
      <c r="J96" s="653">
        <v>20</v>
      </c>
      <c r="K96" s="653">
        <f t="shared" ref="K96:K109" si="105">ROUND(I96*158*H96*0.2,2)</f>
        <v>183.68</v>
      </c>
      <c r="L96" s="633">
        <f t="shared" si="93"/>
        <v>44.248512000000005</v>
      </c>
      <c r="M96" s="634">
        <f t="shared" ref="M96:M109" si="106">ROUND(SUM(K96:L96),2)</f>
        <v>227.93</v>
      </c>
      <c r="N96" s="654"/>
      <c r="O96" s="633"/>
      <c r="P96" s="653"/>
      <c r="Q96" s="653"/>
      <c r="R96" s="633"/>
      <c r="S96" s="634"/>
    </row>
    <row r="97" spans="1:19" x14ac:dyDescent="0.25">
      <c r="A97" s="648" t="s">
        <v>231</v>
      </c>
      <c r="B97" s="675">
        <f>24/176</f>
        <v>0.13636363636363635</v>
      </c>
      <c r="C97" s="650">
        <v>5.74</v>
      </c>
      <c r="D97" s="650">
        <v>30</v>
      </c>
      <c r="E97" s="653">
        <f t="shared" si="102"/>
        <v>41.33</v>
      </c>
      <c r="F97" s="633">
        <f t="shared" si="103"/>
        <v>9.9563969999999991</v>
      </c>
      <c r="G97" s="634">
        <f t="shared" ref="G97:G106" si="107">ROUND(SUM(E97:F97),2)</f>
        <v>51.29</v>
      </c>
      <c r="H97" s="652">
        <f>152/158</f>
        <v>0.96202531645569622</v>
      </c>
      <c r="I97" s="633">
        <v>5.74</v>
      </c>
      <c r="J97" s="653">
        <v>20</v>
      </c>
      <c r="K97" s="653">
        <f t="shared" si="105"/>
        <v>174.5</v>
      </c>
      <c r="L97" s="633">
        <f t="shared" si="93"/>
        <v>42.037050000000001</v>
      </c>
      <c r="M97" s="634">
        <f t="shared" si="106"/>
        <v>216.54</v>
      </c>
      <c r="N97" s="654"/>
      <c r="O97" s="633"/>
      <c r="P97" s="653"/>
      <c r="Q97" s="653"/>
      <c r="R97" s="633"/>
      <c r="S97" s="634"/>
    </row>
    <row r="98" spans="1:19" x14ac:dyDescent="0.25">
      <c r="A98" s="648" t="s">
        <v>231</v>
      </c>
      <c r="B98" s="675">
        <f>64/176</f>
        <v>0.36363636363636365</v>
      </c>
      <c r="C98" s="650">
        <v>5.74</v>
      </c>
      <c r="D98" s="650">
        <v>30</v>
      </c>
      <c r="E98" s="653">
        <f t="shared" si="102"/>
        <v>110.21</v>
      </c>
      <c r="F98" s="633">
        <f t="shared" si="103"/>
        <v>26.549588999999997</v>
      </c>
      <c r="G98" s="634">
        <f t="shared" si="107"/>
        <v>136.76</v>
      </c>
      <c r="H98" s="652">
        <f>156/158</f>
        <v>0.98734177215189878</v>
      </c>
      <c r="I98" s="633">
        <v>5.74</v>
      </c>
      <c r="J98" s="653">
        <v>20</v>
      </c>
      <c r="K98" s="653">
        <f t="shared" si="105"/>
        <v>179.09</v>
      </c>
      <c r="L98" s="633">
        <f t="shared" si="93"/>
        <v>43.142780999999999</v>
      </c>
      <c r="M98" s="634">
        <f t="shared" si="106"/>
        <v>222.23</v>
      </c>
      <c r="N98" s="654"/>
      <c r="O98" s="633"/>
      <c r="P98" s="653"/>
      <c r="Q98" s="653"/>
      <c r="R98" s="633"/>
      <c r="S98" s="634"/>
    </row>
    <row r="99" spans="1:19" x14ac:dyDescent="0.25">
      <c r="A99" s="648" t="s">
        <v>231</v>
      </c>
      <c r="B99" s="675">
        <f>72/176</f>
        <v>0.40909090909090912</v>
      </c>
      <c r="C99" s="650">
        <v>5.74</v>
      </c>
      <c r="D99" s="650">
        <v>30</v>
      </c>
      <c r="E99" s="653">
        <f t="shared" si="102"/>
        <v>123.98</v>
      </c>
      <c r="F99" s="633">
        <f t="shared" si="103"/>
        <v>29.866782000000001</v>
      </c>
      <c r="G99" s="634">
        <f t="shared" si="107"/>
        <v>153.85</v>
      </c>
      <c r="H99" s="652">
        <f>156/158</f>
        <v>0.98734177215189878</v>
      </c>
      <c r="I99" s="633">
        <v>5.74</v>
      </c>
      <c r="J99" s="653">
        <v>20</v>
      </c>
      <c r="K99" s="653">
        <f t="shared" si="105"/>
        <v>179.09</v>
      </c>
      <c r="L99" s="633">
        <f t="shared" si="93"/>
        <v>43.142780999999999</v>
      </c>
      <c r="M99" s="634">
        <f t="shared" si="106"/>
        <v>222.23</v>
      </c>
      <c r="N99" s="654"/>
      <c r="O99" s="633"/>
      <c r="P99" s="653"/>
      <c r="Q99" s="653"/>
      <c r="R99" s="633"/>
      <c r="S99" s="634"/>
    </row>
    <row r="100" spans="1:19" x14ac:dyDescent="0.25">
      <c r="A100" s="648" t="s">
        <v>231</v>
      </c>
      <c r="B100" s="675">
        <f>64/176</f>
        <v>0.36363636363636365</v>
      </c>
      <c r="C100" s="650">
        <v>5.74</v>
      </c>
      <c r="D100" s="650">
        <v>30</v>
      </c>
      <c r="E100" s="653">
        <f t="shared" si="102"/>
        <v>110.21</v>
      </c>
      <c r="F100" s="633">
        <f t="shared" si="103"/>
        <v>26.549588999999997</v>
      </c>
      <c r="G100" s="634">
        <f t="shared" si="107"/>
        <v>136.76</v>
      </c>
      <c r="H100" s="652">
        <f>24/158</f>
        <v>0.15189873417721519</v>
      </c>
      <c r="I100" s="633">
        <v>5.74</v>
      </c>
      <c r="J100" s="653">
        <v>20</v>
      </c>
      <c r="K100" s="653">
        <f t="shared" si="105"/>
        <v>27.55</v>
      </c>
      <c r="L100" s="633">
        <f t="shared" si="93"/>
        <v>6.6367950000000002</v>
      </c>
      <c r="M100" s="634">
        <f t="shared" si="106"/>
        <v>34.19</v>
      </c>
      <c r="N100" s="654"/>
      <c r="O100" s="633"/>
      <c r="P100" s="653"/>
      <c r="Q100" s="653"/>
      <c r="R100" s="633"/>
      <c r="S100" s="634"/>
    </row>
    <row r="101" spans="1:19" x14ac:dyDescent="0.25">
      <c r="A101" s="648" t="s">
        <v>231</v>
      </c>
      <c r="B101" s="675">
        <f>96/176</f>
        <v>0.54545454545454541</v>
      </c>
      <c r="C101" s="650">
        <v>5.74</v>
      </c>
      <c r="D101" s="650">
        <v>30</v>
      </c>
      <c r="E101" s="653">
        <f t="shared" si="102"/>
        <v>165.31</v>
      </c>
      <c r="F101" s="633">
        <f t="shared" si="103"/>
        <v>39.823179000000003</v>
      </c>
      <c r="G101" s="634">
        <f t="shared" si="107"/>
        <v>205.13</v>
      </c>
      <c r="H101" s="652">
        <f>148/158</f>
        <v>0.93670886075949367</v>
      </c>
      <c r="I101" s="633">
        <v>5.74</v>
      </c>
      <c r="J101" s="653">
        <v>20</v>
      </c>
      <c r="K101" s="653">
        <f t="shared" si="105"/>
        <v>169.9</v>
      </c>
      <c r="L101" s="633">
        <f t="shared" si="93"/>
        <v>40.928910000000002</v>
      </c>
      <c r="M101" s="634">
        <f t="shared" si="106"/>
        <v>210.83</v>
      </c>
      <c r="N101" s="654"/>
      <c r="O101" s="633"/>
      <c r="P101" s="653"/>
      <c r="Q101" s="653"/>
      <c r="R101" s="633"/>
      <c r="S101" s="634"/>
    </row>
    <row r="102" spans="1:19" x14ac:dyDescent="0.25">
      <c r="A102" s="648" t="s">
        <v>231</v>
      </c>
      <c r="B102" s="649">
        <f>88/176</f>
        <v>0.5</v>
      </c>
      <c r="C102" s="650">
        <v>5.74</v>
      </c>
      <c r="D102" s="650">
        <v>30</v>
      </c>
      <c r="E102" s="653">
        <f t="shared" si="102"/>
        <v>151.54</v>
      </c>
      <c r="F102" s="633">
        <f t="shared" si="103"/>
        <v>36.505986</v>
      </c>
      <c r="G102" s="634">
        <f t="shared" si="107"/>
        <v>188.05</v>
      </c>
      <c r="H102" s="652">
        <f>72/158</f>
        <v>0.45569620253164556</v>
      </c>
      <c r="I102" s="633">
        <v>5.74</v>
      </c>
      <c r="J102" s="653">
        <v>20</v>
      </c>
      <c r="K102" s="653">
        <f t="shared" si="105"/>
        <v>82.66</v>
      </c>
      <c r="L102" s="633">
        <f t="shared" si="93"/>
        <v>19.912793999999998</v>
      </c>
      <c r="M102" s="634">
        <f t="shared" si="106"/>
        <v>102.57</v>
      </c>
      <c r="N102" s="654"/>
      <c r="O102" s="633"/>
      <c r="P102" s="653"/>
      <c r="Q102" s="653"/>
      <c r="R102" s="633"/>
      <c r="S102" s="634"/>
    </row>
    <row r="103" spans="1:19" x14ac:dyDescent="0.25">
      <c r="A103" s="648" t="s">
        <v>695</v>
      </c>
      <c r="B103" s="675">
        <f>96/176</f>
        <v>0.54545454545454541</v>
      </c>
      <c r="C103" s="650">
        <v>5.74</v>
      </c>
      <c r="D103" s="650">
        <v>30</v>
      </c>
      <c r="E103" s="653">
        <f t="shared" si="102"/>
        <v>165.31</v>
      </c>
      <c r="F103" s="633">
        <f t="shared" si="103"/>
        <v>39.823179000000003</v>
      </c>
      <c r="G103" s="634">
        <f t="shared" si="107"/>
        <v>205.13</v>
      </c>
      <c r="H103" s="652">
        <f>144/158</f>
        <v>0.91139240506329111</v>
      </c>
      <c r="I103" s="633">
        <v>5.74</v>
      </c>
      <c r="J103" s="653">
        <v>20</v>
      </c>
      <c r="K103" s="653">
        <f t="shared" si="105"/>
        <v>165.31</v>
      </c>
      <c r="L103" s="633">
        <f t="shared" si="93"/>
        <v>39.823179000000003</v>
      </c>
      <c r="M103" s="634">
        <f t="shared" si="106"/>
        <v>205.13</v>
      </c>
      <c r="N103" s="654"/>
      <c r="O103" s="633"/>
      <c r="P103" s="653"/>
      <c r="Q103" s="653"/>
      <c r="R103" s="633"/>
      <c r="S103" s="634"/>
    </row>
    <row r="104" spans="1:19" x14ac:dyDescent="0.25">
      <c r="A104" s="648" t="s">
        <v>695</v>
      </c>
      <c r="B104" s="675">
        <f>24/176</f>
        <v>0.13636363636363635</v>
      </c>
      <c r="C104" s="650">
        <v>5.74</v>
      </c>
      <c r="D104" s="650">
        <v>30</v>
      </c>
      <c r="E104" s="653">
        <f t="shared" si="102"/>
        <v>41.33</v>
      </c>
      <c r="F104" s="633">
        <f t="shared" si="103"/>
        <v>9.9563969999999991</v>
      </c>
      <c r="G104" s="634">
        <f t="shared" si="107"/>
        <v>51.29</v>
      </c>
      <c r="H104" s="652">
        <f>144/158</f>
        <v>0.91139240506329111</v>
      </c>
      <c r="I104" s="633">
        <v>5.74</v>
      </c>
      <c r="J104" s="653">
        <v>20</v>
      </c>
      <c r="K104" s="653">
        <f t="shared" si="105"/>
        <v>165.31</v>
      </c>
      <c r="L104" s="633">
        <f t="shared" si="93"/>
        <v>39.823179000000003</v>
      </c>
      <c r="M104" s="634">
        <f t="shared" si="106"/>
        <v>205.13</v>
      </c>
      <c r="N104" s="654"/>
      <c r="O104" s="633"/>
      <c r="P104" s="653"/>
      <c r="Q104" s="653"/>
      <c r="R104" s="633"/>
      <c r="S104" s="634"/>
    </row>
    <row r="105" spans="1:19" x14ac:dyDescent="0.25">
      <c r="A105" s="648" t="s">
        <v>695</v>
      </c>
      <c r="B105" s="675">
        <f>72/176</f>
        <v>0.40909090909090912</v>
      </c>
      <c r="C105" s="650">
        <v>5.74</v>
      </c>
      <c r="D105" s="650">
        <v>30</v>
      </c>
      <c r="E105" s="653">
        <f t="shared" si="102"/>
        <v>123.98</v>
      </c>
      <c r="F105" s="633">
        <f t="shared" si="103"/>
        <v>29.866782000000001</v>
      </c>
      <c r="G105" s="634">
        <f t="shared" si="107"/>
        <v>153.85</v>
      </c>
      <c r="H105" s="652">
        <f>48/158</f>
        <v>0.30379746835443039</v>
      </c>
      <c r="I105" s="633">
        <v>5.74</v>
      </c>
      <c r="J105" s="653">
        <v>20</v>
      </c>
      <c r="K105" s="653">
        <f t="shared" si="105"/>
        <v>55.1</v>
      </c>
      <c r="L105" s="633">
        <f t="shared" si="93"/>
        <v>13.27359</v>
      </c>
      <c r="M105" s="634">
        <f t="shared" si="106"/>
        <v>68.37</v>
      </c>
      <c r="N105" s="654"/>
      <c r="O105" s="633"/>
      <c r="P105" s="653"/>
      <c r="Q105" s="653"/>
      <c r="R105" s="633"/>
      <c r="S105" s="634"/>
    </row>
    <row r="106" spans="1:19" x14ac:dyDescent="0.25">
      <c r="A106" s="648" t="s">
        <v>695</v>
      </c>
      <c r="B106" s="675">
        <f>8/176</f>
        <v>4.5454545454545456E-2</v>
      </c>
      <c r="C106" s="650">
        <v>5.74</v>
      </c>
      <c r="D106" s="650">
        <v>30</v>
      </c>
      <c r="E106" s="653">
        <f t="shared" si="102"/>
        <v>13.78</v>
      </c>
      <c r="F106" s="633">
        <f t="shared" si="103"/>
        <v>3.3196019999999997</v>
      </c>
      <c r="G106" s="634">
        <f t="shared" si="107"/>
        <v>17.100000000000001</v>
      </c>
      <c r="H106" s="652">
        <f>108/158</f>
        <v>0.68354430379746833</v>
      </c>
      <c r="I106" s="633">
        <v>5.74</v>
      </c>
      <c r="J106" s="653">
        <v>20</v>
      </c>
      <c r="K106" s="653">
        <f t="shared" si="105"/>
        <v>123.98</v>
      </c>
      <c r="L106" s="633">
        <f t="shared" si="93"/>
        <v>29.866782000000001</v>
      </c>
      <c r="M106" s="634">
        <f t="shared" si="106"/>
        <v>153.85</v>
      </c>
      <c r="N106" s="654"/>
      <c r="O106" s="633"/>
      <c r="P106" s="653"/>
      <c r="Q106" s="653"/>
      <c r="R106" s="633"/>
      <c r="S106" s="634"/>
    </row>
    <row r="107" spans="1:19" x14ac:dyDescent="0.25">
      <c r="A107" s="648" t="s">
        <v>695</v>
      </c>
      <c r="B107" s="649"/>
      <c r="C107" s="650"/>
      <c r="D107" s="650"/>
      <c r="E107" s="650"/>
      <c r="F107" s="650"/>
      <c r="G107" s="651"/>
      <c r="H107" s="652">
        <f>80/158</f>
        <v>0.50632911392405067</v>
      </c>
      <c r="I107" s="633">
        <v>5.74</v>
      </c>
      <c r="J107" s="653">
        <v>20</v>
      </c>
      <c r="K107" s="653">
        <f t="shared" si="105"/>
        <v>91.84</v>
      </c>
      <c r="L107" s="633">
        <f t="shared" si="93"/>
        <v>22.124256000000003</v>
      </c>
      <c r="M107" s="634">
        <f t="shared" si="106"/>
        <v>113.96</v>
      </c>
      <c r="N107" s="654"/>
      <c r="O107" s="633"/>
      <c r="P107" s="653"/>
      <c r="Q107" s="653"/>
      <c r="R107" s="633"/>
      <c r="S107" s="634"/>
    </row>
    <row r="108" spans="1:19" x14ac:dyDescent="0.25">
      <c r="A108" s="648" t="s">
        <v>231</v>
      </c>
      <c r="B108" s="649"/>
      <c r="C108" s="650"/>
      <c r="D108" s="650"/>
      <c r="E108" s="650"/>
      <c r="F108" s="650"/>
      <c r="G108" s="651"/>
      <c r="H108" s="652">
        <f>24/158</f>
        <v>0.15189873417721519</v>
      </c>
      <c r="I108" s="633">
        <v>5.74</v>
      </c>
      <c r="J108" s="653">
        <v>20</v>
      </c>
      <c r="K108" s="653">
        <f t="shared" si="105"/>
        <v>27.55</v>
      </c>
      <c r="L108" s="633">
        <f t="shared" si="93"/>
        <v>6.6367950000000002</v>
      </c>
      <c r="M108" s="634">
        <f t="shared" si="106"/>
        <v>34.19</v>
      </c>
      <c r="N108" s="654"/>
      <c r="O108" s="633"/>
      <c r="P108" s="653"/>
      <c r="Q108" s="653"/>
      <c r="R108" s="633"/>
      <c r="S108" s="634"/>
    </row>
    <row r="109" spans="1:19" ht="15.75" thickBot="1" x14ac:dyDescent="0.3">
      <c r="A109" s="666" t="s">
        <v>231</v>
      </c>
      <c r="B109" s="656"/>
      <c r="C109" s="631"/>
      <c r="D109" s="631"/>
      <c r="E109" s="631"/>
      <c r="F109" s="631"/>
      <c r="G109" s="657"/>
      <c r="H109" s="658">
        <f>24/158</f>
        <v>0.15189873417721519</v>
      </c>
      <c r="I109" s="632">
        <v>5.74</v>
      </c>
      <c r="J109" s="636">
        <v>20</v>
      </c>
      <c r="K109" s="636">
        <f t="shared" si="105"/>
        <v>27.55</v>
      </c>
      <c r="L109" s="632">
        <f t="shared" si="93"/>
        <v>6.6367950000000002</v>
      </c>
      <c r="M109" s="637">
        <f t="shared" si="106"/>
        <v>34.19</v>
      </c>
      <c r="N109" s="635"/>
      <c r="O109" s="632"/>
      <c r="P109" s="636"/>
      <c r="Q109" s="636"/>
      <c r="R109" s="632"/>
      <c r="S109" s="637"/>
    </row>
    <row r="110" spans="1:19" ht="38.25" x14ac:dyDescent="0.25">
      <c r="A110" s="663" t="s">
        <v>13</v>
      </c>
      <c r="B110" s="625">
        <f>SUM(B111:B113)</f>
        <v>0.22727272727272727</v>
      </c>
      <c r="C110" s="626"/>
      <c r="D110" s="626"/>
      <c r="E110" s="626">
        <f>SUM(E111:E113)</f>
        <v>45</v>
      </c>
      <c r="F110" s="626">
        <f t="shared" ref="F110" si="108">SUM(F111:F113)</f>
        <v>10.8405</v>
      </c>
      <c r="G110" s="626">
        <f>SUM(G111:G113)</f>
        <v>55.84</v>
      </c>
      <c r="H110" s="625">
        <f>SUM(H111:H113)</f>
        <v>1.0759493670886076</v>
      </c>
      <c r="I110" s="626"/>
      <c r="J110" s="626"/>
      <c r="K110" s="626">
        <f>SUM(K111:K113)</f>
        <v>127.5</v>
      </c>
      <c r="L110" s="626">
        <f t="shared" ref="L110:M110" si="109">SUM(L111:L113)</f>
        <v>30.714750000000002</v>
      </c>
      <c r="M110" s="626">
        <f t="shared" si="109"/>
        <v>158.20999999999998</v>
      </c>
      <c r="N110" s="625"/>
      <c r="O110" s="626"/>
      <c r="P110" s="626"/>
      <c r="Q110" s="626"/>
      <c r="R110" s="626"/>
      <c r="S110" s="627"/>
    </row>
    <row r="111" spans="1:19" x14ac:dyDescent="0.25">
      <c r="A111" s="648" t="s">
        <v>156</v>
      </c>
      <c r="B111" s="675">
        <f>40/176</f>
        <v>0.22727272727272727</v>
      </c>
      <c r="C111" s="650">
        <v>3.75</v>
      </c>
      <c r="D111" s="650">
        <v>30</v>
      </c>
      <c r="E111" s="653">
        <f t="shared" ref="E111" si="110">ROUND(C111*176*B111*0.3,2)</f>
        <v>45</v>
      </c>
      <c r="F111" s="633">
        <f t="shared" ref="F111" si="111">E111*0.2409</f>
        <v>10.8405</v>
      </c>
      <c r="G111" s="634">
        <f t="shared" ref="G111" si="112">ROUND(SUM(E111:F111),2)</f>
        <v>55.84</v>
      </c>
      <c r="H111" s="652">
        <f>56/158</f>
        <v>0.35443037974683544</v>
      </c>
      <c r="I111" s="633">
        <v>3.75</v>
      </c>
      <c r="J111" s="653">
        <v>20</v>
      </c>
      <c r="K111" s="653">
        <f t="shared" ref="K111:K113" si="113">ROUND(I111*158*H111*0.2,2)</f>
        <v>42</v>
      </c>
      <c r="L111" s="633">
        <f t="shared" ref="L111:L113" si="114">K111*0.2409</f>
        <v>10.117800000000001</v>
      </c>
      <c r="M111" s="634">
        <f t="shared" ref="M111:M113" si="115">ROUND(SUM(K111:L111),2)</f>
        <v>52.12</v>
      </c>
      <c r="N111" s="654"/>
      <c r="O111" s="633"/>
      <c r="P111" s="653"/>
      <c r="Q111" s="653"/>
      <c r="R111" s="633"/>
      <c r="S111" s="634"/>
    </row>
    <row r="112" spans="1:19" x14ac:dyDescent="0.25">
      <c r="A112" s="648" t="s">
        <v>156</v>
      </c>
      <c r="B112" s="649"/>
      <c r="C112" s="650"/>
      <c r="D112" s="650"/>
      <c r="E112" s="650"/>
      <c r="F112" s="650"/>
      <c r="G112" s="651"/>
      <c r="H112" s="652">
        <f>80/158</f>
        <v>0.50632911392405067</v>
      </c>
      <c r="I112" s="633">
        <v>3.75</v>
      </c>
      <c r="J112" s="653">
        <v>20</v>
      </c>
      <c r="K112" s="653">
        <f t="shared" si="113"/>
        <v>60</v>
      </c>
      <c r="L112" s="633">
        <f t="shared" si="114"/>
        <v>14.454000000000001</v>
      </c>
      <c r="M112" s="634">
        <f t="shared" si="115"/>
        <v>74.45</v>
      </c>
      <c r="N112" s="654"/>
      <c r="O112" s="633"/>
      <c r="P112" s="653"/>
      <c r="Q112" s="653"/>
      <c r="R112" s="633"/>
      <c r="S112" s="634"/>
    </row>
    <row r="113" spans="1:19" ht="15.75" thickBot="1" x14ac:dyDescent="0.3">
      <c r="A113" s="666" t="s">
        <v>156</v>
      </c>
      <c r="B113" s="656"/>
      <c r="C113" s="631"/>
      <c r="D113" s="631"/>
      <c r="E113" s="631"/>
      <c r="F113" s="631"/>
      <c r="G113" s="657"/>
      <c r="H113" s="658">
        <f>34/158</f>
        <v>0.21518987341772153</v>
      </c>
      <c r="I113" s="632">
        <v>3.75</v>
      </c>
      <c r="J113" s="636">
        <v>20</v>
      </c>
      <c r="K113" s="636">
        <f t="shared" si="113"/>
        <v>25.5</v>
      </c>
      <c r="L113" s="632">
        <f t="shared" si="114"/>
        <v>6.1429499999999999</v>
      </c>
      <c r="M113" s="637">
        <f t="shared" si="115"/>
        <v>31.64</v>
      </c>
      <c r="N113" s="635"/>
      <c r="O113" s="632"/>
      <c r="P113" s="636"/>
      <c r="Q113" s="636"/>
      <c r="R113" s="632"/>
      <c r="S113" s="637"/>
    </row>
    <row r="114" spans="1:19" ht="25.5" x14ac:dyDescent="0.25">
      <c r="A114" s="663" t="s">
        <v>11</v>
      </c>
      <c r="B114" s="625">
        <f>SUM(B115:B117)</f>
        <v>1.0454545454545454</v>
      </c>
      <c r="C114" s="626"/>
      <c r="D114" s="626"/>
      <c r="E114" s="626">
        <f>SUM(E115:E117)</f>
        <v>185.47</v>
      </c>
      <c r="F114" s="626">
        <f t="shared" ref="F114" si="116">SUM(F115:F117)</f>
        <v>44.679723000000003</v>
      </c>
      <c r="G114" s="626">
        <f>SUM(G115:G117)</f>
        <v>230.16</v>
      </c>
      <c r="H114" s="625">
        <f>SUM(H115:H117)</f>
        <v>1.962025316455696</v>
      </c>
      <c r="I114" s="626"/>
      <c r="J114" s="626"/>
      <c r="K114" s="626">
        <f>SUM(K115:K117)</f>
        <v>208.32999999999998</v>
      </c>
      <c r="L114" s="626">
        <f t="shared" ref="L114:M114" si="117">SUM(L115:L117)</f>
        <v>50.186697000000002</v>
      </c>
      <c r="M114" s="626">
        <f t="shared" si="117"/>
        <v>258.52</v>
      </c>
      <c r="N114" s="625"/>
      <c r="O114" s="626"/>
      <c r="P114" s="626"/>
      <c r="Q114" s="626"/>
      <c r="R114" s="626"/>
      <c r="S114" s="627"/>
    </row>
    <row r="115" spans="1:19" x14ac:dyDescent="0.25">
      <c r="A115" s="648" t="s">
        <v>19</v>
      </c>
      <c r="B115" s="675">
        <f>24/176</f>
        <v>0.13636363636363635</v>
      </c>
      <c r="C115" s="650">
        <v>3.36</v>
      </c>
      <c r="D115" s="650">
        <v>30</v>
      </c>
      <c r="E115" s="653">
        <f t="shared" ref="E115:E117" si="118">ROUND(C115*176*B115*0.3,2)</f>
        <v>24.19</v>
      </c>
      <c r="F115" s="633">
        <f t="shared" ref="F115:F117" si="119">E115*0.2409</f>
        <v>5.8273710000000003</v>
      </c>
      <c r="G115" s="634">
        <f t="shared" ref="G115" si="120">ROUND(SUM(E115:F115),2)</f>
        <v>30.02</v>
      </c>
      <c r="H115" s="652">
        <f>88/158</f>
        <v>0.55696202531645567</v>
      </c>
      <c r="I115" s="633">
        <v>3.36</v>
      </c>
      <c r="J115" s="653">
        <v>20</v>
      </c>
      <c r="K115" s="653">
        <f t="shared" ref="K115:K117" si="121">ROUND(I115*158*H115*0.2,2)</f>
        <v>59.14</v>
      </c>
      <c r="L115" s="633">
        <f t="shared" ref="L115:L117" si="122">K115*0.2409</f>
        <v>14.246826</v>
      </c>
      <c r="M115" s="634">
        <f t="shared" ref="M115:M117" si="123">ROUND(SUM(K115:L115),2)</f>
        <v>73.39</v>
      </c>
      <c r="N115" s="654"/>
      <c r="O115" s="633"/>
      <c r="P115" s="653"/>
      <c r="Q115" s="653"/>
      <c r="R115" s="633"/>
      <c r="S115" s="634"/>
    </row>
    <row r="116" spans="1:19" x14ac:dyDescent="0.25">
      <c r="A116" s="648" t="s">
        <v>19</v>
      </c>
      <c r="B116" s="675">
        <f>80/176</f>
        <v>0.45454545454545453</v>
      </c>
      <c r="C116" s="650">
        <v>3.36</v>
      </c>
      <c r="D116" s="650">
        <v>30</v>
      </c>
      <c r="E116" s="653">
        <f t="shared" si="118"/>
        <v>80.64</v>
      </c>
      <c r="F116" s="633">
        <f t="shared" si="119"/>
        <v>19.426176000000002</v>
      </c>
      <c r="G116" s="634">
        <f t="shared" ref="G116:G117" si="124">ROUND(SUM(E116:F116),2)</f>
        <v>100.07</v>
      </c>
      <c r="H116" s="654">
        <v>1</v>
      </c>
      <c r="I116" s="633">
        <v>3.36</v>
      </c>
      <c r="J116" s="653">
        <v>20</v>
      </c>
      <c r="K116" s="653">
        <f t="shared" si="121"/>
        <v>106.18</v>
      </c>
      <c r="L116" s="633">
        <f t="shared" si="122"/>
        <v>25.578762000000001</v>
      </c>
      <c r="M116" s="634">
        <f t="shared" si="123"/>
        <v>131.76</v>
      </c>
      <c r="N116" s="654"/>
      <c r="O116" s="633"/>
      <c r="P116" s="653"/>
      <c r="Q116" s="653"/>
      <c r="R116" s="633"/>
      <c r="S116" s="634"/>
    </row>
    <row r="117" spans="1:19" ht="15.75" thickBot="1" x14ac:dyDescent="0.3">
      <c r="A117" s="666" t="s">
        <v>19</v>
      </c>
      <c r="B117" s="675">
        <f>80/176</f>
        <v>0.45454545454545453</v>
      </c>
      <c r="C117" s="631">
        <v>3.36</v>
      </c>
      <c r="D117" s="631">
        <v>30</v>
      </c>
      <c r="E117" s="653">
        <f t="shared" si="118"/>
        <v>80.64</v>
      </c>
      <c r="F117" s="633">
        <f t="shared" si="119"/>
        <v>19.426176000000002</v>
      </c>
      <c r="G117" s="634">
        <f t="shared" si="124"/>
        <v>100.07</v>
      </c>
      <c r="H117" s="658">
        <f>64/158</f>
        <v>0.4050632911392405</v>
      </c>
      <c r="I117" s="632">
        <v>3.36</v>
      </c>
      <c r="J117" s="636">
        <v>20</v>
      </c>
      <c r="K117" s="636">
        <f t="shared" si="121"/>
        <v>43.01</v>
      </c>
      <c r="L117" s="632">
        <f t="shared" si="122"/>
        <v>10.361108999999999</v>
      </c>
      <c r="M117" s="637">
        <f t="shared" si="123"/>
        <v>53.37</v>
      </c>
      <c r="N117" s="635"/>
      <c r="O117" s="632"/>
      <c r="P117" s="636"/>
      <c r="Q117" s="636"/>
      <c r="R117" s="632"/>
      <c r="S117" s="637"/>
    </row>
    <row r="118" spans="1:19" ht="27" customHeight="1" thickBot="1" x14ac:dyDescent="0.3">
      <c r="A118" s="668" t="s">
        <v>696</v>
      </c>
      <c r="B118" s="661">
        <f>B119+B125</f>
        <v>8.3652499999999996</v>
      </c>
      <c r="C118" s="659"/>
      <c r="D118" s="659"/>
      <c r="E118" s="659">
        <f>E119+E125</f>
        <v>3705.1499999999996</v>
      </c>
      <c r="F118" s="659">
        <f t="shared" ref="F118:G118" si="125">F119+F125</f>
        <v>892.57063500000004</v>
      </c>
      <c r="G118" s="659">
        <f t="shared" si="125"/>
        <v>4597.7300000000005</v>
      </c>
      <c r="H118" s="661">
        <f>H119+H125</f>
        <v>9.7594936708860764</v>
      </c>
      <c r="I118" s="659"/>
      <c r="J118" s="659"/>
      <c r="K118" s="659">
        <f>K119+K125</f>
        <v>2858.51</v>
      </c>
      <c r="L118" s="659">
        <f t="shared" ref="L118:M118" si="126">L119+L125</f>
        <v>688.61505899999997</v>
      </c>
      <c r="M118" s="659">
        <f t="shared" si="126"/>
        <v>3547.1200000000003</v>
      </c>
      <c r="N118" s="661"/>
      <c r="O118" s="659"/>
      <c r="P118" s="659"/>
      <c r="Q118" s="659"/>
      <c r="R118" s="659"/>
      <c r="S118" s="662"/>
    </row>
    <row r="119" spans="1:19" ht="25.5" x14ac:dyDescent="0.25">
      <c r="A119" s="663" t="s">
        <v>676</v>
      </c>
      <c r="B119" s="625">
        <f>SUM(B120:B124)</f>
        <v>4.5468499999999992</v>
      </c>
      <c r="C119" s="626"/>
      <c r="D119" s="626"/>
      <c r="E119" s="626">
        <f>SUM(E120:E124)</f>
        <v>2290.8799999999997</v>
      </c>
      <c r="F119" s="626">
        <f t="shared" ref="F119:G119" si="127">SUM(F120:F124)</f>
        <v>551.87299199999995</v>
      </c>
      <c r="G119" s="626">
        <f t="shared" si="127"/>
        <v>2842.76</v>
      </c>
      <c r="H119" s="625">
        <f>SUM(H120:H124)</f>
        <v>5.2531645569620249</v>
      </c>
      <c r="I119" s="626"/>
      <c r="J119" s="626"/>
      <c r="K119" s="626">
        <f>SUM(K120:K124)</f>
        <v>1735.1799999999998</v>
      </c>
      <c r="L119" s="626">
        <f t="shared" ref="L119:M119" si="128">SUM(L120:L124)</f>
        <v>418.004862</v>
      </c>
      <c r="M119" s="626">
        <f t="shared" si="128"/>
        <v>2153.1800000000003</v>
      </c>
      <c r="N119" s="625"/>
      <c r="O119" s="626"/>
      <c r="P119" s="626"/>
      <c r="Q119" s="626"/>
      <c r="R119" s="626"/>
      <c r="S119" s="627"/>
    </row>
    <row r="120" spans="1:19" x14ac:dyDescent="0.25">
      <c r="A120" s="648" t="s">
        <v>697</v>
      </c>
      <c r="B120" s="694">
        <v>1.0001899999999999</v>
      </c>
      <c r="C120" s="650">
        <v>2460</v>
      </c>
      <c r="D120" s="650">
        <v>30</v>
      </c>
      <c r="E120" s="633">
        <f>ROUND(B120*C120*0.3,2)</f>
        <v>738.14</v>
      </c>
      <c r="F120" s="633">
        <f t="shared" ref="F120:F124" si="129">E120*0.2409</f>
        <v>177.817926</v>
      </c>
      <c r="G120" s="634">
        <f t="shared" ref="G120:G124" si="130">ROUND(SUM(E120:F120),2)</f>
        <v>915.96</v>
      </c>
      <c r="H120" s="654">
        <v>1</v>
      </c>
      <c r="I120" s="633">
        <v>2460</v>
      </c>
      <c r="J120" s="653">
        <v>20</v>
      </c>
      <c r="K120" s="653">
        <f>ROUND(H120*I120*0.2,2)</f>
        <v>492</v>
      </c>
      <c r="L120" s="633">
        <f t="shared" ref="L120:L129" si="131">K120*0.2409</f>
        <v>118.5228</v>
      </c>
      <c r="M120" s="634">
        <f t="shared" ref="M120:M124" si="132">ROUND(SUM(K120:L120),2)</f>
        <v>610.52</v>
      </c>
      <c r="N120" s="654"/>
      <c r="O120" s="633"/>
      <c r="P120" s="653"/>
      <c r="Q120" s="653"/>
      <c r="R120" s="633"/>
      <c r="S120" s="634"/>
    </row>
    <row r="121" spans="1:19" x14ac:dyDescent="0.25">
      <c r="A121" s="648" t="s">
        <v>698</v>
      </c>
      <c r="B121" s="675">
        <v>0.77246999999999999</v>
      </c>
      <c r="C121" s="650">
        <v>1536.98</v>
      </c>
      <c r="D121" s="650">
        <v>30</v>
      </c>
      <c r="E121" s="633">
        <f>ROUND(B121*C121*0.3,2)</f>
        <v>356.18</v>
      </c>
      <c r="F121" s="633">
        <f t="shared" si="129"/>
        <v>85.803762000000006</v>
      </c>
      <c r="G121" s="634">
        <f t="shared" si="130"/>
        <v>441.98</v>
      </c>
      <c r="H121" s="654">
        <v>1</v>
      </c>
      <c r="I121" s="633">
        <v>1536.98</v>
      </c>
      <c r="J121" s="653">
        <v>20</v>
      </c>
      <c r="K121" s="653">
        <f>ROUND(H121*I121*0.2,2)</f>
        <v>307.39999999999998</v>
      </c>
      <c r="L121" s="633">
        <f t="shared" si="131"/>
        <v>74.052659999999989</v>
      </c>
      <c r="M121" s="634">
        <f t="shared" si="132"/>
        <v>381.45</v>
      </c>
      <c r="N121" s="654"/>
      <c r="O121" s="633"/>
      <c r="P121" s="653"/>
      <c r="Q121" s="653"/>
      <c r="R121" s="633"/>
      <c r="S121" s="634"/>
    </row>
    <row r="122" spans="1:19" x14ac:dyDescent="0.25">
      <c r="A122" s="648" t="s">
        <v>699</v>
      </c>
      <c r="B122" s="694">
        <v>1.0005999999999999</v>
      </c>
      <c r="C122" s="650">
        <v>1430</v>
      </c>
      <c r="D122" s="650">
        <v>30</v>
      </c>
      <c r="E122" s="633">
        <f>ROUND(B122*C122*0.3,2)</f>
        <v>429.26</v>
      </c>
      <c r="F122" s="633">
        <f t="shared" si="129"/>
        <v>103.408734</v>
      </c>
      <c r="G122" s="634">
        <f t="shared" si="130"/>
        <v>532.66999999999996</v>
      </c>
      <c r="H122" s="695">
        <f>198/158</f>
        <v>1.2531645569620253</v>
      </c>
      <c r="I122" s="633">
        <v>1451.45</v>
      </c>
      <c r="J122" s="653">
        <v>20</v>
      </c>
      <c r="K122" s="653">
        <f>ROUND(H122*I122*0.2,2)</f>
        <v>363.78</v>
      </c>
      <c r="L122" s="633">
        <f t="shared" si="131"/>
        <v>87.634602000000001</v>
      </c>
      <c r="M122" s="634">
        <f t="shared" si="132"/>
        <v>451.41</v>
      </c>
      <c r="N122" s="654"/>
      <c r="O122" s="633"/>
      <c r="P122" s="653"/>
      <c r="Q122" s="653"/>
      <c r="R122" s="633"/>
      <c r="S122" s="634"/>
    </row>
    <row r="123" spans="1:19" x14ac:dyDescent="0.25">
      <c r="A123" s="648" t="s">
        <v>699</v>
      </c>
      <c r="B123" s="694">
        <v>1.0003899999999999</v>
      </c>
      <c r="C123" s="650">
        <v>1451.45</v>
      </c>
      <c r="D123" s="650">
        <v>30</v>
      </c>
      <c r="E123" s="633">
        <f>ROUND(B123*C123*0.3,2)</f>
        <v>435.6</v>
      </c>
      <c r="F123" s="633">
        <f t="shared" si="129"/>
        <v>104.93604000000001</v>
      </c>
      <c r="G123" s="634">
        <f t="shared" si="130"/>
        <v>540.54</v>
      </c>
      <c r="H123" s="654">
        <v>1</v>
      </c>
      <c r="I123" s="633">
        <v>1430</v>
      </c>
      <c r="J123" s="653">
        <v>20</v>
      </c>
      <c r="K123" s="653">
        <f>ROUND(H123*I123*0.2,2)</f>
        <v>286</v>
      </c>
      <c r="L123" s="633">
        <f t="shared" si="131"/>
        <v>68.897400000000005</v>
      </c>
      <c r="M123" s="634">
        <f t="shared" si="132"/>
        <v>354.9</v>
      </c>
      <c r="N123" s="654"/>
      <c r="O123" s="633"/>
      <c r="P123" s="653"/>
      <c r="Q123" s="653"/>
      <c r="R123" s="633"/>
      <c r="S123" s="634"/>
    </row>
    <row r="124" spans="1:19" ht="15.75" thickBot="1" x14ac:dyDescent="0.3">
      <c r="A124" s="666" t="s">
        <v>700</v>
      </c>
      <c r="B124" s="630">
        <v>0.7732</v>
      </c>
      <c r="C124" s="631">
        <v>1430</v>
      </c>
      <c r="D124" s="631">
        <v>30</v>
      </c>
      <c r="E124" s="633">
        <f>ROUND(B124*C124*0.3,2)</f>
        <v>331.7</v>
      </c>
      <c r="F124" s="633">
        <f t="shared" si="129"/>
        <v>79.906530000000004</v>
      </c>
      <c r="G124" s="634">
        <f t="shared" si="130"/>
        <v>411.61</v>
      </c>
      <c r="H124" s="635">
        <v>1</v>
      </c>
      <c r="I124" s="632">
        <v>1430</v>
      </c>
      <c r="J124" s="636">
        <v>20</v>
      </c>
      <c r="K124" s="636">
        <f>ROUND(H124*I124*0.2,2)</f>
        <v>286</v>
      </c>
      <c r="L124" s="632">
        <f t="shared" si="131"/>
        <v>68.897400000000005</v>
      </c>
      <c r="M124" s="637">
        <f t="shared" si="132"/>
        <v>354.9</v>
      </c>
      <c r="N124" s="635"/>
      <c r="O124" s="632"/>
      <c r="P124" s="636"/>
      <c r="Q124" s="636"/>
      <c r="R124" s="632"/>
      <c r="S124" s="637"/>
    </row>
    <row r="125" spans="1:19" ht="38.25" x14ac:dyDescent="0.25">
      <c r="A125" s="663" t="s">
        <v>12</v>
      </c>
      <c r="B125" s="625">
        <f>SUM(B126:B129)</f>
        <v>3.8184</v>
      </c>
      <c r="C125" s="626"/>
      <c r="D125" s="626"/>
      <c r="E125" s="626">
        <f>SUM(E126:E129)</f>
        <v>1414.27</v>
      </c>
      <c r="F125" s="626">
        <f t="shared" ref="F125:G125" si="133">SUM(F126:F129)</f>
        <v>340.69764300000003</v>
      </c>
      <c r="G125" s="626">
        <f t="shared" si="133"/>
        <v>1754.97</v>
      </c>
      <c r="H125" s="625">
        <f>SUM(H126:H129)</f>
        <v>4.5063291139240507</v>
      </c>
      <c r="I125" s="626"/>
      <c r="J125" s="626"/>
      <c r="K125" s="626">
        <f>SUM(K126:K129)</f>
        <v>1123.3300000000002</v>
      </c>
      <c r="L125" s="626">
        <f t="shared" ref="L125:M125" si="134">SUM(L126:L129)</f>
        <v>270.61019699999997</v>
      </c>
      <c r="M125" s="626">
        <f t="shared" si="134"/>
        <v>1393.94</v>
      </c>
      <c r="N125" s="625"/>
      <c r="O125" s="626"/>
      <c r="P125" s="626"/>
      <c r="Q125" s="626"/>
      <c r="R125" s="626"/>
      <c r="S125" s="627"/>
    </row>
    <row r="126" spans="1:19" x14ac:dyDescent="0.25">
      <c r="A126" s="648" t="s">
        <v>701</v>
      </c>
      <c r="B126" s="694">
        <v>1.00075</v>
      </c>
      <c r="C126" s="650">
        <v>1081.58</v>
      </c>
      <c r="D126" s="650">
        <v>30</v>
      </c>
      <c r="E126" s="633">
        <f>ROUND(B126*C126*0.3,2)</f>
        <v>324.72000000000003</v>
      </c>
      <c r="F126" s="633">
        <f t="shared" ref="F126:F129" si="135">E126*0.2409</f>
        <v>78.225048000000001</v>
      </c>
      <c r="G126" s="634">
        <f t="shared" ref="G126:G129" si="136">ROUND(SUM(E126:F126),2)</f>
        <v>402.95</v>
      </c>
      <c r="H126" s="654">
        <v>1</v>
      </c>
      <c r="I126" s="633">
        <v>1081.58</v>
      </c>
      <c r="J126" s="653">
        <v>20</v>
      </c>
      <c r="K126" s="653">
        <f>ROUND(H126*I126*0.2,2)</f>
        <v>216.32</v>
      </c>
      <c r="L126" s="633">
        <f t="shared" si="131"/>
        <v>52.111488000000001</v>
      </c>
      <c r="M126" s="634">
        <f t="shared" ref="M126:M129" si="137">ROUND(SUM(K126:L126),2)</f>
        <v>268.43</v>
      </c>
      <c r="N126" s="654"/>
      <c r="O126" s="633"/>
      <c r="P126" s="653"/>
      <c r="Q126" s="653"/>
      <c r="R126" s="633"/>
      <c r="S126" s="634"/>
    </row>
    <row r="127" spans="1:19" x14ac:dyDescent="0.25">
      <c r="A127" s="648" t="s">
        <v>702</v>
      </c>
      <c r="B127" s="675">
        <v>0.90880000000000005</v>
      </c>
      <c r="C127" s="650">
        <v>1375</v>
      </c>
      <c r="D127" s="650">
        <v>30</v>
      </c>
      <c r="E127" s="633">
        <f>ROUND(B127*C127*0.3,2)</f>
        <v>374.88</v>
      </c>
      <c r="F127" s="633">
        <f t="shared" si="135"/>
        <v>90.308592000000004</v>
      </c>
      <c r="G127" s="634">
        <f t="shared" si="136"/>
        <v>465.19</v>
      </c>
      <c r="H127" s="652">
        <f>198/158</f>
        <v>1.2531645569620253</v>
      </c>
      <c r="I127" s="633">
        <v>1375</v>
      </c>
      <c r="J127" s="653">
        <v>20</v>
      </c>
      <c r="K127" s="653">
        <f>ROUND(H127*I127*0.2,2)</f>
        <v>344.62</v>
      </c>
      <c r="L127" s="633">
        <f t="shared" si="131"/>
        <v>83.018957999999998</v>
      </c>
      <c r="M127" s="634">
        <f t="shared" si="137"/>
        <v>427.64</v>
      </c>
      <c r="N127" s="654"/>
      <c r="O127" s="633"/>
      <c r="P127" s="653"/>
      <c r="Q127" s="653"/>
      <c r="R127" s="633"/>
      <c r="S127" s="634"/>
    </row>
    <row r="128" spans="1:19" x14ac:dyDescent="0.25">
      <c r="A128" s="648" t="s">
        <v>703</v>
      </c>
      <c r="B128" s="694">
        <v>0.99987000000000004</v>
      </c>
      <c r="C128" s="650">
        <v>1248</v>
      </c>
      <c r="D128" s="650">
        <v>30</v>
      </c>
      <c r="E128" s="633">
        <f>ROUND(B128*C128*0.3,2)</f>
        <v>374.35</v>
      </c>
      <c r="F128" s="633">
        <f t="shared" si="135"/>
        <v>90.180915000000013</v>
      </c>
      <c r="G128" s="634">
        <f t="shared" si="136"/>
        <v>464.53</v>
      </c>
      <c r="H128" s="654">
        <v>1</v>
      </c>
      <c r="I128" s="633">
        <v>1248</v>
      </c>
      <c r="J128" s="653">
        <v>20</v>
      </c>
      <c r="K128" s="653">
        <f>ROUND(H128*I128*0.2,2)</f>
        <v>249.6</v>
      </c>
      <c r="L128" s="633">
        <f t="shared" si="131"/>
        <v>60.128639999999997</v>
      </c>
      <c r="M128" s="634">
        <f t="shared" si="137"/>
        <v>309.73</v>
      </c>
      <c r="N128" s="654"/>
      <c r="O128" s="633"/>
      <c r="P128" s="653"/>
      <c r="Q128" s="653"/>
      <c r="R128" s="633"/>
      <c r="S128" s="634"/>
    </row>
    <row r="129" spans="1:19" ht="15.75" thickBot="1" x14ac:dyDescent="0.3">
      <c r="A129" s="666" t="s">
        <v>704</v>
      </c>
      <c r="B129" s="696">
        <v>0.90898000000000001</v>
      </c>
      <c r="C129" s="631">
        <v>1248</v>
      </c>
      <c r="D129" s="631">
        <v>30</v>
      </c>
      <c r="E129" s="633">
        <f>ROUND(B129*C129*0.3,2)</f>
        <v>340.32</v>
      </c>
      <c r="F129" s="633">
        <f t="shared" si="135"/>
        <v>81.983087999999995</v>
      </c>
      <c r="G129" s="634">
        <f t="shared" si="136"/>
        <v>422.3</v>
      </c>
      <c r="H129" s="658">
        <f>198/158</f>
        <v>1.2531645569620253</v>
      </c>
      <c r="I129" s="632">
        <v>1248</v>
      </c>
      <c r="J129" s="636">
        <v>20</v>
      </c>
      <c r="K129" s="636">
        <f>ROUND(H129*I129*0.2,2)</f>
        <v>312.79000000000002</v>
      </c>
      <c r="L129" s="632">
        <f t="shared" si="131"/>
        <v>75.351111000000003</v>
      </c>
      <c r="M129" s="637">
        <f t="shared" si="137"/>
        <v>388.14</v>
      </c>
      <c r="N129" s="635"/>
      <c r="O129" s="632"/>
      <c r="P129" s="636"/>
      <c r="Q129" s="636"/>
      <c r="R129" s="632"/>
      <c r="S129" s="637"/>
    </row>
    <row r="130" spans="1:19" ht="15.75" thickBot="1" x14ac:dyDescent="0.3">
      <c r="A130" s="668" t="s">
        <v>705</v>
      </c>
      <c r="B130" s="661">
        <f>B131</f>
        <v>0</v>
      </c>
      <c r="C130" s="659"/>
      <c r="D130" s="659"/>
      <c r="E130" s="659">
        <f>E131</f>
        <v>0</v>
      </c>
      <c r="F130" s="659">
        <f t="shared" ref="F130:G131" si="138">F131</f>
        <v>0</v>
      </c>
      <c r="G130" s="659">
        <f t="shared" si="138"/>
        <v>0</v>
      </c>
      <c r="H130" s="661">
        <f>H131</f>
        <v>3.7974683544303799E-2</v>
      </c>
      <c r="I130" s="659"/>
      <c r="J130" s="659"/>
      <c r="K130" s="659">
        <f>K131</f>
        <v>6.89</v>
      </c>
      <c r="L130" s="659">
        <f t="shared" ref="L130:M131" si="139">L131</f>
        <v>1.6598009999999999</v>
      </c>
      <c r="M130" s="659">
        <f t="shared" si="139"/>
        <v>8.5500000000000007</v>
      </c>
      <c r="N130" s="661"/>
      <c r="O130" s="659"/>
      <c r="P130" s="659"/>
      <c r="Q130" s="659"/>
      <c r="R130" s="659"/>
      <c r="S130" s="662"/>
    </row>
    <row r="131" spans="1:19" ht="38.25" x14ac:dyDescent="0.25">
      <c r="A131" s="663" t="s">
        <v>12</v>
      </c>
      <c r="B131" s="625">
        <f>B132</f>
        <v>0</v>
      </c>
      <c r="C131" s="626"/>
      <c r="D131" s="626"/>
      <c r="E131" s="626">
        <f>E132</f>
        <v>0</v>
      </c>
      <c r="F131" s="626">
        <f t="shared" si="138"/>
        <v>0</v>
      </c>
      <c r="G131" s="626">
        <f t="shared" si="138"/>
        <v>0</v>
      </c>
      <c r="H131" s="625">
        <f>H132</f>
        <v>3.7974683544303799E-2</v>
      </c>
      <c r="I131" s="626"/>
      <c r="J131" s="626"/>
      <c r="K131" s="626">
        <f>K132</f>
        <v>6.89</v>
      </c>
      <c r="L131" s="626">
        <f t="shared" si="139"/>
        <v>1.6598009999999999</v>
      </c>
      <c r="M131" s="626">
        <f t="shared" si="139"/>
        <v>8.5500000000000007</v>
      </c>
      <c r="N131" s="625"/>
      <c r="O131" s="626"/>
      <c r="P131" s="626"/>
      <c r="Q131" s="626"/>
      <c r="R131" s="626"/>
      <c r="S131" s="627"/>
    </row>
    <row r="132" spans="1:19" ht="15.75" thickBot="1" x14ac:dyDescent="0.3">
      <c r="A132" s="666" t="s">
        <v>688</v>
      </c>
      <c r="B132" s="656"/>
      <c r="C132" s="631"/>
      <c r="D132" s="631"/>
      <c r="E132" s="631"/>
      <c r="F132" s="631"/>
      <c r="G132" s="657"/>
      <c r="H132" s="658">
        <f>6/158</f>
        <v>3.7974683544303799E-2</v>
      </c>
      <c r="I132" s="632">
        <v>5.74</v>
      </c>
      <c r="J132" s="636">
        <v>20</v>
      </c>
      <c r="K132" s="636">
        <f t="shared" ref="K132" si="140">ROUND(I132*158*H132*0.2,2)</f>
        <v>6.89</v>
      </c>
      <c r="L132" s="632">
        <f t="shared" ref="L132" si="141">K132*0.2409</f>
        <v>1.6598009999999999</v>
      </c>
      <c r="M132" s="637">
        <f t="shared" ref="M132" si="142">ROUND(SUM(K132:L132),2)</f>
        <v>8.5500000000000007</v>
      </c>
      <c r="N132" s="635"/>
      <c r="O132" s="632"/>
      <c r="P132" s="636"/>
      <c r="Q132" s="636"/>
      <c r="R132" s="632"/>
      <c r="S132" s="637"/>
    </row>
    <row r="133" spans="1:19" ht="15.75" thickBot="1" x14ac:dyDescent="0.3">
      <c r="A133" s="682" t="s">
        <v>706</v>
      </c>
      <c r="B133" s="661">
        <f>B134</f>
        <v>0</v>
      </c>
      <c r="C133" s="659"/>
      <c r="D133" s="659"/>
      <c r="E133" s="659">
        <f>E134</f>
        <v>0</v>
      </c>
      <c r="F133" s="659">
        <f t="shared" ref="F133:G133" si="143">F134</f>
        <v>0</v>
      </c>
      <c r="G133" s="659">
        <f t="shared" si="143"/>
        <v>0</v>
      </c>
      <c r="H133" s="661">
        <f>H134</f>
        <v>0.60759493670886078</v>
      </c>
      <c r="I133" s="659"/>
      <c r="J133" s="659"/>
      <c r="K133" s="659">
        <f>K134</f>
        <v>150.91</v>
      </c>
      <c r="L133" s="659">
        <f t="shared" ref="L133:M133" si="144">L134</f>
        <v>36.354219000000001</v>
      </c>
      <c r="M133" s="659">
        <f t="shared" si="144"/>
        <v>187.26999999999998</v>
      </c>
      <c r="N133" s="661"/>
      <c r="O133" s="659"/>
      <c r="P133" s="659"/>
      <c r="Q133" s="659"/>
      <c r="R133" s="659"/>
      <c r="S133" s="662"/>
    </row>
    <row r="134" spans="1:19" ht="25.5" x14ac:dyDescent="0.25">
      <c r="A134" s="663" t="s">
        <v>676</v>
      </c>
      <c r="B134" s="625">
        <f>SUM(B135:B136)</f>
        <v>0</v>
      </c>
      <c r="C134" s="626"/>
      <c r="D134" s="626"/>
      <c r="E134" s="626">
        <f>SUM(E135:E136)</f>
        <v>0</v>
      </c>
      <c r="F134" s="626">
        <f t="shared" ref="F134:G134" si="145">SUM(F135:F136)</f>
        <v>0</v>
      </c>
      <c r="G134" s="626">
        <f t="shared" si="145"/>
        <v>0</v>
      </c>
      <c r="H134" s="625">
        <f>SUM(H135:H136)</f>
        <v>0.60759493670886078</v>
      </c>
      <c r="I134" s="626"/>
      <c r="J134" s="626"/>
      <c r="K134" s="626">
        <f>SUM(K135:K136)</f>
        <v>150.91</v>
      </c>
      <c r="L134" s="626">
        <f t="shared" ref="L134:M134" si="146">SUM(L135:L136)</f>
        <v>36.354219000000001</v>
      </c>
      <c r="M134" s="626">
        <f t="shared" si="146"/>
        <v>187.26999999999998</v>
      </c>
      <c r="N134" s="625"/>
      <c r="O134" s="626"/>
      <c r="P134" s="626"/>
      <c r="Q134" s="626"/>
      <c r="R134" s="626"/>
      <c r="S134" s="627"/>
    </row>
    <row r="135" spans="1:19" x14ac:dyDescent="0.25">
      <c r="A135" s="648" t="s">
        <v>684</v>
      </c>
      <c r="B135" s="649"/>
      <c r="C135" s="650"/>
      <c r="D135" s="650"/>
      <c r="E135" s="650"/>
      <c r="F135" s="650"/>
      <c r="G135" s="651"/>
      <c r="H135" s="652">
        <f>72/158</f>
        <v>0.45569620253164556</v>
      </c>
      <c r="I135" s="633">
        <v>7.86</v>
      </c>
      <c r="J135" s="653">
        <v>20</v>
      </c>
      <c r="K135" s="653">
        <f t="shared" ref="K135:K136" si="147">ROUND(I135*158*H135*0.2,2)</f>
        <v>113.18</v>
      </c>
      <c r="L135" s="633">
        <f t="shared" ref="L135:L136" si="148">K135*0.2409</f>
        <v>27.265062</v>
      </c>
      <c r="M135" s="634">
        <f t="shared" ref="M135:M136" si="149">ROUND(SUM(K135:L135),2)</f>
        <v>140.44999999999999</v>
      </c>
      <c r="N135" s="654"/>
      <c r="O135" s="633"/>
      <c r="P135" s="653"/>
      <c r="Q135" s="653"/>
      <c r="R135" s="633"/>
      <c r="S135" s="634"/>
    </row>
    <row r="136" spans="1:19" ht="15.75" thickBot="1" x14ac:dyDescent="0.3">
      <c r="A136" s="666" t="s">
        <v>684</v>
      </c>
      <c r="B136" s="656"/>
      <c r="C136" s="631"/>
      <c r="D136" s="631"/>
      <c r="E136" s="631"/>
      <c r="F136" s="631"/>
      <c r="G136" s="657"/>
      <c r="H136" s="658">
        <f>24/158</f>
        <v>0.15189873417721519</v>
      </c>
      <c r="I136" s="632">
        <v>7.86</v>
      </c>
      <c r="J136" s="636">
        <v>20</v>
      </c>
      <c r="K136" s="636">
        <f t="shared" si="147"/>
        <v>37.729999999999997</v>
      </c>
      <c r="L136" s="632">
        <f t="shared" si="148"/>
        <v>9.0891570000000002</v>
      </c>
      <c r="M136" s="637">
        <f t="shared" si="149"/>
        <v>46.82</v>
      </c>
      <c r="N136" s="635"/>
      <c r="O136" s="632"/>
      <c r="P136" s="636"/>
      <c r="Q136" s="636"/>
      <c r="R136" s="632"/>
      <c r="S136" s="637"/>
    </row>
    <row r="137" spans="1:19" ht="15.75" thickBot="1" x14ac:dyDescent="0.3">
      <c r="A137" s="668" t="s">
        <v>707</v>
      </c>
      <c r="B137" s="661">
        <f>B138</f>
        <v>12.55681818181818</v>
      </c>
      <c r="C137" s="659"/>
      <c r="D137" s="659"/>
      <c r="E137" s="659">
        <f>E138</f>
        <v>3688.6300000000006</v>
      </c>
      <c r="F137" s="659">
        <f t="shared" ref="F137:G137" si="150">F138</f>
        <v>888.59096699999975</v>
      </c>
      <c r="G137" s="659">
        <f t="shared" si="150"/>
        <v>4577.2100000000019</v>
      </c>
      <c r="H137" s="661">
        <f>H138</f>
        <v>45.028481012658233</v>
      </c>
      <c r="I137" s="659"/>
      <c r="J137" s="659"/>
      <c r="K137" s="659">
        <f>K138</f>
        <v>7647.0300000000016</v>
      </c>
      <c r="L137" s="659">
        <f t="shared" ref="L137:M137" si="151">L138</f>
        <v>1842.169527</v>
      </c>
      <c r="M137" s="659">
        <f t="shared" si="151"/>
        <v>9489.18</v>
      </c>
      <c r="N137" s="661"/>
      <c r="O137" s="659"/>
      <c r="P137" s="659"/>
      <c r="Q137" s="659"/>
      <c r="R137" s="659"/>
      <c r="S137" s="662"/>
    </row>
    <row r="138" spans="1:19" ht="25.5" x14ac:dyDescent="0.25">
      <c r="A138" s="663" t="s">
        <v>11</v>
      </c>
      <c r="B138" s="625">
        <f>SUM(B139:B199)</f>
        <v>12.55681818181818</v>
      </c>
      <c r="C138" s="626"/>
      <c r="D138" s="626"/>
      <c r="E138" s="626">
        <f>SUM(E139:E199)</f>
        <v>3688.6300000000006</v>
      </c>
      <c r="F138" s="626">
        <f t="shared" ref="F138:G138" si="152">SUM(F139:F199)</f>
        <v>888.59096699999975</v>
      </c>
      <c r="G138" s="626">
        <f t="shared" si="152"/>
        <v>4577.2100000000019</v>
      </c>
      <c r="H138" s="625">
        <f>SUM(H139:H199)</f>
        <v>45.028481012658233</v>
      </c>
      <c r="I138" s="626"/>
      <c r="J138" s="626"/>
      <c r="K138" s="626">
        <f>SUM(K139:K199)</f>
        <v>7647.0300000000016</v>
      </c>
      <c r="L138" s="626">
        <f t="shared" ref="L138:M138" si="153">SUM(L139:L199)</f>
        <v>1842.169527</v>
      </c>
      <c r="M138" s="626">
        <f t="shared" si="153"/>
        <v>9489.18</v>
      </c>
      <c r="N138" s="625"/>
      <c r="O138" s="626"/>
      <c r="P138" s="626"/>
      <c r="Q138" s="626"/>
      <c r="R138" s="626"/>
      <c r="S138" s="627"/>
    </row>
    <row r="139" spans="1:19" x14ac:dyDescent="0.25">
      <c r="A139" s="648" t="s">
        <v>708</v>
      </c>
      <c r="B139" s="675">
        <f>108/176</f>
        <v>0.61363636363636365</v>
      </c>
      <c r="C139" s="650">
        <v>5.36</v>
      </c>
      <c r="D139" s="650">
        <v>30</v>
      </c>
      <c r="E139" s="653">
        <f t="shared" ref="E139:E141" si="154">ROUND(C139*176*B139*0.3,2)</f>
        <v>173.66</v>
      </c>
      <c r="F139" s="633">
        <f t="shared" ref="F139:F141" si="155">E139*0.2409</f>
        <v>41.834693999999999</v>
      </c>
      <c r="G139" s="634">
        <f t="shared" ref="G139:G141" si="156">ROUND(SUM(E139:F139),2)</f>
        <v>215.49</v>
      </c>
      <c r="H139" s="652">
        <v>0.810126582278481</v>
      </c>
      <c r="I139" s="633">
        <v>5.36</v>
      </c>
      <c r="J139" s="653">
        <v>20</v>
      </c>
      <c r="K139" s="653">
        <f t="shared" ref="K139:K199" si="157">ROUND(I139*158*H139*0.2,2)</f>
        <v>137.22</v>
      </c>
      <c r="L139" s="633">
        <f t="shared" ref="L139:L199" si="158">K139*0.2409</f>
        <v>33.056297999999998</v>
      </c>
      <c r="M139" s="634">
        <f t="shared" ref="M139:M199" si="159">ROUND(SUM(K139:L139),2)</f>
        <v>170.28</v>
      </c>
      <c r="N139" s="654"/>
      <c r="O139" s="633"/>
      <c r="P139" s="653"/>
      <c r="Q139" s="653"/>
      <c r="R139" s="633"/>
      <c r="S139" s="634"/>
    </row>
    <row r="140" spans="1:19" x14ac:dyDescent="0.25">
      <c r="A140" s="648" t="s">
        <v>708</v>
      </c>
      <c r="B140" s="675">
        <f>123/176</f>
        <v>0.69886363636363635</v>
      </c>
      <c r="C140" s="650">
        <v>5.36</v>
      </c>
      <c r="D140" s="650">
        <v>30</v>
      </c>
      <c r="E140" s="653">
        <f t="shared" si="154"/>
        <v>197.78</v>
      </c>
      <c r="F140" s="633">
        <f t="shared" si="155"/>
        <v>47.645201999999998</v>
      </c>
      <c r="G140" s="634">
        <f t="shared" si="156"/>
        <v>245.43</v>
      </c>
      <c r="H140" s="652">
        <v>0.43037974683544306</v>
      </c>
      <c r="I140" s="633">
        <v>5.36</v>
      </c>
      <c r="J140" s="653">
        <v>20</v>
      </c>
      <c r="K140" s="653">
        <f t="shared" si="157"/>
        <v>72.900000000000006</v>
      </c>
      <c r="L140" s="633">
        <f t="shared" si="158"/>
        <v>17.561610000000002</v>
      </c>
      <c r="M140" s="634">
        <f t="shared" si="159"/>
        <v>90.46</v>
      </c>
      <c r="N140" s="654"/>
      <c r="O140" s="633"/>
      <c r="P140" s="653"/>
      <c r="Q140" s="653"/>
      <c r="R140" s="633"/>
      <c r="S140" s="634"/>
    </row>
    <row r="141" spans="1:19" x14ac:dyDescent="0.25">
      <c r="A141" s="648" t="s">
        <v>708</v>
      </c>
      <c r="B141" s="675">
        <f>108/176</f>
        <v>0.61363636363636365</v>
      </c>
      <c r="C141" s="650">
        <v>5.36</v>
      </c>
      <c r="D141" s="650">
        <v>30</v>
      </c>
      <c r="E141" s="653">
        <f t="shared" si="154"/>
        <v>173.66</v>
      </c>
      <c r="F141" s="633">
        <f t="shared" si="155"/>
        <v>41.834693999999999</v>
      </c>
      <c r="G141" s="634">
        <f t="shared" si="156"/>
        <v>215.49</v>
      </c>
      <c r="H141" s="652">
        <v>0.48734177215189872</v>
      </c>
      <c r="I141" s="633">
        <v>5.36</v>
      </c>
      <c r="J141" s="653">
        <v>20</v>
      </c>
      <c r="K141" s="653">
        <f t="shared" si="157"/>
        <v>82.54</v>
      </c>
      <c r="L141" s="633">
        <f t="shared" si="158"/>
        <v>19.883886</v>
      </c>
      <c r="M141" s="634">
        <f t="shared" si="159"/>
        <v>102.42</v>
      </c>
      <c r="N141" s="654"/>
      <c r="O141" s="633"/>
      <c r="P141" s="653"/>
      <c r="Q141" s="653"/>
      <c r="R141" s="633"/>
      <c r="S141" s="634"/>
    </row>
    <row r="142" spans="1:19" x14ac:dyDescent="0.25">
      <c r="A142" s="648" t="s">
        <v>709</v>
      </c>
      <c r="B142" s="675"/>
      <c r="C142" s="650"/>
      <c r="D142" s="650"/>
      <c r="E142" s="650"/>
      <c r="F142" s="633"/>
      <c r="G142" s="634"/>
      <c r="H142" s="697">
        <v>1</v>
      </c>
      <c r="I142" s="633">
        <v>6</v>
      </c>
      <c r="J142" s="653">
        <v>20</v>
      </c>
      <c r="K142" s="653">
        <f t="shared" si="157"/>
        <v>189.6</v>
      </c>
      <c r="L142" s="633">
        <f t="shared" si="158"/>
        <v>45.674639999999997</v>
      </c>
      <c r="M142" s="634">
        <f t="shared" si="159"/>
        <v>235.27</v>
      </c>
      <c r="N142" s="654"/>
      <c r="O142" s="633"/>
      <c r="P142" s="653"/>
      <c r="Q142" s="653"/>
      <c r="R142" s="633"/>
      <c r="S142" s="634"/>
    </row>
    <row r="143" spans="1:19" x14ac:dyDescent="0.25">
      <c r="A143" s="648" t="s">
        <v>708</v>
      </c>
      <c r="B143" s="675">
        <f>140/176</f>
        <v>0.79545454545454541</v>
      </c>
      <c r="C143" s="650">
        <v>6</v>
      </c>
      <c r="D143" s="650">
        <v>30</v>
      </c>
      <c r="E143" s="653">
        <f t="shared" ref="E143:E162" si="160">ROUND(C143*176*B143*0.3,2)</f>
        <v>252</v>
      </c>
      <c r="F143" s="633">
        <f t="shared" ref="F143:F166" si="161">E143*0.2409</f>
        <v>60.706800000000001</v>
      </c>
      <c r="G143" s="634">
        <f t="shared" ref="G143:G162" si="162">ROUND(SUM(E143:F143),2)</f>
        <v>312.70999999999998</v>
      </c>
      <c r="H143" s="652">
        <v>0.90506329113924056</v>
      </c>
      <c r="I143" s="633">
        <v>5.36</v>
      </c>
      <c r="J143" s="653">
        <v>20</v>
      </c>
      <c r="K143" s="653">
        <f t="shared" si="157"/>
        <v>153.30000000000001</v>
      </c>
      <c r="L143" s="633">
        <f t="shared" si="158"/>
        <v>36.929970000000004</v>
      </c>
      <c r="M143" s="634">
        <f t="shared" si="159"/>
        <v>190.23</v>
      </c>
      <c r="N143" s="654"/>
      <c r="O143" s="633"/>
      <c r="P143" s="653"/>
      <c r="Q143" s="653"/>
      <c r="R143" s="633"/>
      <c r="S143" s="634"/>
    </row>
    <row r="144" spans="1:19" x14ac:dyDescent="0.25">
      <c r="A144" s="648" t="s">
        <v>708</v>
      </c>
      <c r="B144" s="675">
        <f>80/176</f>
        <v>0.45454545454545453</v>
      </c>
      <c r="C144" s="650">
        <v>5.36</v>
      </c>
      <c r="D144" s="650">
        <v>30</v>
      </c>
      <c r="E144" s="653">
        <f t="shared" si="160"/>
        <v>128.63999999999999</v>
      </c>
      <c r="F144" s="633">
        <f t="shared" si="161"/>
        <v>30.989375999999996</v>
      </c>
      <c r="G144" s="634">
        <f t="shared" si="162"/>
        <v>159.63</v>
      </c>
      <c r="H144" s="652">
        <v>0.96202531645569622</v>
      </c>
      <c r="I144" s="633">
        <v>5.36</v>
      </c>
      <c r="J144" s="653">
        <v>20</v>
      </c>
      <c r="K144" s="653">
        <f t="shared" si="157"/>
        <v>162.94</v>
      </c>
      <c r="L144" s="633">
        <f t="shared" si="158"/>
        <v>39.252246</v>
      </c>
      <c r="M144" s="634">
        <f t="shared" si="159"/>
        <v>202.19</v>
      </c>
      <c r="N144" s="654"/>
      <c r="O144" s="633"/>
      <c r="P144" s="653"/>
      <c r="Q144" s="653"/>
      <c r="R144" s="633"/>
      <c r="S144" s="634"/>
    </row>
    <row r="145" spans="1:19" x14ac:dyDescent="0.25">
      <c r="A145" s="648" t="s">
        <v>708</v>
      </c>
      <c r="B145" s="675">
        <f>142/176</f>
        <v>0.80681818181818177</v>
      </c>
      <c r="C145" s="650">
        <v>5.36</v>
      </c>
      <c r="D145" s="650">
        <v>30</v>
      </c>
      <c r="E145" s="653">
        <f t="shared" si="160"/>
        <v>228.34</v>
      </c>
      <c r="F145" s="633">
        <f t="shared" si="161"/>
        <v>55.007106</v>
      </c>
      <c r="G145" s="634">
        <f t="shared" si="162"/>
        <v>283.35000000000002</v>
      </c>
      <c r="H145" s="652">
        <v>0.92405063291139244</v>
      </c>
      <c r="I145" s="633">
        <v>5.36</v>
      </c>
      <c r="J145" s="653">
        <v>20</v>
      </c>
      <c r="K145" s="653">
        <f t="shared" si="157"/>
        <v>156.51</v>
      </c>
      <c r="L145" s="633">
        <f t="shared" si="158"/>
        <v>37.703258999999996</v>
      </c>
      <c r="M145" s="634">
        <f t="shared" si="159"/>
        <v>194.21</v>
      </c>
      <c r="N145" s="654"/>
      <c r="O145" s="633"/>
      <c r="P145" s="653"/>
      <c r="Q145" s="653"/>
      <c r="R145" s="633"/>
      <c r="S145" s="634"/>
    </row>
    <row r="146" spans="1:19" x14ac:dyDescent="0.25">
      <c r="A146" s="648" t="s">
        <v>708</v>
      </c>
      <c r="B146" s="675">
        <f>64/176</f>
        <v>0.36363636363636365</v>
      </c>
      <c r="C146" s="650">
        <v>5.36</v>
      </c>
      <c r="D146" s="650">
        <v>30</v>
      </c>
      <c r="E146" s="653">
        <f t="shared" si="160"/>
        <v>102.91</v>
      </c>
      <c r="F146" s="633">
        <f t="shared" si="161"/>
        <v>24.791018999999999</v>
      </c>
      <c r="G146" s="634">
        <f t="shared" si="162"/>
        <v>127.7</v>
      </c>
      <c r="H146" s="652">
        <v>0.72151898734177211</v>
      </c>
      <c r="I146" s="633">
        <v>5.36</v>
      </c>
      <c r="J146" s="653">
        <v>20</v>
      </c>
      <c r="K146" s="653">
        <f t="shared" si="157"/>
        <v>122.21</v>
      </c>
      <c r="L146" s="633">
        <f t="shared" si="158"/>
        <v>29.440389</v>
      </c>
      <c r="M146" s="634">
        <f t="shared" si="159"/>
        <v>151.65</v>
      </c>
      <c r="N146" s="654"/>
      <c r="O146" s="633"/>
      <c r="P146" s="653"/>
      <c r="Q146" s="653"/>
      <c r="R146" s="633"/>
      <c r="S146" s="634"/>
    </row>
    <row r="147" spans="1:19" x14ac:dyDescent="0.25">
      <c r="A147" s="648" t="s">
        <v>708</v>
      </c>
      <c r="B147" s="675">
        <f>120/176</f>
        <v>0.68181818181818177</v>
      </c>
      <c r="C147" s="650">
        <v>5.36</v>
      </c>
      <c r="D147" s="650">
        <v>30</v>
      </c>
      <c r="E147" s="653">
        <f t="shared" si="160"/>
        <v>192.96</v>
      </c>
      <c r="F147" s="633">
        <f t="shared" si="161"/>
        <v>46.484064000000004</v>
      </c>
      <c r="G147" s="634">
        <f t="shared" si="162"/>
        <v>239.44</v>
      </c>
      <c r="H147" s="652">
        <v>0.80379746835443033</v>
      </c>
      <c r="I147" s="633">
        <v>5.36</v>
      </c>
      <c r="J147" s="653">
        <v>20</v>
      </c>
      <c r="K147" s="653">
        <f t="shared" si="157"/>
        <v>136.13999999999999</v>
      </c>
      <c r="L147" s="633">
        <f t="shared" si="158"/>
        <v>32.796125999999994</v>
      </c>
      <c r="M147" s="634">
        <f t="shared" si="159"/>
        <v>168.94</v>
      </c>
      <c r="N147" s="654"/>
      <c r="O147" s="633"/>
      <c r="P147" s="653"/>
      <c r="Q147" s="653"/>
      <c r="R147" s="633"/>
      <c r="S147" s="634"/>
    </row>
    <row r="148" spans="1:19" x14ac:dyDescent="0.25">
      <c r="A148" s="648" t="s">
        <v>708</v>
      </c>
      <c r="B148" s="675">
        <f>108/176</f>
        <v>0.61363636363636365</v>
      </c>
      <c r="C148" s="650">
        <v>5.36</v>
      </c>
      <c r="D148" s="650">
        <v>30</v>
      </c>
      <c r="E148" s="653">
        <f t="shared" si="160"/>
        <v>173.66</v>
      </c>
      <c r="F148" s="633">
        <f t="shared" si="161"/>
        <v>41.834693999999999</v>
      </c>
      <c r="G148" s="634">
        <f t="shared" si="162"/>
        <v>215.49</v>
      </c>
      <c r="H148" s="652">
        <v>1.0506329113924051</v>
      </c>
      <c r="I148" s="633">
        <v>5.36</v>
      </c>
      <c r="J148" s="653">
        <v>20</v>
      </c>
      <c r="K148" s="653">
        <f t="shared" si="157"/>
        <v>177.95</v>
      </c>
      <c r="L148" s="633">
        <f t="shared" si="158"/>
        <v>42.868154999999994</v>
      </c>
      <c r="M148" s="634">
        <f t="shared" si="159"/>
        <v>220.82</v>
      </c>
      <c r="N148" s="654"/>
      <c r="O148" s="633"/>
      <c r="P148" s="653"/>
      <c r="Q148" s="653"/>
      <c r="R148" s="633"/>
      <c r="S148" s="634"/>
    </row>
    <row r="149" spans="1:19" x14ac:dyDescent="0.25">
      <c r="A149" s="648" t="s">
        <v>708</v>
      </c>
      <c r="B149" s="675">
        <f>39/176</f>
        <v>0.22159090909090909</v>
      </c>
      <c r="C149" s="650">
        <v>5.36</v>
      </c>
      <c r="D149" s="650">
        <v>30</v>
      </c>
      <c r="E149" s="653">
        <f t="shared" si="160"/>
        <v>62.71</v>
      </c>
      <c r="F149" s="633">
        <f t="shared" si="161"/>
        <v>15.106839000000001</v>
      </c>
      <c r="G149" s="634">
        <f t="shared" si="162"/>
        <v>77.819999999999993</v>
      </c>
      <c r="H149" s="652">
        <v>1.0126582278481013</v>
      </c>
      <c r="I149" s="633">
        <v>5.36</v>
      </c>
      <c r="J149" s="653">
        <v>20</v>
      </c>
      <c r="K149" s="653">
        <f t="shared" si="157"/>
        <v>171.52</v>
      </c>
      <c r="L149" s="633">
        <f t="shared" si="158"/>
        <v>41.319168000000005</v>
      </c>
      <c r="M149" s="634">
        <f t="shared" si="159"/>
        <v>212.84</v>
      </c>
      <c r="N149" s="654"/>
      <c r="O149" s="633"/>
      <c r="P149" s="653"/>
      <c r="Q149" s="653"/>
      <c r="R149" s="633"/>
      <c r="S149" s="634"/>
    </row>
    <row r="150" spans="1:19" x14ac:dyDescent="0.25">
      <c r="A150" s="648" t="s">
        <v>708</v>
      </c>
      <c r="B150" s="675">
        <f>104/176</f>
        <v>0.59090909090909094</v>
      </c>
      <c r="C150" s="650">
        <v>5.36</v>
      </c>
      <c r="D150" s="650">
        <v>30</v>
      </c>
      <c r="E150" s="653">
        <f t="shared" si="160"/>
        <v>167.23</v>
      </c>
      <c r="F150" s="633">
        <f t="shared" si="161"/>
        <v>40.285706999999995</v>
      </c>
      <c r="G150" s="634">
        <f t="shared" si="162"/>
        <v>207.52</v>
      </c>
      <c r="H150" s="652">
        <v>0.93354430379746833</v>
      </c>
      <c r="I150" s="633">
        <v>5.36</v>
      </c>
      <c r="J150" s="653">
        <v>20</v>
      </c>
      <c r="K150" s="653">
        <f t="shared" si="157"/>
        <v>158.12</v>
      </c>
      <c r="L150" s="633">
        <f t="shared" si="158"/>
        <v>38.091107999999998</v>
      </c>
      <c r="M150" s="634">
        <f t="shared" si="159"/>
        <v>196.21</v>
      </c>
      <c r="N150" s="654"/>
      <c r="O150" s="633"/>
      <c r="P150" s="653"/>
      <c r="Q150" s="653"/>
      <c r="R150" s="633"/>
      <c r="S150" s="634"/>
    </row>
    <row r="151" spans="1:19" x14ac:dyDescent="0.25">
      <c r="A151" s="648" t="s">
        <v>708</v>
      </c>
      <c r="B151" s="675">
        <f>27/176</f>
        <v>0.15340909090909091</v>
      </c>
      <c r="C151" s="650">
        <v>6</v>
      </c>
      <c r="D151" s="650">
        <v>30</v>
      </c>
      <c r="E151" s="653">
        <f t="shared" si="160"/>
        <v>48.6</v>
      </c>
      <c r="F151" s="633">
        <f t="shared" si="161"/>
        <v>11.707740000000001</v>
      </c>
      <c r="G151" s="634">
        <f t="shared" si="162"/>
        <v>60.31</v>
      </c>
      <c r="H151" s="652">
        <v>0.45569620253164556</v>
      </c>
      <c r="I151" s="633">
        <v>5.36</v>
      </c>
      <c r="J151" s="653">
        <v>20</v>
      </c>
      <c r="K151" s="653">
        <f t="shared" si="157"/>
        <v>77.180000000000007</v>
      </c>
      <c r="L151" s="633">
        <f t="shared" si="158"/>
        <v>18.592662000000001</v>
      </c>
      <c r="M151" s="634">
        <f t="shared" si="159"/>
        <v>95.77</v>
      </c>
      <c r="N151" s="654"/>
      <c r="O151" s="633"/>
      <c r="P151" s="653"/>
      <c r="Q151" s="653"/>
      <c r="R151" s="633"/>
      <c r="S151" s="634"/>
    </row>
    <row r="152" spans="1:19" x14ac:dyDescent="0.25">
      <c r="A152" s="648" t="s">
        <v>708</v>
      </c>
      <c r="B152" s="675">
        <f>8/176</f>
        <v>4.5454545454545456E-2</v>
      </c>
      <c r="C152" s="650">
        <v>5.36</v>
      </c>
      <c r="D152" s="650">
        <v>30</v>
      </c>
      <c r="E152" s="653">
        <f t="shared" si="160"/>
        <v>12.86</v>
      </c>
      <c r="F152" s="633">
        <f t="shared" si="161"/>
        <v>3.0979739999999998</v>
      </c>
      <c r="G152" s="634">
        <f t="shared" si="162"/>
        <v>15.96</v>
      </c>
      <c r="H152" s="652">
        <v>0.91139240506329111</v>
      </c>
      <c r="I152" s="633">
        <v>5.36</v>
      </c>
      <c r="J152" s="653">
        <v>20</v>
      </c>
      <c r="K152" s="653">
        <f t="shared" si="157"/>
        <v>154.37</v>
      </c>
      <c r="L152" s="633">
        <f t="shared" si="158"/>
        <v>37.187733000000001</v>
      </c>
      <c r="M152" s="634">
        <f t="shared" si="159"/>
        <v>191.56</v>
      </c>
      <c r="N152" s="654"/>
      <c r="O152" s="633"/>
      <c r="P152" s="653"/>
      <c r="Q152" s="653"/>
      <c r="R152" s="633"/>
      <c r="S152" s="634"/>
    </row>
    <row r="153" spans="1:19" x14ac:dyDescent="0.25">
      <c r="A153" s="648" t="s">
        <v>708</v>
      </c>
      <c r="B153" s="675">
        <f>56/176</f>
        <v>0.31818181818181818</v>
      </c>
      <c r="C153" s="650">
        <v>5.36</v>
      </c>
      <c r="D153" s="650">
        <v>30</v>
      </c>
      <c r="E153" s="653">
        <f t="shared" si="160"/>
        <v>90.05</v>
      </c>
      <c r="F153" s="633">
        <f t="shared" si="161"/>
        <v>21.693044999999998</v>
      </c>
      <c r="G153" s="634">
        <f t="shared" si="162"/>
        <v>111.74</v>
      </c>
      <c r="H153" s="652">
        <v>0.80379746835443033</v>
      </c>
      <c r="I153" s="633">
        <v>5.36</v>
      </c>
      <c r="J153" s="653">
        <v>20</v>
      </c>
      <c r="K153" s="653">
        <f t="shared" si="157"/>
        <v>136.13999999999999</v>
      </c>
      <c r="L153" s="633">
        <f t="shared" si="158"/>
        <v>32.796125999999994</v>
      </c>
      <c r="M153" s="634">
        <f t="shared" si="159"/>
        <v>168.94</v>
      </c>
      <c r="N153" s="654"/>
      <c r="O153" s="633"/>
      <c r="P153" s="653"/>
      <c r="Q153" s="653"/>
      <c r="R153" s="633"/>
      <c r="S153" s="634"/>
    </row>
    <row r="154" spans="1:19" x14ac:dyDescent="0.25">
      <c r="A154" s="648" t="s">
        <v>708</v>
      </c>
      <c r="B154" s="675">
        <f>98/176</f>
        <v>0.55681818181818177</v>
      </c>
      <c r="C154" s="650">
        <v>5.36</v>
      </c>
      <c r="D154" s="650">
        <v>30</v>
      </c>
      <c r="E154" s="653">
        <f t="shared" si="160"/>
        <v>157.58000000000001</v>
      </c>
      <c r="F154" s="633">
        <f t="shared" si="161"/>
        <v>37.961022000000007</v>
      </c>
      <c r="G154" s="634">
        <f t="shared" si="162"/>
        <v>195.54</v>
      </c>
      <c r="H154" s="652">
        <v>0.90506329113924056</v>
      </c>
      <c r="I154" s="633">
        <v>5.36</v>
      </c>
      <c r="J154" s="653">
        <v>20</v>
      </c>
      <c r="K154" s="653">
        <f t="shared" si="157"/>
        <v>153.30000000000001</v>
      </c>
      <c r="L154" s="633">
        <f t="shared" si="158"/>
        <v>36.929970000000004</v>
      </c>
      <c r="M154" s="634">
        <f t="shared" si="159"/>
        <v>190.23</v>
      </c>
      <c r="N154" s="654"/>
      <c r="O154" s="633"/>
      <c r="P154" s="653"/>
      <c r="Q154" s="653"/>
      <c r="R154" s="633"/>
      <c r="S154" s="634"/>
    </row>
    <row r="155" spans="1:19" x14ac:dyDescent="0.25">
      <c r="A155" s="648" t="s">
        <v>708</v>
      </c>
      <c r="B155" s="675">
        <f>118/176</f>
        <v>0.67045454545454541</v>
      </c>
      <c r="C155" s="650">
        <v>5.36</v>
      </c>
      <c r="D155" s="650">
        <v>30</v>
      </c>
      <c r="E155" s="653">
        <f t="shared" si="160"/>
        <v>189.74</v>
      </c>
      <c r="F155" s="633">
        <f t="shared" si="161"/>
        <v>45.708366000000005</v>
      </c>
      <c r="G155" s="634">
        <f t="shared" si="162"/>
        <v>235.45</v>
      </c>
      <c r="H155" s="652">
        <v>0.81645569620253167</v>
      </c>
      <c r="I155" s="633">
        <v>5.36</v>
      </c>
      <c r="J155" s="653">
        <v>20</v>
      </c>
      <c r="K155" s="653">
        <f t="shared" si="157"/>
        <v>138.29</v>
      </c>
      <c r="L155" s="633">
        <f t="shared" si="158"/>
        <v>33.314060999999995</v>
      </c>
      <c r="M155" s="634">
        <f t="shared" si="159"/>
        <v>171.6</v>
      </c>
      <c r="N155" s="654"/>
      <c r="O155" s="633"/>
      <c r="P155" s="653"/>
      <c r="Q155" s="653"/>
      <c r="R155" s="633"/>
      <c r="S155" s="634"/>
    </row>
    <row r="156" spans="1:19" x14ac:dyDescent="0.25">
      <c r="A156" s="648" t="s">
        <v>708</v>
      </c>
      <c r="B156" s="675">
        <f>52/176</f>
        <v>0.29545454545454547</v>
      </c>
      <c r="C156" s="650">
        <v>5.36</v>
      </c>
      <c r="D156" s="650">
        <v>30</v>
      </c>
      <c r="E156" s="653">
        <f t="shared" si="160"/>
        <v>83.62</v>
      </c>
      <c r="F156" s="633">
        <f t="shared" si="161"/>
        <v>20.144058000000001</v>
      </c>
      <c r="G156" s="634">
        <f t="shared" si="162"/>
        <v>103.76</v>
      </c>
      <c r="H156" s="652">
        <v>0.32278481012658228</v>
      </c>
      <c r="I156" s="633">
        <v>5.36</v>
      </c>
      <c r="J156" s="653">
        <v>20</v>
      </c>
      <c r="K156" s="653">
        <f t="shared" si="157"/>
        <v>54.67</v>
      </c>
      <c r="L156" s="633">
        <f t="shared" si="158"/>
        <v>13.170003000000001</v>
      </c>
      <c r="M156" s="634">
        <f t="shared" si="159"/>
        <v>67.84</v>
      </c>
      <c r="N156" s="654"/>
      <c r="O156" s="633"/>
      <c r="P156" s="653"/>
      <c r="Q156" s="653"/>
      <c r="R156" s="633"/>
      <c r="S156" s="634"/>
    </row>
    <row r="157" spans="1:19" x14ac:dyDescent="0.25">
      <c r="A157" s="648" t="s">
        <v>708</v>
      </c>
      <c r="B157" s="675">
        <f>100/176</f>
        <v>0.56818181818181823</v>
      </c>
      <c r="C157" s="650">
        <v>5.36</v>
      </c>
      <c r="D157" s="650">
        <v>30</v>
      </c>
      <c r="E157" s="653">
        <f t="shared" si="160"/>
        <v>160.80000000000001</v>
      </c>
      <c r="F157" s="633">
        <f t="shared" si="161"/>
        <v>38.736720000000005</v>
      </c>
      <c r="G157" s="634">
        <f t="shared" si="162"/>
        <v>199.54</v>
      </c>
      <c r="H157" s="652">
        <v>0.93670886075949367</v>
      </c>
      <c r="I157" s="633">
        <v>5.36</v>
      </c>
      <c r="J157" s="653">
        <v>20</v>
      </c>
      <c r="K157" s="653">
        <f t="shared" si="157"/>
        <v>158.66</v>
      </c>
      <c r="L157" s="633">
        <f t="shared" si="158"/>
        <v>38.221193999999997</v>
      </c>
      <c r="M157" s="634">
        <f t="shared" si="159"/>
        <v>196.88</v>
      </c>
      <c r="N157" s="654"/>
      <c r="O157" s="633"/>
      <c r="P157" s="653"/>
      <c r="Q157" s="653"/>
      <c r="R157" s="633"/>
      <c r="S157" s="634"/>
    </row>
    <row r="158" spans="1:19" x14ac:dyDescent="0.25">
      <c r="A158" s="648" t="s">
        <v>708</v>
      </c>
      <c r="B158" s="675">
        <f>116/176</f>
        <v>0.65909090909090906</v>
      </c>
      <c r="C158" s="650">
        <v>5.36</v>
      </c>
      <c r="D158" s="650">
        <v>30</v>
      </c>
      <c r="E158" s="653">
        <f t="shared" si="160"/>
        <v>186.53</v>
      </c>
      <c r="F158" s="633">
        <f t="shared" si="161"/>
        <v>44.935077</v>
      </c>
      <c r="G158" s="634">
        <f t="shared" si="162"/>
        <v>231.47</v>
      </c>
      <c r="H158" s="652">
        <v>0.48734177215189872</v>
      </c>
      <c r="I158" s="633">
        <v>5.36</v>
      </c>
      <c r="J158" s="653">
        <v>20</v>
      </c>
      <c r="K158" s="653">
        <f t="shared" si="157"/>
        <v>82.54</v>
      </c>
      <c r="L158" s="633">
        <f t="shared" si="158"/>
        <v>19.883886</v>
      </c>
      <c r="M158" s="634">
        <f t="shared" si="159"/>
        <v>102.42</v>
      </c>
      <c r="N158" s="654"/>
      <c r="O158" s="633"/>
      <c r="P158" s="653"/>
      <c r="Q158" s="653"/>
      <c r="R158" s="633"/>
      <c r="S158" s="634"/>
    </row>
    <row r="159" spans="1:19" x14ac:dyDescent="0.25">
      <c r="A159" s="648" t="s">
        <v>708</v>
      </c>
      <c r="B159" s="675">
        <f>148/176</f>
        <v>0.84090909090909094</v>
      </c>
      <c r="C159" s="650">
        <v>5.36</v>
      </c>
      <c r="D159" s="650">
        <v>30</v>
      </c>
      <c r="E159" s="653">
        <f t="shared" si="160"/>
        <v>237.98</v>
      </c>
      <c r="F159" s="633">
        <f t="shared" si="161"/>
        <v>57.329381999999995</v>
      </c>
      <c r="G159" s="634">
        <f t="shared" si="162"/>
        <v>295.31</v>
      </c>
      <c r="H159" s="697">
        <v>1</v>
      </c>
      <c r="I159" s="633">
        <v>5.36</v>
      </c>
      <c r="J159" s="653">
        <v>20</v>
      </c>
      <c r="K159" s="653">
        <f t="shared" si="157"/>
        <v>169.38</v>
      </c>
      <c r="L159" s="633">
        <f t="shared" si="158"/>
        <v>40.803641999999996</v>
      </c>
      <c r="M159" s="634">
        <f t="shared" si="159"/>
        <v>210.18</v>
      </c>
      <c r="N159" s="654"/>
      <c r="O159" s="633"/>
      <c r="P159" s="653"/>
      <c r="Q159" s="653"/>
      <c r="R159" s="633"/>
      <c r="S159" s="634"/>
    </row>
    <row r="160" spans="1:19" x14ac:dyDescent="0.25">
      <c r="A160" s="648" t="s">
        <v>708</v>
      </c>
      <c r="B160" s="675">
        <f>120/176</f>
        <v>0.68181818181818177</v>
      </c>
      <c r="C160" s="650">
        <v>5.36</v>
      </c>
      <c r="D160" s="650">
        <v>30</v>
      </c>
      <c r="E160" s="653">
        <f t="shared" si="160"/>
        <v>192.96</v>
      </c>
      <c r="F160" s="633">
        <f t="shared" si="161"/>
        <v>46.484064000000004</v>
      </c>
      <c r="G160" s="634">
        <f t="shared" si="162"/>
        <v>239.44</v>
      </c>
      <c r="H160" s="652">
        <v>1.0126582278481013</v>
      </c>
      <c r="I160" s="633">
        <v>5.36</v>
      </c>
      <c r="J160" s="653">
        <v>20</v>
      </c>
      <c r="K160" s="653">
        <f t="shared" si="157"/>
        <v>171.52</v>
      </c>
      <c r="L160" s="633">
        <f t="shared" si="158"/>
        <v>41.319168000000005</v>
      </c>
      <c r="M160" s="634">
        <f t="shared" si="159"/>
        <v>212.84</v>
      </c>
      <c r="N160" s="654"/>
      <c r="O160" s="633"/>
      <c r="P160" s="653"/>
      <c r="Q160" s="653"/>
      <c r="R160" s="633"/>
      <c r="S160" s="634"/>
    </row>
    <row r="161" spans="1:19" x14ac:dyDescent="0.25">
      <c r="A161" s="648" t="s">
        <v>708</v>
      </c>
      <c r="B161" s="675">
        <f>118/176</f>
        <v>0.67045454545454541</v>
      </c>
      <c r="C161" s="650">
        <v>5.36</v>
      </c>
      <c r="D161" s="650">
        <v>30</v>
      </c>
      <c r="E161" s="653">
        <f t="shared" si="160"/>
        <v>189.74</v>
      </c>
      <c r="F161" s="633">
        <f t="shared" si="161"/>
        <v>45.708366000000005</v>
      </c>
      <c r="G161" s="634">
        <f t="shared" si="162"/>
        <v>235.45</v>
      </c>
      <c r="H161" s="652">
        <v>0.72151898734177211</v>
      </c>
      <c r="I161" s="633">
        <v>5.36</v>
      </c>
      <c r="J161" s="653">
        <v>20</v>
      </c>
      <c r="K161" s="653">
        <f t="shared" si="157"/>
        <v>122.21</v>
      </c>
      <c r="L161" s="633">
        <f t="shared" si="158"/>
        <v>29.440389</v>
      </c>
      <c r="M161" s="634">
        <f t="shared" si="159"/>
        <v>151.65</v>
      </c>
      <c r="N161" s="654"/>
      <c r="O161" s="633"/>
      <c r="P161" s="653"/>
      <c r="Q161" s="653"/>
      <c r="R161" s="633"/>
      <c r="S161" s="634"/>
    </row>
    <row r="162" spans="1:19" x14ac:dyDescent="0.25">
      <c r="A162" s="648" t="s">
        <v>708</v>
      </c>
      <c r="B162" s="675">
        <f>17/176</f>
        <v>9.6590909090909088E-2</v>
      </c>
      <c r="C162" s="650">
        <v>5.36</v>
      </c>
      <c r="D162" s="650">
        <v>30</v>
      </c>
      <c r="E162" s="653">
        <f t="shared" si="160"/>
        <v>27.34</v>
      </c>
      <c r="F162" s="633">
        <f t="shared" si="161"/>
        <v>6.5862059999999998</v>
      </c>
      <c r="G162" s="634">
        <f t="shared" si="162"/>
        <v>33.93</v>
      </c>
      <c r="H162" s="652">
        <v>1.0126582278481013</v>
      </c>
      <c r="I162" s="633">
        <v>5.36</v>
      </c>
      <c r="J162" s="653">
        <v>20</v>
      </c>
      <c r="K162" s="653">
        <f t="shared" si="157"/>
        <v>171.52</v>
      </c>
      <c r="L162" s="633">
        <f t="shared" si="158"/>
        <v>41.319168000000005</v>
      </c>
      <c r="M162" s="634">
        <f t="shared" si="159"/>
        <v>212.84</v>
      </c>
      <c r="N162" s="654"/>
      <c r="O162" s="633"/>
      <c r="P162" s="653"/>
      <c r="Q162" s="653"/>
      <c r="R162" s="633"/>
      <c r="S162" s="634"/>
    </row>
    <row r="163" spans="1:19" x14ac:dyDescent="0.25">
      <c r="A163" s="648" t="s">
        <v>708</v>
      </c>
      <c r="B163" s="675">
        <f>24/176</f>
        <v>0.13636363636363635</v>
      </c>
      <c r="C163" s="650">
        <v>5.36</v>
      </c>
      <c r="D163" s="650">
        <v>50</v>
      </c>
      <c r="E163" s="653">
        <f>ROUND(C163*176*B163*0.5,2)</f>
        <v>64.319999999999993</v>
      </c>
      <c r="F163" s="633">
        <f t="shared" si="161"/>
        <v>15.494687999999998</v>
      </c>
      <c r="G163" s="634">
        <f t="shared" ref="G163:G166" si="163">ROUND(SUM(E163:F163),2)</f>
        <v>79.81</v>
      </c>
      <c r="H163" s="652">
        <v>0.75316455696202533</v>
      </c>
      <c r="I163" s="633">
        <v>5.36</v>
      </c>
      <c r="J163" s="653">
        <v>20</v>
      </c>
      <c r="K163" s="653">
        <f t="shared" si="157"/>
        <v>127.57</v>
      </c>
      <c r="L163" s="633">
        <f t="shared" si="158"/>
        <v>30.731612999999999</v>
      </c>
      <c r="M163" s="634">
        <f t="shared" si="159"/>
        <v>158.30000000000001</v>
      </c>
      <c r="N163" s="654"/>
      <c r="O163" s="633"/>
      <c r="P163" s="653"/>
      <c r="Q163" s="653"/>
      <c r="R163" s="633"/>
      <c r="S163" s="634"/>
    </row>
    <row r="164" spans="1:19" x14ac:dyDescent="0.25">
      <c r="A164" s="648" t="s">
        <v>708</v>
      </c>
      <c r="B164" s="675">
        <f>8/176</f>
        <v>4.5454545454545456E-2</v>
      </c>
      <c r="C164" s="650">
        <v>5.36</v>
      </c>
      <c r="D164" s="650">
        <v>50</v>
      </c>
      <c r="E164" s="653">
        <f t="shared" ref="E164:E166" si="164">ROUND(C164*176*B164*0.5,2)</f>
        <v>21.44</v>
      </c>
      <c r="F164" s="633">
        <f t="shared" si="161"/>
        <v>5.1648960000000006</v>
      </c>
      <c r="G164" s="634">
        <f t="shared" si="163"/>
        <v>26.6</v>
      </c>
      <c r="H164" s="652">
        <v>0.79113924050632911</v>
      </c>
      <c r="I164" s="633">
        <v>5.36</v>
      </c>
      <c r="J164" s="653">
        <v>20</v>
      </c>
      <c r="K164" s="653">
        <f t="shared" si="157"/>
        <v>134</v>
      </c>
      <c r="L164" s="633">
        <f t="shared" si="158"/>
        <v>32.2806</v>
      </c>
      <c r="M164" s="634">
        <f t="shared" si="159"/>
        <v>166.28</v>
      </c>
      <c r="N164" s="654"/>
      <c r="O164" s="633"/>
      <c r="P164" s="653"/>
      <c r="Q164" s="653"/>
      <c r="R164" s="633"/>
      <c r="S164" s="634"/>
    </row>
    <row r="165" spans="1:19" x14ac:dyDescent="0.25">
      <c r="A165" s="648" t="s">
        <v>708</v>
      </c>
      <c r="B165" s="675">
        <f>40/176</f>
        <v>0.22727272727272727</v>
      </c>
      <c r="C165" s="650">
        <v>5.36</v>
      </c>
      <c r="D165" s="650">
        <v>50</v>
      </c>
      <c r="E165" s="653">
        <f t="shared" si="164"/>
        <v>107.2</v>
      </c>
      <c r="F165" s="633">
        <f t="shared" si="161"/>
        <v>25.824480000000001</v>
      </c>
      <c r="G165" s="634">
        <f t="shared" si="163"/>
        <v>133.02000000000001</v>
      </c>
      <c r="H165" s="652">
        <v>0.54430379746835444</v>
      </c>
      <c r="I165" s="633">
        <v>5.36</v>
      </c>
      <c r="J165" s="653">
        <v>20</v>
      </c>
      <c r="K165" s="653">
        <f t="shared" si="157"/>
        <v>92.19</v>
      </c>
      <c r="L165" s="633">
        <f t="shared" si="158"/>
        <v>22.208570999999999</v>
      </c>
      <c r="M165" s="634">
        <f t="shared" si="159"/>
        <v>114.4</v>
      </c>
      <c r="N165" s="654"/>
      <c r="O165" s="633"/>
      <c r="P165" s="653"/>
      <c r="Q165" s="653"/>
      <c r="R165" s="633"/>
      <c r="S165" s="634"/>
    </row>
    <row r="166" spans="1:19" x14ac:dyDescent="0.25">
      <c r="A166" s="648" t="s">
        <v>708</v>
      </c>
      <c r="B166" s="675">
        <f>24/176</f>
        <v>0.13636363636363635</v>
      </c>
      <c r="C166" s="650">
        <v>5.36</v>
      </c>
      <c r="D166" s="650">
        <v>50</v>
      </c>
      <c r="E166" s="653">
        <f t="shared" si="164"/>
        <v>64.319999999999993</v>
      </c>
      <c r="F166" s="633">
        <f t="shared" si="161"/>
        <v>15.494687999999998</v>
      </c>
      <c r="G166" s="634">
        <f t="shared" si="163"/>
        <v>79.81</v>
      </c>
      <c r="H166" s="652">
        <v>0.97468354430379744</v>
      </c>
      <c r="I166" s="633">
        <v>5.36</v>
      </c>
      <c r="J166" s="653">
        <v>20</v>
      </c>
      <c r="K166" s="653">
        <f t="shared" si="157"/>
        <v>165.09</v>
      </c>
      <c r="L166" s="633">
        <f t="shared" si="158"/>
        <v>39.770181000000001</v>
      </c>
      <c r="M166" s="634">
        <f t="shared" si="159"/>
        <v>204.86</v>
      </c>
      <c r="N166" s="654"/>
      <c r="O166" s="633"/>
      <c r="P166" s="653"/>
      <c r="Q166" s="653"/>
      <c r="R166" s="633"/>
      <c r="S166" s="634"/>
    </row>
    <row r="167" spans="1:19" x14ac:dyDescent="0.25">
      <c r="A167" s="648" t="s">
        <v>708</v>
      </c>
      <c r="B167" s="649"/>
      <c r="C167" s="650"/>
      <c r="D167" s="650"/>
      <c r="E167" s="650"/>
      <c r="F167" s="650"/>
      <c r="G167" s="651"/>
      <c r="H167" s="652">
        <v>0.96835443037974689</v>
      </c>
      <c r="I167" s="633">
        <v>5.36</v>
      </c>
      <c r="J167" s="653">
        <v>20</v>
      </c>
      <c r="K167" s="653">
        <f t="shared" si="157"/>
        <v>164.02</v>
      </c>
      <c r="L167" s="633">
        <f t="shared" si="158"/>
        <v>39.512418000000004</v>
      </c>
      <c r="M167" s="634">
        <f t="shared" si="159"/>
        <v>203.53</v>
      </c>
      <c r="N167" s="654"/>
      <c r="O167" s="633"/>
      <c r="P167" s="653"/>
      <c r="Q167" s="653"/>
      <c r="R167" s="633"/>
      <c r="S167" s="634"/>
    </row>
    <row r="168" spans="1:19" x14ac:dyDescent="0.25">
      <c r="A168" s="648" t="s">
        <v>708</v>
      </c>
      <c r="B168" s="649"/>
      <c r="C168" s="650"/>
      <c r="D168" s="650"/>
      <c r="E168" s="650"/>
      <c r="F168" s="650"/>
      <c r="G168" s="651"/>
      <c r="H168" s="652">
        <v>0.44303797468354428</v>
      </c>
      <c r="I168" s="633">
        <v>5.36</v>
      </c>
      <c r="J168" s="653">
        <v>20</v>
      </c>
      <c r="K168" s="653">
        <f t="shared" si="157"/>
        <v>75.040000000000006</v>
      </c>
      <c r="L168" s="633">
        <f t="shared" si="158"/>
        <v>18.077136000000003</v>
      </c>
      <c r="M168" s="634">
        <f t="shared" si="159"/>
        <v>93.12</v>
      </c>
      <c r="N168" s="654"/>
      <c r="O168" s="633"/>
      <c r="P168" s="653"/>
      <c r="Q168" s="653"/>
      <c r="R168" s="633"/>
      <c r="S168" s="634"/>
    </row>
    <row r="169" spans="1:19" x14ac:dyDescent="0.25">
      <c r="A169" s="648" t="s">
        <v>708</v>
      </c>
      <c r="B169" s="649"/>
      <c r="C169" s="650"/>
      <c r="D169" s="650"/>
      <c r="E169" s="650"/>
      <c r="F169" s="650"/>
      <c r="G169" s="651"/>
      <c r="H169" s="652">
        <v>0.68354430379746833</v>
      </c>
      <c r="I169" s="633">
        <v>5.36</v>
      </c>
      <c r="J169" s="653">
        <v>20</v>
      </c>
      <c r="K169" s="653">
        <f t="shared" si="157"/>
        <v>115.78</v>
      </c>
      <c r="L169" s="633">
        <f t="shared" si="158"/>
        <v>27.891401999999999</v>
      </c>
      <c r="M169" s="634">
        <f t="shared" si="159"/>
        <v>143.66999999999999</v>
      </c>
      <c r="N169" s="654"/>
      <c r="O169" s="633"/>
      <c r="P169" s="653"/>
      <c r="Q169" s="653"/>
      <c r="R169" s="633"/>
      <c r="S169" s="634"/>
    </row>
    <row r="170" spans="1:19" x14ac:dyDescent="0.25">
      <c r="A170" s="648" t="s">
        <v>708</v>
      </c>
      <c r="B170" s="649"/>
      <c r="C170" s="650"/>
      <c r="D170" s="650"/>
      <c r="E170" s="650"/>
      <c r="F170" s="650"/>
      <c r="G170" s="651"/>
      <c r="H170" s="652">
        <v>5.0632911392405063E-2</v>
      </c>
      <c r="I170" s="633">
        <v>5.36</v>
      </c>
      <c r="J170" s="653">
        <v>20</v>
      </c>
      <c r="K170" s="653">
        <f t="shared" si="157"/>
        <v>8.58</v>
      </c>
      <c r="L170" s="633">
        <f t="shared" si="158"/>
        <v>2.0669219999999999</v>
      </c>
      <c r="M170" s="634">
        <f t="shared" si="159"/>
        <v>10.65</v>
      </c>
      <c r="N170" s="654"/>
      <c r="O170" s="633"/>
      <c r="P170" s="653"/>
      <c r="Q170" s="653"/>
      <c r="R170" s="633"/>
      <c r="S170" s="634"/>
    </row>
    <row r="171" spans="1:19" x14ac:dyDescent="0.25">
      <c r="A171" s="648" t="s">
        <v>708</v>
      </c>
      <c r="B171" s="649"/>
      <c r="C171" s="650"/>
      <c r="D171" s="650"/>
      <c r="E171" s="650"/>
      <c r="F171" s="650"/>
      <c r="G171" s="651"/>
      <c r="H171" s="652">
        <v>0.97468354430379744</v>
      </c>
      <c r="I171" s="633">
        <v>5.36</v>
      </c>
      <c r="J171" s="653">
        <v>20</v>
      </c>
      <c r="K171" s="653">
        <f t="shared" si="157"/>
        <v>165.09</v>
      </c>
      <c r="L171" s="633">
        <f t="shared" si="158"/>
        <v>39.770181000000001</v>
      </c>
      <c r="M171" s="634">
        <f t="shared" si="159"/>
        <v>204.86</v>
      </c>
      <c r="N171" s="654"/>
      <c r="O171" s="633"/>
      <c r="P171" s="653"/>
      <c r="Q171" s="653"/>
      <c r="R171" s="633"/>
      <c r="S171" s="634"/>
    </row>
    <row r="172" spans="1:19" x14ac:dyDescent="0.25">
      <c r="A172" s="648" t="s">
        <v>708</v>
      </c>
      <c r="B172" s="649"/>
      <c r="C172" s="650"/>
      <c r="D172" s="650"/>
      <c r="E172" s="650"/>
      <c r="F172" s="650"/>
      <c r="G172" s="651"/>
      <c r="H172" s="652">
        <v>1.0632911392405062</v>
      </c>
      <c r="I172" s="633">
        <v>5.36</v>
      </c>
      <c r="J172" s="653">
        <v>20</v>
      </c>
      <c r="K172" s="653">
        <f t="shared" si="157"/>
        <v>180.1</v>
      </c>
      <c r="L172" s="633">
        <f t="shared" si="158"/>
        <v>43.386089999999996</v>
      </c>
      <c r="M172" s="634">
        <f t="shared" si="159"/>
        <v>223.49</v>
      </c>
      <c r="N172" s="654"/>
      <c r="O172" s="633"/>
      <c r="P172" s="653"/>
      <c r="Q172" s="653"/>
      <c r="R172" s="633"/>
      <c r="S172" s="634"/>
    </row>
    <row r="173" spans="1:19" x14ac:dyDescent="0.25">
      <c r="A173" s="648" t="s">
        <v>708</v>
      </c>
      <c r="B173" s="649"/>
      <c r="C173" s="650"/>
      <c r="D173" s="650"/>
      <c r="E173" s="650"/>
      <c r="F173" s="650"/>
      <c r="G173" s="651"/>
      <c r="H173" s="652">
        <v>0.94936708860759489</v>
      </c>
      <c r="I173" s="633">
        <v>5.36</v>
      </c>
      <c r="J173" s="653">
        <v>20</v>
      </c>
      <c r="K173" s="653">
        <f t="shared" si="157"/>
        <v>160.80000000000001</v>
      </c>
      <c r="L173" s="633">
        <f t="shared" si="158"/>
        <v>38.736720000000005</v>
      </c>
      <c r="M173" s="634">
        <f t="shared" si="159"/>
        <v>199.54</v>
      </c>
      <c r="N173" s="654"/>
      <c r="O173" s="633"/>
      <c r="P173" s="653"/>
      <c r="Q173" s="653"/>
      <c r="R173" s="633"/>
      <c r="S173" s="634"/>
    </row>
    <row r="174" spans="1:19" x14ac:dyDescent="0.25">
      <c r="A174" s="648" t="s">
        <v>708</v>
      </c>
      <c r="B174" s="649"/>
      <c r="C174" s="650"/>
      <c r="D174" s="650"/>
      <c r="E174" s="650"/>
      <c r="F174" s="650"/>
      <c r="G174" s="651"/>
      <c r="H174" s="652">
        <v>0.65189873417721522</v>
      </c>
      <c r="I174" s="633">
        <v>5.36</v>
      </c>
      <c r="J174" s="653">
        <v>20</v>
      </c>
      <c r="K174" s="653">
        <f t="shared" si="157"/>
        <v>110.42</v>
      </c>
      <c r="L174" s="633">
        <f t="shared" si="158"/>
        <v>26.600178</v>
      </c>
      <c r="M174" s="634">
        <f t="shared" si="159"/>
        <v>137.02000000000001</v>
      </c>
      <c r="N174" s="654"/>
      <c r="O174" s="633"/>
      <c r="P174" s="653"/>
      <c r="Q174" s="653"/>
      <c r="R174" s="633"/>
      <c r="S174" s="634"/>
    </row>
    <row r="175" spans="1:19" x14ac:dyDescent="0.25">
      <c r="A175" s="648" t="s">
        <v>708</v>
      </c>
      <c r="B175" s="649"/>
      <c r="C175" s="650"/>
      <c r="D175" s="650"/>
      <c r="E175" s="650"/>
      <c r="F175" s="650"/>
      <c r="G175" s="651"/>
      <c r="H175" s="697">
        <v>1</v>
      </c>
      <c r="I175" s="633">
        <v>5.36</v>
      </c>
      <c r="J175" s="653">
        <v>20</v>
      </c>
      <c r="K175" s="653">
        <f t="shared" si="157"/>
        <v>169.38</v>
      </c>
      <c r="L175" s="633">
        <f t="shared" si="158"/>
        <v>40.803641999999996</v>
      </c>
      <c r="M175" s="634">
        <f t="shared" si="159"/>
        <v>210.18</v>
      </c>
      <c r="N175" s="654"/>
      <c r="O175" s="633"/>
      <c r="P175" s="653"/>
      <c r="Q175" s="653"/>
      <c r="R175" s="633"/>
      <c r="S175" s="634"/>
    </row>
    <row r="176" spans="1:19" x14ac:dyDescent="0.25">
      <c r="A176" s="648" t="s">
        <v>708</v>
      </c>
      <c r="B176" s="649"/>
      <c r="C176" s="650"/>
      <c r="D176" s="650"/>
      <c r="E176" s="650"/>
      <c r="F176" s="650"/>
      <c r="G176" s="651"/>
      <c r="H176" s="652">
        <v>0.52531645569620256</v>
      </c>
      <c r="I176" s="633">
        <v>5.36</v>
      </c>
      <c r="J176" s="653">
        <v>20</v>
      </c>
      <c r="K176" s="653">
        <f t="shared" si="157"/>
        <v>88.98</v>
      </c>
      <c r="L176" s="633">
        <f t="shared" si="158"/>
        <v>21.435282000000001</v>
      </c>
      <c r="M176" s="634">
        <f t="shared" si="159"/>
        <v>110.42</v>
      </c>
      <c r="N176" s="654"/>
      <c r="O176" s="633"/>
      <c r="P176" s="653"/>
      <c r="Q176" s="653"/>
      <c r="R176" s="633"/>
      <c r="S176" s="634"/>
    </row>
    <row r="177" spans="1:19" x14ac:dyDescent="0.25">
      <c r="A177" s="648" t="s">
        <v>708</v>
      </c>
      <c r="B177" s="649"/>
      <c r="C177" s="650"/>
      <c r="D177" s="650"/>
      <c r="E177" s="650"/>
      <c r="F177" s="650"/>
      <c r="G177" s="651"/>
      <c r="H177" s="652">
        <v>0.51898734177215189</v>
      </c>
      <c r="I177" s="633">
        <v>5.36</v>
      </c>
      <c r="J177" s="653">
        <v>20</v>
      </c>
      <c r="K177" s="653">
        <f t="shared" si="157"/>
        <v>87.9</v>
      </c>
      <c r="L177" s="633">
        <f t="shared" si="158"/>
        <v>21.17511</v>
      </c>
      <c r="M177" s="634">
        <f t="shared" si="159"/>
        <v>109.08</v>
      </c>
      <c r="N177" s="654"/>
      <c r="O177" s="633"/>
      <c r="P177" s="653"/>
      <c r="Q177" s="653"/>
      <c r="R177" s="633"/>
      <c r="S177" s="634"/>
    </row>
    <row r="178" spans="1:19" x14ac:dyDescent="0.25">
      <c r="A178" s="648" t="s">
        <v>708</v>
      </c>
      <c r="B178" s="649"/>
      <c r="C178" s="650"/>
      <c r="D178" s="650"/>
      <c r="E178" s="650"/>
      <c r="F178" s="650"/>
      <c r="G178" s="651"/>
      <c r="H178" s="652">
        <v>1.0126582278481013</v>
      </c>
      <c r="I178" s="633">
        <v>5.36</v>
      </c>
      <c r="J178" s="653">
        <v>20</v>
      </c>
      <c r="K178" s="653">
        <f t="shared" si="157"/>
        <v>171.52</v>
      </c>
      <c r="L178" s="633">
        <f t="shared" si="158"/>
        <v>41.319168000000005</v>
      </c>
      <c r="M178" s="634">
        <f t="shared" si="159"/>
        <v>212.84</v>
      </c>
      <c r="N178" s="654"/>
      <c r="O178" s="633"/>
      <c r="P178" s="653"/>
      <c r="Q178" s="653"/>
      <c r="R178" s="633"/>
      <c r="S178" s="634"/>
    </row>
    <row r="179" spans="1:19" x14ac:dyDescent="0.25">
      <c r="A179" s="648" t="s">
        <v>708</v>
      </c>
      <c r="B179" s="649"/>
      <c r="C179" s="650"/>
      <c r="D179" s="650"/>
      <c r="E179" s="650"/>
      <c r="F179" s="650"/>
      <c r="G179" s="651"/>
      <c r="H179" s="652">
        <v>0.4050632911392405</v>
      </c>
      <c r="I179" s="633">
        <v>5.36</v>
      </c>
      <c r="J179" s="653">
        <v>20</v>
      </c>
      <c r="K179" s="653">
        <f t="shared" si="157"/>
        <v>68.61</v>
      </c>
      <c r="L179" s="633">
        <f t="shared" si="158"/>
        <v>16.528148999999999</v>
      </c>
      <c r="M179" s="634">
        <f t="shared" si="159"/>
        <v>85.14</v>
      </c>
      <c r="N179" s="654"/>
      <c r="O179" s="633"/>
      <c r="P179" s="653"/>
      <c r="Q179" s="653"/>
      <c r="R179" s="633"/>
      <c r="S179" s="634"/>
    </row>
    <row r="180" spans="1:19" x14ac:dyDescent="0.25">
      <c r="A180" s="648" t="s">
        <v>708</v>
      </c>
      <c r="B180" s="649"/>
      <c r="C180" s="650"/>
      <c r="D180" s="650"/>
      <c r="E180" s="650"/>
      <c r="F180" s="650"/>
      <c r="G180" s="651"/>
      <c r="H180" s="652">
        <v>0.46835443037974683</v>
      </c>
      <c r="I180" s="633">
        <v>5.36</v>
      </c>
      <c r="J180" s="653">
        <v>20</v>
      </c>
      <c r="K180" s="653">
        <f t="shared" si="157"/>
        <v>79.33</v>
      </c>
      <c r="L180" s="633">
        <f t="shared" si="158"/>
        <v>19.110596999999999</v>
      </c>
      <c r="M180" s="634">
        <f t="shared" si="159"/>
        <v>98.44</v>
      </c>
      <c r="N180" s="654"/>
      <c r="O180" s="633"/>
      <c r="P180" s="653"/>
      <c r="Q180" s="653"/>
      <c r="R180" s="633"/>
      <c r="S180" s="634"/>
    </row>
    <row r="181" spans="1:19" x14ac:dyDescent="0.25">
      <c r="A181" s="648" t="s">
        <v>708</v>
      </c>
      <c r="B181" s="649"/>
      <c r="C181" s="650"/>
      <c r="D181" s="650"/>
      <c r="E181" s="650"/>
      <c r="F181" s="650"/>
      <c r="G181" s="651"/>
      <c r="H181" s="652">
        <v>0.75316455696202533</v>
      </c>
      <c r="I181" s="633">
        <v>5.36</v>
      </c>
      <c r="J181" s="653">
        <v>20</v>
      </c>
      <c r="K181" s="653">
        <f t="shared" si="157"/>
        <v>127.57</v>
      </c>
      <c r="L181" s="633">
        <f t="shared" si="158"/>
        <v>30.731612999999999</v>
      </c>
      <c r="M181" s="634">
        <f t="shared" si="159"/>
        <v>158.30000000000001</v>
      </c>
      <c r="N181" s="654"/>
      <c r="O181" s="633"/>
      <c r="P181" s="653"/>
      <c r="Q181" s="653"/>
      <c r="R181" s="633"/>
      <c r="S181" s="634"/>
    </row>
    <row r="182" spans="1:19" x14ac:dyDescent="0.25">
      <c r="A182" s="648" t="s">
        <v>708</v>
      </c>
      <c r="B182" s="649"/>
      <c r="C182" s="650"/>
      <c r="D182" s="650"/>
      <c r="E182" s="650"/>
      <c r="F182" s="650"/>
      <c r="G182" s="651"/>
      <c r="H182" s="652">
        <v>0.63924050632911389</v>
      </c>
      <c r="I182" s="633">
        <v>5.36</v>
      </c>
      <c r="J182" s="653">
        <v>20</v>
      </c>
      <c r="K182" s="653">
        <f t="shared" si="157"/>
        <v>108.27</v>
      </c>
      <c r="L182" s="633">
        <f t="shared" si="158"/>
        <v>26.082242999999998</v>
      </c>
      <c r="M182" s="634">
        <f t="shared" si="159"/>
        <v>134.35</v>
      </c>
      <c r="N182" s="654"/>
      <c r="O182" s="633"/>
      <c r="P182" s="653"/>
      <c r="Q182" s="653"/>
      <c r="R182" s="633"/>
      <c r="S182" s="634"/>
    </row>
    <row r="183" spans="1:19" x14ac:dyDescent="0.25">
      <c r="A183" s="648" t="s">
        <v>708</v>
      </c>
      <c r="B183" s="649"/>
      <c r="C183" s="650"/>
      <c r="D183" s="650"/>
      <c r="E183" s="650"/>
      <c r="F183" s="650"/>
      <c r="G183" s="651"/>
      <c r="H183" s="652">
        <v>0.54430379746835444</v>
      </c>
      <c r="I183" s="633">
        <v>5.36</v>
      </c>
      <c r="J183" s="653">
        <v>20</v>
      </c>
      <c r="K183" s="653">
        <f t="shared" si="157"/>
        <v>92.19</v>
      </c>
      <c r="L183" s="633">
        <f t="shared" si="158"/>
        <v>22.208570999999999</v>
      </c>
      <c r="M183" s="634">
        <f t="shared" si="159"/>
        <v>114.4</v>
      </c>
      <c r="N183" s="654"/>
      <c r="O183" s="633"/>
      <c r="P183" s="653"/>
      <c r="Q183" s="653"/>
      <c r="R183" s="633"/>
      <c r="S183" s="634"/>
    </row>
    <row r="184" spans="1:19" x14ac:dyDescent="0.25">
      <c r="A184" s="648" t="s">
        <v>708</v>
      </c>
      <c r="B184" s="649"/>
      <c r="C184" s="650"/>
      <c r="D184" s="650"/>
      <c r="E184" s="650"/>
      <c r="F184" s="650"/>
      <c r="G184" s="651"/>
      <c r="H184" s="652">
        <v>0.35443037974683544</v>
      </c>
      <c r="I184" s="633">
        <v>5.36</v>
      </c>
      <c r="J184" s="653">
        <v>20</v>
      </c>
      <c r="K184" s="653">
        <f t="shared" si="157"/>
        <v>60.03</v>
      </c>
      <c r="L184" s="633">
        <f t="shared" si="158"/>
        <v>14.461227000000001</v>
      </c>
      <c r="M184" s="634">
        <f t="shared" si="159"/>
        <v>74.489999999999995</v>
      </c>
      <c r="N184" s="654"/>
      <c r="O184" s="633"/>
      <c r="P184" s="653"/>
      <c r="Q184" s="653"/>
      <c r="R184" s="633"/>
      <c r="S184" s="634"/>
    </row>
    <row r="185" spans="1:19" x14ac:dyDescent="0.25">
      <c r="A185" s="648" t="s">
        <v>708</v>
      </c>
      <c r="B185" s="649"/>
      <c r="C185" s="650"/>
      <c r="D185" s="650"/>
      <c r="E185" s="650"/>
      <c r="F185" s="650"/>
      <c r="G185" s="651"/>
      <c r="H185" s="652">
        <v>0.97468354430379744</v>
      </c>
      <c r="I185" s="633">
        <v>5.36</v>
      </c>
      <c r="J185" s="653">
        <v>20</v>
      </c>
      <c r="K185" s="653">
        <f t="shared" si="157"/>
        <v>165.09</v>
      </c>
      <c r="L185" s="633">
        <f t="shared" si="158"/>
        <v>39.770181000000001</v>
      </c>
      <c r="M185" s="634">
        <f t="shared" si="159"/>
        <v>204.86</v>
      </c>
      <c r="N185" s="654"/>
      <c r="O185" s="633"/>
      <c r="P185" s="653"/>
      <c r="Q185" s="653"/>
      <c r="R185" s="633"/>
      <c r="S185" s="634"/>
    </row>
    <row r="186" spans="1:19" x14ac:dyDescent="0.25">
      <c r="A186" s="648" t="s">
        <v>708</v>
      </c>
      <c r="B186" s="649"/>
      <c r="C186" s="650"/>
      <c r="D186" s="650"/>
      <c r="E186" s="650"/>
      <c r="F186" s="650"/>
      <c r="G186" s="651"/>
      <c r="H186" s="652">
        <v>0.620253164556962</v>
      </c>
      <c r="I186" s="633">
        <v>5.36</v>
      </c>
      <c r="J186" s="653">
        <v>20</v>
      </c>
      <c r="K186" s="653">
        <f t="shared" si="157"/>
        <v>105.06</v>
      </c>
      <c r="L186" s="633">
        <f t="shared" si="158"/>
        <v>25.308954</v>
      </c>
      <c r="M186" s="634">
        <f t="shared" si="159"/>
        <v>130.37</v>
      </c>
      <c r="N186" s="654"/>
      <c r="O186" s="633"/>
      <c r="P186" s="653"/>
      <c r="Q186" s="653"/>
      <c r="R186" s="633"/>
      <c r="S186" s="634"/>
    </row>
    <row r="187" spans="1:19" x14ac:dyDescent="0.25">
      <c r="A187" s="648" t="s">
        <v>708</v>
      </c>
      <c r="B187" s="649"/>
      <c r="C187" s="650"/>
      <c r="D187" s="650"/>
      <c r="E187" s="650"/>
      <c r="F187" s="650"/>
      <c r="G187" s="651"/>
      <c r="H187" s="652">
        <v>0.43670886075949367</v>
      </c>
      <c r="I187" s="633">
        <v>5.36</v>
      </c>
      <c r="J187" s="653">
        <v>20</v>
      </c>
      <c r="K187" s="653">
        <f t="shared" si="157"/>
        <v>73.97</v>
      </c>
      <c r="L187" s="633">
        <f t="shared" si="158"/>
        <v>17.819372999999999</v>
      </c>
      <c r="M187" s="634">
        <f t="shared" si="159"/>
        <v>91.79</v>
      </c>
      <c r="N187" s="654"/>
      <c r="O187" s="633"/>
      <c r="P187" s="653"/>
      <c r="Q187" s="653"/>
      <c r="R187" s="633"/>
      <c r="S187" s="634"/>
    </row>
    <row r="188" spans="1:19" x14ac:dyDescent="0.25">
      <c r="A188" s="648" t="s">
        <v>708</v>
      </c>
      <c r="B188" s="649"/>
      <c r="C188" s="650"/>
      <c r="D188" s="650"/>
      <c r="E188" s="650"/>
      <c r="F188" s="650"/>
      <c r="G188" s="651"/>
      <c r="H188" s="652">
        <v>0.49367088607594939</v>
      </c>
      <c r="I188" s="633">
        <v>5.36</v>
      </c>
      <c r="J188" s="653">
        <v>20</v>
      </c>
      <c r="K188" s="653">
        <f t="shared" si="157"/>
        <v>83.62</v>
      </c>
      <c r="L188" s="633">
        <f t="shared" si="158"/>
        <v>20.144058000000001</v>
      </c>
      <c r="M188" s="634">
        <f t="shared" si="159"/>
        <v>103.76</v>
      </c>
      <c r="N188" s="654"/>
      <c r="O188" s="633"/>
      <c r="P188" s="653"/>
      <c r="Q188" s="653"/>
      <c r="R188" s="633"/>
      <c r="S188" s="634"/>
    </row>
    <row r="189" spans="1:19" x14ac:dyDescent="0.25">
      <c r="A189" s="648" t="s">
        <v>708</v>
      </c>
      <c r="B189" s="649"/>
      <c r="C189" s="650"/>
      <c r="D189" s="650"/>
      <c r="E189" s="650"/>
      <c r="F189" s="650"/>
      <c r="G189" s="651"/>
      <c r="H189" s="652">
        <v>0.67088607594936711</v>
      </c>
      <c r="I189" s="633">
        <v>5.36</v>
      </c>
      <c r="J189" s="653">
        <v>20</v>
      </c>
      <c r="K189" s="653">
        <f t="shared" si="157"/>
        <v>113.63</v>
      </c>
      <c r="L189" s="633">
        <f t="shared" si="158"/>
        <v>27.373466999999998</v>
      </c>
      <c r="M189" s="634">
        <f t="shared" si="159"/>
        <v>141</v>
      </c>
      <c r="N189" s="654"/>
      <c r="O189" s="633"/>
      <c r="P189" s="653"/>
      <c r="Q189" s="653"/>
      <c r="R189" s="633"/>
      <c r="S189" s="634"/>
    </row>
    <row r="190" spans="1:19" x14ac:dyDescent="0.25">
      <c r="A190" s="648" t="s">
        <v>708</v>
      </c>
      <c r="B190" s="649"/>
      <c r="C190" s="650"/>
      <c r="D190" s="650"/>
      <c r="E190" s="650"/>
      <c r="F190" s="650"/>
      <c r="G190" s="651"/>
      <c r="H190" s="652">
        <v>0.81645569620253167</v>
      </c>
      <c r="I190" s="633">
        <v>5.36</v>
      </c>
      <c r="J190" s="653">
        <v>20</v>
      </c>
      <c r="K190" s="653">
        <f t="shared" si="157"/>
        <v>138.29</v>
      </c>
      <c r="L190" s="633">
        <f t="shared" si="158"/>
        <v>33.314060999999995</v>
      </c>
      <c r="M190" s="634">
        <f t="shared" si="159"/>
        <v>171.6</v>
      </c>
      <c r="N190" s="654"/>
      <c r="O190" s="633"/>
      <c r="P190" s="653"/>
      <c r="Q190" s="653"/>
      <c r="R190" s="633"/>
      <c r="S190" s="634"/>
    </row>
    <row r="191" spans="1:19" x14ac:dyDescent="0.25">
      <c r="A191" s="648" t="s">
        <v>708</v>
      </c>
      <c r="B191" s="649"/>
      <c r="C191" s="650"/>
      <c r="D191" s="650"/>
      <c r="E191" s="650"/>
      <c r="F191" s="650"/>
      <c r="G191" s="651"/>
      <c r="H191" s="652">
        <v>0.92405063291139244</v>
      </c>
      <c r="I191" s="633">
        <v>5.36</v>
      </c>
      <c r="J191" s="653">
        <v>20</v>
      </c>
      <c r="K191" s="653">
        <f t="shared" si="157"/>
        <v>156.51</v>
      </c>
      <c r="L191" s="633">
        <f t="shared" si="158"/>
        <v>37.703258999999996</v>
      </c>
      <c r="M191" s="634">
        <f t="shared" si="159"/>
        <v>194.21</v>
      </c>
      <c r="N191" s="654"/>
      <c r="O191" s="633"/>
      <c r="P191" s="653"/>
      <c r="Q191" s="653"/>
      <c r="R191" s="633"/>
      <c r="S191" s="634"/>
    </row>
    <row r="192" spans="1:19" x14ac:dyDescent="0.25">
      <c r="A192" s="648" t="s">
        <v>708</v>
      </c>
      <c r="B192" s="649"/>
      <c r="C192" s="650"/>
      <c r="D192" s="650"/>
      <c r="E192" s="650"/>
      <c r="F192" s="650"/>
      <c r="G192" s="651"/>
      <c r="H192" s="652">
        <v>0.87341772151898733</v>
      </c>
      <c r="I192" s="633">
        <v>5.36</v>
      </c>
      <c r="J192" s="653">
        <v>20</v>
      </c>
      <c r="K192" s="653">
        <f t="shared" si="157"/>
        <v>147.94</v>
      </c>
      <c r="L192" s="633">
        <f t="shared" si="158"/>
        <v>35.638745999999998</v>
      </c>
      <c r="M192" s="634">
        <f t="shared" si="159"/>
        <v>183.58</v>
      </c>
      <c r="N192" s="654"/>
      <c r="O192" s="633"/>
      <c r="P192" s="653"/>
      <c r="Q192" s="653"/>
      <c r="R192" s="633"/>
      <c r="S192" s="634"/>
    </row>
    <row r="193" spans="1:19" x14ac:dyDescent="0.25">
      <c r="A193" s="648" t="s">
        <v>708</v>
      </c>
      <c r="B193" s="649"/>
      <c r="C193" s="650"/>
      <c r="D193" s="650"/>
      <c r="E193" s="650"/>
      <c r="F193" s="650"/>
      <c r="G193" s="651"/>
      <c r="H193" s="652">
        <v>0.810126582278481</v>
      </c>
      <c r="I193" s="633">
        <v>5.36</v>
      </c>
      <c r="J193" s="653">
        <v>20</v>
      </c>
      <c r="K193" s="653">
        <f t="shared" si="157"/>
        <v>137.22</v>
      </c>
      <c r="L193" s="633">
        <f t="shared" si="158"/>
        <v>33.056297999999998</v>
      </c>
      <c r="M193" s="634">
        <f t="shared" si="159"/>
        <v>170.28</v>
      </c>
      <c r="N193" s="654"/>
      <c r="O193" s="633"/>
      <c r="P193" s="653"/>
      <c r="Q193" s="653"/>
      <c r="R193" s="633"/>
      <c r="S193" s="634"/>
    </row>
    <row r="194" spans="1:19" x14ac:dyDescent="0.25">
      <c r="A194" s="648" t="s">
        <v>708</v>
      </c>
      <c r="B194" s="649"/>
      <c r="C194" s="650"/>
      <c r="D194" s="650"/>
      <c r="E194" s="650"/>
      <c r="F194" s="650"/>
      <c r="G194" s="651"/>
      <c r="H194" s="697">
        <v>1</v>
      </c>
      <c r="I194" s="633">
        <v>5.36</v>
      </c>
      <c r="J194" s="653">
        <v>20</v>
      </c>
      <c r="K194" s="653">
        <f t="shared" si="157"/>
        <v>169.38</v>
      </c>
      <c r="L194" s="633">
        <f t="shared" si="158"/>
        <v>40.803641999999996</v>
      </c>
      <c r="M194" s="634">
        <f t="shared" si="159"/>
        <v>210.18</v>
      </c>
      <c r="N194" s="654"/>
      <c r="O194" s="633"/>
      <c r="P194" s="653"/>
      <c r="Q194" s="653"/>
      <c r="R194" s="633"/>
      <c r="S194" s="634"/>
    </row>
    <row r="195" spans="1:19" x14ac:dyDescent="0.25">
      <c r="A195" s="648" t="s">
        <v>708</v>
      </c>
      <c r="B195" s="649"/>
      <c r="C195" s="650"/>
      <c r="D195" s="650"/>
      <c r="E195" s="650"/>
      <c r="F195" s="650"/>
      <c r="G195" s="651"/>
      <c r="H195" s="697">
        <v>1</v>
      </c>
      <c r="I195" s="633">
        <v>5.36</v>
      </c>
      <c r="J195" s="653">
        <v>20</v>
      </c>
      <c r="K195" s="653">
        <f t="shared" si="157"/>
        <v>169.38</v>
      </c>
      <c r="L195" s="633">
        <f t="shared" si="158"/>
        <v>40.803641999999996</v>
      </c>
      <c r="M195" s="634">
        <f t="shared" si="159"/>
        <v>210.18</v>
      </c>
      <c r="N195" s="654"/>
      <c r="O195" s="633"/>
      <c r="P195" s="653"/>
      <c r="Q195" s="653"/>
      <c r="R195" s="633"/>
      <c r="S195" s="634"/>
    </row>
    <row r="196" spans="1:19" x14ac:dyDescent="0.25">
      <c r="A196" s="648" t="s">
        <v>708</v>
      </c>
      <c r="B196" s="649"/>
      <c r="C196" s="650"/>
      <c r="D196" s="650"/>
      <c r="E196" s="650"/>
      <c r="F196" s="650"/>
      <c r="G196" s="651"/>
      <c r="H196" s="698">
        <v>0.5</v>
      </c>
      <c r="I196" s="633">
        <v>5.36</v>
      </c>
      <c r="J196" s="653">
        <v>20</v>
      </c>
      <c r="K196" s="653">
        <f t="shared" si="157"/>
        <v>84.69</v>
      </c>
      <c r="L196" s="633">
        <f t="shared" si="158"/>
        <v>20.401820999999998</v>
      </c>
      <c r="M196" s="634">
        <f t="shared" si="159"/>
        <v>105.09</v>
      </c>
      <c r="N196" s="654"/>
      <c r="O196" s="633"/>
      <c r="P196" s="653"/>
      <c r="Q196" s="653"/>
      <c r="R196" s="633"/>
      <c r="S196" s="634"/>
    </row>
    <row r="197" spans="1:19" x14ac:dyDescent="0.25">
      <c r="A197" s="648" t="s">
        <v>708</v>
      </c>
      <c r="B197" s="649"/>
      <c r="C197" s="650"/>
      <c r="D197" s="650"/>
      <c r="E197" s="650"/>
      <c r="F197" s="650"/>
      <c r="G197" s="651"/>
      <c r="H197" s="652">
        <v>0.39873417721518989</v>
      </c>
      <c r="I197" s="633">
        <v>5.36</v>
      </c>
      <c r="J197" s="653">
        <v>20</v>
      </c>
      <c r="K197" s="653">
        <f t="shared" si="157"/>
        <v>67.540000000000006</v>
      </c>
      <c r="L197" s="633">
        <f t="shared" si="158"/>
        <v>16.270386000000002</v>
      </c>
      <c r="M197" s="634">
        <f t="shared" si="159"/>
        <v>83.81</v>
      </c>
      <c r="N197" s="654"/>
      <c r="O197" s="633"/>
      <c r="P197" s="653"/>
      <c r="Q197" s="653"/>
      <c r="R197" s="633"/>
      <c r="S197" s="634"/>
    </row>
    <row r="198" spans="1:19" x14ac:dyDescent="0.25">
      <c r="A198" s="648" t="s">
        <v>708</v>
      </c>
      <c r="B198" s="649"/>
      <c r="C198" s="650"/>
      <c r="D198" s="650"/>
      <c r="E198" s="650"/>
      <c r="F198" s="650"/>
      <c r="G198" s="651"/>
      <c r="H198" s="652">
        <v>0.41139240506329117</v>
      </c>
      <c r="I198" s="633">
        <v>5.36</v>
      </c>
      <c r="J198" s="653">
        <v>20</v>
      </c>
      <c r="K198" s="653">
        <f t="shared" si="157"/>
        <v>69.680000000000007</v>
      </c>
      <c r="L198" s="633">
        <f t="shared" si="158"/>
        <v>16.785912000000003</v>
      </c>
      <c r="M198" s="634">
        <f t="shared" si="159"/>
        <v>86.47</v>
      </c>
      <c r="N198" s="654"/>
      <c r="O198" s="633"/>
      <c r="P198" s="653"/>
      <c r="Q198" s="653"/>
      <c r="R198" s="633"/>
      <c r="S198" s="634"/>
    </row>
    <row r="199" spans="1:19" ht="15.75" thickBot="1" x14ac:dyDescent="0.3">
      <c r="A199" s="666" t="s">
        <v>708</v>
      </c>
      <c r="B199" s="656"/>
      <c r="C199" s="631"/>
      <c r="D199" s="631"/>
      <c r="E199" s="631"/>
      <c r="F199" s="631"/>
      <c r="G199" s="657"/>
      <c r="H199" s="658">
        <v>0.60126582278481011</v>
      </c>
      <c r="I199" s="632">
        <v>5.36</v>
      </c>
      <c r="J199" s="636">
        <v>20</v>
      </c>
      <c r="K199" s="636">
        <f t="shared" si="157"/>
        <v>101.84</v>
      </c>
      <c r="L199" s="632">
        <f t="shared" si="158"/>
        <v>24.533256000000002</v>
      </c>
      <c r="M199" s="637">
        <f t="shared" si="159"/>
        <v>126.37</v>
      </c>
      <c r="N199" s="635"/>
      <c r="O199" s="632"/>
      <c r="P199" s="636"/>
      <c r="Q199" s="636"/>
      <c r="R199" s="632"/>
      <c r="S199" s="637"/>
    </row>
    <row r="200" spans="1:19" ht="15.75" thickBot="1" x14ac:dyDescent="0.3">
      <c r="A200" s="668" t="s">
        <v>710</v>
      </c>
      <c r="B200" s="661">
        <f>B201</f>
        <v>0</v>
      </c>
      <c r="C200" s="659"/>
      <c r="D200" s="659"/>
      <c r="E200" s="659">
        <f>E201</f>
        <v>0</v>
      </c>
      <c r="F200" s="659">
        <f t="shared" ref="F200:G201" si="165">F201</f>
        <v>0</v>
      </c>
      <c r="G200" s="659">
        <f t="shared" si="165"/>
        <v>0</v>
      </c>
      <c r="H200" s="661">
        <f>H201</f>
        <v>0.15189873417721519</v>
      </c>
      <c r="I200" s="659"/>
      <c r="J200" s="659"/>
      <c r="K200" s="659">
        <f>K201</f>
        <v>36.1</v>
      </c>
      <c r="L200" s="659">
        <f t="shared" ref="L200:M201" si="166">L201</f>
        <v>8.6964900000000007</v>
      </c>
      <c r="M200" s="659">
        <f t="shared" si="166"/>
        <v>44.8</v>
      </c>
      <c r="N200" s="661"/>
      <c r="O200" s="659"/>
      <c r="P200" s="659"/>
      <c r="Q200" s="659"/>
      <c r="R200" s="659"/>
      <c r="S200" s="662"/>
    </row>
    <row r="201" spans="1:19" ht="25.5" x14ac:dyDescent="0.25">
      <c r="A201" s="663" t="s">
        <v>676</v>
      </c>
      <c r="B201" s="625">
        <f>B202</f>
        <v>0</v>
      </c>
      <c r="C201" s="626"/>
      <c r="D201" s="626"/>
      <c r="E201" s="626">
        <f>E202</f>
        <v>0</v>
      </c>
      <c r="F201" s="626">
        <f t="shared" si="165"/>
        <v>0</v>
      </c>
      <c r="G201" s="626">
        <f t="shared" si="165"/>
        <v>0</v>
      </c>
      <c r="H201" s="625">
        <f>H202</f>
        <v>0.15189873417721519</v>
      </c>
      <c r="I201" s="626"/>
      <c r="J201" s="626"/>
      <c r="K201" s="626">
        <f>K202</f>
        <v>36.1</v>
      </c>
      <c r="L201" s="626">
        <f t="shared" si="166"/>
        <v>8.6964900000000007</v>
      </c>
      <c r="M201" s="626">
        <f t="shared" si="166"/>
        <v>44.8</v>
      </c>
      <c r="N201" s="625"/>
      <c r="O201" s="626"/>
      <c r="P201" s="626"/>
      <c r="Q201" s="626"/>
      <c r="R201" s="626"/>
      <c r="S201" s="627"/>
    </row>
    <row r="202" spans="1:19" ht="15.75" thickBot="1" x14ac:dyDescent="0.3">
      <c r="A202" s="666" t="s">
        <v>711</v>
      </c>
      <c r="B202" s="656"/>
      <c r="C202" s="631"/>
      <c r="D202" s="631"/>
      <c r="E202" s="631"/>
      <c r="F202" s="631"/>
      <c r="G202" s="657"/>
      <c r="H202" s="658">
        <f>24/158</f>
        <v>0.15189873417721519</v>
      </c>
      <c r="I202" s="632">
        <v>7.52</v>
      </c>
      <c r="J202" s="636">
        <v>20</v>
      </c>
      <c r="K202" s="636">
        <f t="shared" ref="K202" si="167">ROUND(I202*158*H202*0.2,2)</f>
        <v>36.1</v>
      </c>
      <c r="L202" s="632">
        <f t="shared" ref="L202" si="168">K202*0.2409</f>
        <v>8.6964900000000007</v>
      </c>
      <c r="M202" s="637">
        <f t="shared" ref="M202" si="169">ROUND(SUM(K202:L202),2)</f>
        <v>44.8</v>
      </c>
      <c r="N202" s="635"/>
      <c r="O202" s="632"/>
      <c r="P202" s="636"/>
      <c r="Q202" s="636"/>
      <c r="R202" s="632"/>
      <c r="S202" s="637"/>
    </row>
    <row r="203" spans="1:19" ht="15.75" thickBot="1" x14ac:dyDescent="0.3">
      <c r="A203" s="668" t="s">
        <v>712</v>
      </c>
      <c r="B203" s="661">
        <f>B204+B239+B306+B317</f>
        <v>77.044788181818177</v>
      </c>
      <c r="C203" s="659"/>
      <c r="D203" s="659"/>
      <c r="E203" s="659">
        <f>E204+E239+E306+E317</f>
        <v>21949.620000000003</v>
      </c>
      <c r="F203" s="659">
        <f t="shared" ref="F203:G203" si="170">F204+F239+F306+F317</f>
        <v>5287.6634580000009</v>
      </c>
      <c r="G203" s="659">
        <f t="shared" si="170"/>
        <v>27237.24</v>
      </c>
      <c r="H203" s="661">
        <f>H204+H239+H306+H317</f>
        <v>130.84810126582278</v>
      </c>
      <c r="I203" s="659"/>
      <c r="J203" s="659"/>
      <c r="K203" s="659">
        <f>K204+K239+K306+K317</f>
        <v>21934.260000000002</v>
      </c>
      <c r="L203" s="659">
        <f t="shared" ref="L203:M203" si="171">L204+L239+L306+L317</f>
        <v>5283.9632339999998</v>
      </c>
      <c r="M203" s="659">
        <f t="shared" si="171"/>
        <v>27218.190000000002</v>
      </c>
      <c r="N203" s="661"/>
      <c r="O203" s="659"/>
      <c r="P203" s="659"/>
      <c r="Q203" s="659"/>
      <c r="R203" s="659"/>
      <c r="S203" s="662"/>
    </row>
    <row r="204" spans="1:19" ht="25.5" x14ac:dyDescent="0.25">
      <c r="A204" s="663" t="s">
        <v>676</v>
      </c>
      <c r="B204" s="625">
        <f>SUM(B205:B238)</f>
        <v>11.380608181818184</v>
      </c>
      <c r="C204" s="626"/>
      <c r="D204" s="626"/>
      <c r="E204" s="626">
        <f>SUM(E205:E238)</f>
        <v>5682.6</v>
      </c>
      <c r="F204" s="626">
        <f t="shared" ref="F204:G204" si="172">SUM(F205:F238)</f>
        <v>1368.9383400000002</v>
      </c>
      <c r="G204" s="626">
        <f t="shared" si="172"/>
        <v>7051.5299999999988</v>
      </c>
      <c r="H204" s="625">
        <f>SUM(H205:H238)</f>
        <v>19.240506329113927</v>
      </c>
      <c r="I204" s="626"/>
      <c r="J204" s="626"/>
      <c r="K204" s="626">
        <f>SUM(K205:K238)</f>
        <v>5626.18</v>
      </c>
      <c r="L204" s="626">
        <f t="shared" ref="L204:M204" si="173">SUM(L205:L238)</f>
        <v>1355.3467619999999</v>
      </c>
      <c r="M204" s="626">
        <f t="shared" si="173"/>
        <v>6981.5199999999995</v>
      </c>
      <c r="N204" s="625"/>
      <c r="O204" s="626"/>
      <c r="P204" s="626"/>
      <c r="Q204" s="626"/>
      <c r="R204" s="626"/>
      <c r="S204" s="627"/>
    </row>
    <row r="205" spans="1:19" x14ac:dyDescent="0.25">
      <c r="A205" s="648" t="s">
        <v>739</v>
      </c>
      <c r="B205" s="649">
        <f>132/176</f>
        <v>0.75</v>
      </c>
      <c r="C205" s="650">
        <v>10.019</v>
      </c>
      <c r="D205" s="650">
        <v>30</v>
      </c>
      <c r="E205" s="653">
        <f t="shared" ref="E205" si="174">ROUND(C205*176*B205*0.3,2)</f>
        <v>396.75</v>
      </c>
      <c r="F205" s="633">
        <f t="shared" ref="F205:F212" si="175">E205*0.2409</f>
        <v>95.577075000000008</v>
      </c>
      <c r="G205" s="634">
        <f t="shared" ref="G205" si="176">ROUND(SUM(E205:F205),2)</f>
        <v>492.33</v>
      </c>
      <c r="H205" s="652">
        <v>0.53797468354430378</v>
      </c>
      <c r="I205" s="633">
        <v>9.68</v>
      </c>
      <c r="J205" s="653">
        <v>20</v>
      </c>
      <c r="K205" s="653">
        <f t="shared" ref="K205:K211" si="177">ROUND(I205*158*H205*0.2,2)</f>
        <v>164.56</v>
      </c>
      <c r="L205" s="633">
        <f t="shared" ref="L205:L238" si="178">K205*0.2409</f>
        <v>39.642504000000002</v>
      </c>
      <c r="M205" s="634">
        <f t="shared" ref="M205:M211" si="179">ROUND(SUM(K205:L205),2)</f>
        <v>204.2</v>
      </c>
      <c r="N205" s="654"/>
      <c r="O205" s="633"/>
      <c r="P205" s="653"/>
      <c r="Q205" s="653"/>
      <c r="R205" s="633"/>
      <c r="S205" s="634"/>
    </row>
    <row r="206" spans="1:19" x14ac:dyDescent="0.25">
      <c r="A206" s="648" t="s">
        <v>739</v>
      </c>
      <c r="B206" s="675">
        <f>12/176</f>
        <v>6.8181818181818177E-2</v>
      </c>
      <c r="C206" s="650">
        <v>10.019</v>
      </c>
      <c r="D206" s="650">
        <v>50</v>
      </c>
      <c r="E206" s="653">
        <f>ROUND(C206*176*B206*0.5,2)</f>
        <v>60.11</v>
      </c>
      <c r="F206" s="633">
        <f t="shared" si="175"/>
        <v>14.480499</v>
      </c>
      <c r="G206" s="634">
        <f t="shared" ref="G206:G207" si="180">ROUND(SUM(E206:F206),2)</f>
        <v>74.59</v>
      </c>
      <c r="H206" s="652">
        <v>0.810126582278481</v>
      </c>
      <c r="I206" s="633">
        <v>10.019</v>
      </c>
      <c r="J206" s="653">
        <v>20</v>
      </c>
      <c r="K206" s="653">
        <f t="shared" si="177"/>
        <v>256.49</v>
      </c>
      <c r="L206" s="633">
        <f t="shared" si="178"/>
        <v>61.788441000000006</v>
      </c>
      <c r="M206" s="634">
        <f t="shared" si="179"/>
        <v>318.27999999999997</v>
      </c>
      <c r="N206" s="654"/>
      <c r="O206" s="633"/>
      <c r="P206" s="653"/>
      <c r="Q206" s="653"/>
      <c r="R206" s="633"/>
      <c r="S206" s="634"/>
    </row>
    <row r="207" spans="1:19" x14ac:dyDescent="0.25">
      <c r="A207" s="648" t="s">
        <v>739</v>
      </c>
      <c r="B207" s="675">
        <f>60/176</f>
        <v>0.34090909090909088</v>
      </c>
      <c r="C207" s="650">
        <v>10.019</v>
      </c>
      <c r="D207" s="650">
        <v>30</v>
      </c>
      <c r="E207" s="653">
        <f t="shared" ref="E207:E211" si="181">ROUND(C207*176*B207*0.3,2)</f>
        <v>180.34</v>
      </c>
      <c r="F207" s="633">
        <f t="shared" si="175"/>
        <v>43.443905999999998</v>
      </c>
      <c r="G207" s="634">
        <f t="shared" si="180"/>
        <v>223.78</v>
      </c>
      <c r="H207" s="652">
        <v>1.1139240506329113</v>
      </c>
      <c r="I207" s="633">
        <v>10.019</v>
      </c>
      <c r="J207" s="653">
        <v>20</v>
      </c>
      <c r="K207" s="653">
        <f t="shared" si="177"/>
        <v>352.67</v>
      </c>
      <c r="L207" s="633">
        <f t="shared" si="178"/>
        <v>84.958203000000012</v>
      </c>
      <c r="M207" s="634">
        <f t="shared" si="179"/>
        <v>437.63</v>
      </c>
      <c r="N207" s="654"/>
      <c r="O207" s="633"/>
      <c r="P207" s="653"/>
      <c r="Q207" s="653"/>
      <c r="R207" s="633"/>
      <c r="S207" s="634"/>
    </row>
    <row r="208" spans="1:19" x14ac:dyDescent="0.25">
      <c r="A208" s="648" t="s">
        <v>739</v>
      </c>
      <c r="B208" s="675">
        <f>72/176</f>
        <v>0.40909090909090912</v>
      </c>
      <c r="C208" s="650">
        <v>9.9220000000000006</v>
      </c>
      <c r="D208" s="650">
        <v>30</v>
      </c>
      <c r="E208" s="653">
        <f t="shared" si="181"/>
        <v>214.32</v>
      </c>
      <c r="F208" s="633">
        <f t="shared" si="175"/>
        <v>51.629688000000002</v>
      </c>
      <c r="G208" s="634">
        <f t="shared" ref="G208:G212" si="182">ROUND(SUM(E208:F208),2)</f>
        <v>265.95</v>
      </c>
      <c r="H208" s="652">
        <v>0.15189873417721519</v>
      </c>
      <c r="I208" s="633">
        <v>9.8249999999999993</v>
      </c>
      <c r="J208" s="653">
        <v>20</v>
      </c>
      <c r="K208" s="653">
        <f t="shared" si="177"/>
        <v>47.16</v>
      </c>
      <c r="L208" s="633">
        <f t="shared" si="178"/>
        <v>11.360844</v>
      </c>
      <c r="M208" s="634">
        <f t="shared" si="179"/>
        <v>58.52</v>
      </c>
      <c r="N208" s="654"/>
      <c r="O208" s="633"/>
      <c r="P208" s="653"/>
      <c r="Q208" s="653"/>
      <c r="R208" s="633"/>
      <c r="S208" s="634"/>
    </row>
    <row r="209" spans="1:19" x14ac:dyDescent="0.25">
      <c r="A209" s="648" t="s">
        <v>739</v>
      </c>
      <c r="B209" s="675">
        <f>36/176</f>
        <v>0.20454545454545456</v>
      </c>
      <c r="C209" s="650">
        <v>10.019</v>
      </c>
      <c r="D209" s="650">
        <v>30</v>
      </c>
      <c r="E209" s="653">
        <f t="shared" si="181"/>
        <v>108.21</v>
      </c>
      <c r="F209" s="633">
        <f t="shared" si="175"/>
        <v>26.067788999999998</v>
      </c>
      <c r="G209" s="634">
        <f t="shared" si="182"/>
        <v>134.28</v>
      </c>
      <c r="H209" s="652">
        <v>0.68354430379746833</v>
      </c>
      <c r="I209" s="633">
        <v>9.9220000000000006</v>
      </c>
      <c r="J209" s="653">
        <v>20</v>
      </c>
      <c r="K209" s="653">
        <f t="shared" si="177"/>
        <v>214.32</v>
      </c>
      <c r="L209" s="633">
        <f t="shared" si="178"/>
        <v>51.629688000000002</v>
      </c>
      <c r="M209" s="634">
        <f t="shared" si="179"/>
        <v>265.95</v>
      </c>
      <c r="N209" s="654"/>
      <c r="O209" s="633"/>
      <c r="P209" s="653"/>
      <c r="Q209" s="653"/>
      <c r="R209" s="633"/>
      <c r="S209" s="634"/>
    </row>
    <row r="210" spans="1:19" x14ac:dyDescent="0.25">
      <c r="A210" s="648" t="s">
        <v>739</v>
      </c>
      <c r="B210" s="675">
        <f>48/176</f>
        <v>0.27272727272727271</v>
      </c>
      <c r="C210" s="650">
        <v>9.8249999999999993</v>
      </c>
      <c r="D210" s="650">
        <v>30</v>
      </c>
      <c r="E210" s="653">
        <f t="shared" si="181"/>
        <v>141.47999999999999</v>
      </c>
      <c r="F210" s="633">
        <f t="shared" si="175"/>
        <v>34.082532</v>
      </c>
      <c r="G210" s="634">
        <f t="shared" si="182"/>
        <v>175.56</v>
      </c>
      <c r="H210" s="652">
        <v>0.68354430379746833</v>
      </c>
      <c r="I210" s="633">
        <v>10.019</v>
      </c>
      <c r="J210" s="653">
        <v>20</v>
      </c>
      <c r="K210" s="653">
        <f t="shared" si="177"/>
        <v>216.41</v>
      </c>
      <c r="L210" s="633">
        <f t="shared" si="178"/>
        <v>52.133169000000002</v>
      </c>
      <c r="M210" s="634">
        <f t="shared" si="179"/>
        <v>268.54000000000002</v>
      </c>
      <c r="N210" s="654"/>
      <c r="O210" s="633"/>
      <c r="P210" s="653"/>
      <c r="Q210" s="653"/>
      <c r="R210" s="633"/>
      <c r="S210" s="634"/>
    </row>
    <row r="211" spans="1:19" x14ac:dyDescent="0.25">
      <c r="A211" s="648" t="s">
        <v>739</v>
      </c>
      <c r="B211" s="675">
        <f>48/176</f>
        <v>0.27272727272727271</v>
      </c>
      <c r="C211" s="650">
        <v>9.9220000000000006</v>
      </c>
      <c r="D211" s="650">
        <v>30</v>
      </c>
      <c r="E211" s="653">
        <f t="shared" si="181"/>
        <v>142.88</v>
      </c>
      <c r="F211" s="633">
        <f t="shared" si="175"/>
        <v>34.419792000000001</v>
      </c>
      <c r="G211" s="634">
        <f t="shared" si="182"/>
        <v>177.3</v>
      </c>
      <c r="H211" s="652">
        <v>0.91139240506329111</v>
      </c>
      <c r="I211" s="633">
        <v>10.019</v>
      </c>
      <c r="J211" s="653">
        <v>20</v>
      </c>
      <c r="K211" s="653">
        <f t="shared" si="177"/>
        <v>288.55</v>
      </c>
      <c r="L211" s="633">
        <f t="shared" si="178"/>
        <v>69.511695000000003</v>
      </c>
      <c r="M211" s="634">
        <f t="shared" si="179"/>
        <v>358.06</v>
      </c>
      <c r="N211" s="654"/>
      <c r="O211" s="633"/>
      <c r="P211" s="653"/>
      <c r="Q211" s="653"/>
      <c r="R211" s="633"/>
      <c r="S211" s="634"/>
    </row>
    <row r="212" spans="1:19" x14ac:dyDescent="0.25">
      <c r="A212" s="648" t="s">
        <v>739</v>
      </c>
      <c r="B212" s="675">
        <f>12/176</f>
        <v>6.8181818181818177E-2</v>
      </c>
      <c r="C212" s="650">
        <v>9.9220000000000006</v>
      </c>
      <c r="D212" s="650">
        <v>50</v>
      </c>
      <c r="E212" s="653">
        <f>ROUND(C212*176*B212*0.5,2)</f>
        <v>59.53</v>
      </c>
      <c r="F212" s="633">
        <f t="shared" si="175"/>
        <v>14.340777000000001</v>
      </c>
      <c r="G212" s="634">
        <f t="shared" si="182"/>
        <v>73.87</v>
      </c>
      <c r="H212" s="654"/>
      <c r="I212" s="633"/>
      <c r="J212" s="653"/>
      <c r="K212" s="653"/>
      <c r="L212" s="633"/>
      <c r="M212" s="634"/>
      <c r="N212" s="654"/>
      <c r="O212" s="633"/>
      <c r="P212" s="653"/>
      <c r="Q212" s="653"/>
      <c r="R212" s="633"/>
      <c r="S212" s="634"/>
    </row>
    <row r="213" spans="1:19" x14ac:dyDescent="0.25">
      <c r="A213" s="648" t="s">
        <v>684</v>
      </c>
      <c r="B213" s="675"/>
      <c r="C213" s="650"/>
      <c r="D213" s="650"/>
      <c r="E213" s="650"/>
      <c r="F213" s="650"/>
      <c r="G213" s="651"/>
      <c r="H213" s="652">
        <v>0.30379746835443039</v>
      </c>
      <c r="I213" s="633">
        <v>8.9420000000000002</v>
      </c>
      <c r="J213" s="653">
        <v>20</v>
      </c>
      <c r="K213" s="653">
        <f t="shared" ref="K213:K222" si="183">ROUND(I213*158*H213*0.2,2)</f>
        <v>85.84</v>
      </c>
      <c r="L213" s="633">
        <f t="shared" si="178"/>
        <v>20.678856</v>
      </c>
      <c r="M213" s="634">
        <f t="shared" ref="M213:M222" si="184">ROUND(SUM(K213:L213),2)</f>
        <v>106.52</v>
      </c>
      <c r="N213" s="654"/>
      <c r="O213" s="633"/>
      <c r="P213" s="653"/>
      <c r="Q213" s="653"/>
      <c r="R213" s="633"/>
      <c r="S213" s="634"/>
    </row>
    <row r="214" spans="1:19" x14ac:dyDescent="0.25">
      <c r="A214" s="648" t="s">
        <v>714</v>
      </c>
      <c r="B214" s="675">
        <f>115/176</f>
        <v>0.65340909090909094</v>
      </c>
      <c r="C214" s="650">
        <v>10.019</v>
      </c>
      <c r="D214" s="650">
        <v>30</v>
      </c>
      <c r="E214" s="653">
        <f t="shared" ref="E214:E218" si="185">ROUND(C214*176*B214*0.3,2)</f>
        <v>345.66</v>
      </c>
      <c r="F214" s="633">
        <f t="shared" ref="F214:F231" si="186">E214*0.2409</f>
        <v>83.269494000000009</v>
      </c>
      <c r="G214" s="634">
        <f t="shared" ref="G214:G218" si="187">ROUND(SUM(E214:F214),2)</f>
        <v>428.93</v>
      </c>
      <c r="H214" s="652">
        <v>0.86075949367088611</v>
      </c>
      <c r="I214" s="633">
        <v>8.9420000000000002</v>
      </c>
      <c r="J214" s="653">
        <v>20</v>
      </c>
      <c r="K214" s="653">
        <f t="shared" si="183"/>
        <v>243.22</v>
      </c>
      <c r="L214" s="633">
        <f t="shared" si="178"/>
        <v>58.591698000000001</v>
      </c>
      <c r="M214" s="634">
        <f t="shared" si="184"/>
        <v>301.81</v>
      </c>
      <c r="N214" s="654"/>
      <c r="O214" s="633"/>
      <c r="P214" s="653"/>
      <c r="Q214" s="653"/>
      <c r="R214" s="633"/>
      <c r="S214" s="634"/>
    </row>
    <row r="215" spans="1:19" x14ac:dyDescent="0.25">
      <c r="A215" s="648" t="s">
        <v>714</v>
      </c>
      <c r="B215" s="675">
        <f>26/176</f>
        <v>0.14772727272727273</v>
      </c>
      <c r="C215" s="650">
        <v>8.9420000000000002</v>
      </c>
      <c r="D215" s="650">
        <v>30</v>
      </c>
      <c r="E215" s="653">
        <f t="shared" si="185"/>
        <v>69.75</v>
      </c>
      <c r="F215" s="633">
        <f t="shared" si="186"/>
        <v>16.802775</v>
      </c>
      <c r="G215" s="634">
        <f t="shared" si="187"/>
        <v>86.55</v>
      </c>
      <c r="H215" s="652">
        <v>0.379746835443038</v>
      </c>
      <c r="I215" s="633">
        <v>8.64</v>
      </c>
      <c r="J215" s="653">
        <v>20</v>
      </c>
      <c r="K215" s="653">
        <f t="shared" si="183"/>
        <v>103.68</v>
      </c>
      <c r="L215" s="633">
        <f t="shared" si="178"/>
        <v>24.976512000000003</v>
      </c>
      <c r="M215" s="634">
        <f t="shared" si="184"/>
        <v>128.66</v>
      </c>
      <c r="N215" s="654"/>
      <c r="O215" s="633"/>
      <c r="P215" s="653"/>
      <c r="Q215" s="653"/>
      <c r="R215" s="633"/>
      <c r="S215" s="634"/>
    </row>
    <row r="216" spans="1:19" x14ac:dyDescent="0.25">
      <c r="A216" s="648" t="s">
        <v>714</v>
      </c>
      <c r="B216" s="675">
        <f>100/176</f>
        <v>0.56818181818181823</v>
      </c>
      <c r="C216" s="650">
        <v>8.9420000000000002</v>
      </c>
      <c r="D216" s="650">
        <v>30</v>
      </c>
      <c r="E216" s="653">
        <f t="shared" si="185"/>
        <v>268.26</v>
      </c>
      <c r="F216" s="633">
        <f t="shared" si="186"/>
        <v>64.623834000000002</v>
      </c>
      <c r="G216" s="634">
        <f t="shared" si="187"/>
        <v>332.88</v>
      </c>
      <c r="H216" s="652">
        <v>0.759493670886076</v>
      </c>
      <c r="I216" s="633">
        <v>8.9420000000000002</v>
      </c>
      <c r="J216" s="653">
        <v>20</v>
      </c>
      <c r="K216" s="653">
        <f t="shared" si="183"/>
        <v>214.61</v>
      </c>
      <c r="L216" s="633">
        <f t="shared" si="178"/>
        <v>51.699549000000005</v>
      </c>
      <c r="M216" s="634">
        <f t="shared" si="184"/>
        <v>266.31</v>
      </c>
      <c r="N216" s="654"/>
      <c r="O216" s="633"/>
      <c r="P216" s="653"/>
      <c r="Q216" s="653"/>
      <c r="R216" s="633"/>
      <c r="S216" s="634"/>
    </row>
    <row r="217" spans="1:19" x14ac:dyDescent="0.25">
      <c r="A217" s="648" t="s">
        <v>714</v>
      </c>
      <c r="B217" s="675">
        <f>48/176</f>
        <v>0.27272727272727271</v>
      </c>
      <c r="C217" s="650">
        <v>8.64</v>
      </c>
      <c r="D217" s="650">
        <v>30</v>
      </c>
      <c r="E217" s="653">
        <f t="shared" si="185"/>
        <v>124.42</v>
      </c>
      <c r="F217" s="633">
        <f t="shared" si="186"/>
        <v>29.972778000000002</v>
      </c>
      <c r="G217" s="634">
        <f t="shared" si="187"/>
        <v>154.38999999999999</v>
      </c>
      <c r="H217" s="652">
        <v>0.53164556962025311</v>
      </c>
      <c r="I217" s="633">
        <v>8.9420000000000002</v>
      </c>
      <c r="J217" s="653">
        <v>20</v>
      </c>
      <c r="K217" s="653">
        <f t="shared" si="183"/>
        <v>150.22999999999999</v>
      </c>
      <c r="L217" s="633">
        <f t="shared" si="178"/>
        <v>36.190407</v>
      </c>
      <c r="M217" s="634">
        <f t="shared" si="184"/>
        <v>186.42</v>
      </c>
      <c r="N217" s="654"/>
      <c r="O217" s="633"/>
      <c r="P217" s="653"/>
      <c r="Q217" s="653"/>
      <c r="R217" s="633"/>
      <c r="S217" s="634"/>
    </row>
    <row r="218" spans="1:19" x14ac:dyDescent="0.25">
      <c r="A218" s="648" t="s">
        <v>714</v>
      </c>
      <c r="B218" s="675">
        <f>48/176</f>
        <v>0.27272727272727271</v>
      </c>
      <c r="C218" s="650">
        <v>8.64</v>
      </c>
      <c r="D218" s="650">
        <v>30</v>
      </c>
      <c r="E218" s="653">
        <f t="shared" si="185"/>
        <v>124.42</v>
      </c>
      <c r="F218" s="633">
        <f t="shared" si="186"/>
        <v>29.972778000000002</v>
      </c>
      <c r="G218" s="634">
        <f t="shared" si="187"/>
        <v>154.38999999999999</v>
      </c>
      <c r="H218" s="652">
        <v>0.54430379746835444</v>
      </c>
      <c r="I218" s="633">
        <v>8.9420000000000002</v>
      </c>
      <c r="J218" s="653">
        <v>20</v>
      </c>
      <c r="K218" s="653">
        <f t="shared" si="183"/>
        <v>153.80000000000001</v>
      </c>
      <c r="L218" s="633">
        <f t="shared" si="178"/>
        <v>37.050420000000003</v>
      </c>
      <c r="M218" s="634">
        <f t="shared" si="184"/>
        <v>190.85</v>
      </c>
      <c r="N218" s="654"/>
      <c r="O218" s="633"/>
      <c r="P218" s="653"/>
      <c r="Q218" s="653"/>
      <c r="R218" s="633"/>
      <c r="S218" s="634"/>
    </row>
    <row r="219" spans="1:19" x14ac:dyDescent="0.25">
      <c r="A219" s="648" t="s">
        <v>714</v>
      </c>
      <c r="B219" s="675">
        <f>74/176</f>
        <v>0.42045454545454547</v>
      </c>
      <c r="C219" s="650">
        <v>8.64</v>
      </c>
      <c r="D219" s="650">
        <v>30</v>
      </c>
      <c r="E219" s="650">
        <v>191.81</v>
      </c>
      <c r="F219" s="633">
        <f t="shared" si="186"/>
        <v>46.207028999999999</v>
      </c>
      <c r="G219" s="634">
        <f t="shared" ref="G219:G220" si="188">ROUND(SUM(E219:F219),2)</f>
        <v>238.02</v>
      </c>
      <c r="H219" s="652">
        <v>0.63291139240506333</v>
      </c>
      <c r="I219" s="633">
        <v>8.64</v>
      </c>
      <c r="J219" s="653">
        <v>20</v>
      </c>
      <c r="K219" s="653">
        <f t="shared" si="183"/>
        <v>172.8</v>
      </c>
      <c r="L219" s="633">
        <f t="shared" si="178"/>
        <v>41.627520000000004</v>
      </c>
      <c r="M219" s="634">
        <f t="shared" si="184"/>
        <v>214.43</v>
      </c>
      <c r="N219" s="654"/>
      <c r="O219" s="633"/>
      <c r="P219" s="653"/>
      <c r="Q219" s="653"/>
      <c r="R219" s="633"/>
      <c r="S219" s="634"/>
    </row>
    <row r="220" spans="1:19" x14ac:dyDescent="0.25">
      <c r="A220" s="648" t="s">
        <v>714</v>
      </c>
      <c r="B220" s="675">
        <f>12/176</f>
        <v>6.8181818181818177E-2</v>
      </c>
      <c r="C220" s="650">
        <v>8.9420000000000002</v>
      </c>
      <c r="D220" s="650">
        <v>50</v>
      </c>
      <c r="E220" s="653">
        <f>ROUND(C220*176*B220*0.5,2)</f>
        <v>53.65</v>
      </c>
      <c r="F220" s="633">
        <f t="shared" si="186"/>
        <v>12.924284999999999</v>
      </c>
      <c r="G220" s="634">
        <f t="shared" si="188"/>
        <v>66.569999999999993</v>
      </c>
      <c r="H220" s="652">
        <v>0.30379746835443039</v>
      </c>
      <c r="I220" s="633">
        <v>8.64</v>
      </c>
      <c r="J220" s="653">
        <v>20</v>
      </c>
      <c r="K220" s="653">
        <f t="shared" si="183"/>
        <v>82.94</v>
      </c>
      <c r="L220" s="633">
        <f t="shared" si="178"/>
        <v>19.980246000000001</v>
      </c>
      <c r="M220" s="634">
        <f t="shared" si="184"/>
        <v>102.92</v>
      </c>
      <c r="N220" s="654"/>
      <c r="O220" s="633"/>
      <c r="P220" s="653"/>
      <c r="Q220" s="653"/>
      <c r="R220" s="633"/>
      <c r="S220" s="634"/>
    </row>
    <row r="221" spans="1:19" x14ac:dyDescent="0.25">
      <c r="A221" s="648" t="s">
        <v>714</v>
      </c>
      <c r="B221" s="675">
        <f>54/176</f>
        <v>0.30681818181818182</v>
      </c>
      <c r="C221" s="650">
        <v>8.9420000000000002</v>
      </c>
      <c r="D221" s="650">
        <v>30</v>
      </c>
      <c r="E221" s="653">
        <f t="shared" ref="E221:E237" si="189">ROUND(C221*176*B221*0.3,2)</f>
        <v>144.86000000000001</v>
      </c>
      <c r="F221" s="633">
        <f t="shared" si="186"/>
        <v>34.896774000000001</v>
      </c>
      <c r="G221" s="634">
        <f t="shared" ref="G221" si="190">ROUND(SUM(E221:F221),2)</f>
        <v>179.76</v>
      </c>
      <c r="H221" s="652">
        <v>0.62658227848101267</v>
      </c>
      <c r="I221" s="633">
        <v>8.64</v>
      </c>
      <c r="J221" s="653">
        <v>20</v>
      </c>
      <c r="K221" s="653">
        <f t="shared" si="183"/>
        <v>171.07</v>
      </c>
      <c r="L221" s="633">
        <f t="shared" si="178"/>
        <v>41.210763</v>
      </c>
      <c r="M221" s="634">
        <f t="shared" si="184"/>
        <v>212.28</v>
      </c>
      <c r="N221" s="654"/>
      <c r="O221" s="633"/>
      <c r="P221" s="653"/>
      <c r="Q221" s="653"/>
      <c r="R221" s="633"/>
      <c r="S221" s="634"/>
    </row>
    <row r="222" spans="1:19" x14ac:dyDescent="0.25">
      <c r="A222" s="648" t="s">
        <v>714</v>
      </c>
      <c r="B222" s="675">
        <f>146/176</f>
        <v>0.82954545454545459</v>
      </c>
      <c r="C222" s="650">
        <v>8.9420000000000002</v>
      </c>
      <c r="D222" s="650">
        <v>30</v>
      </c>
      <c r="E222" s="653">
        <f t="shared" si="189"/>
        <v>391.66</v>
      </c>
      <c r="F222" s="633">
        <f t="shared" si="186"/>
        <v>94.350894000000011</v>
      </c>
      <c r="G222" s="634">
        <f t="shared" ref="G222:G231" si="191">ROUND(SUM(E222:F222),2)</f>
        <v>486.01</v>
      </c>
      <c r="H222" s="652">
        <v>0.379746835443038</v>
      </c>
      <c r="I222" s="633">
        <v>8.64</v>
      </c>
      <c r="J222" s="653">
        <v>20</v>
      </c>
      <c r="K222" s="653">
        <f t="shared" si="183"/>
        <v>103.68</v>
      </c>
      <c r="L222" s="633">
        <f t="shared" si="178"/>
        <v>24.976512000000003</v>
      </c>
      <c r="M222" s="634">
        <f t="shared" si="184"/>
        <v>128.66</v>
      </c>
      <c r="N222" s="654"/>
      <c r="O222" s="633"/>
      <c r="P222" s="653"/>
      <c r="Q222" s="653"/>
      <c r="R222" s="633"/>
      <c r="S222" s="634"/>
    </row>
    <row r="223" spans="1:19" x14ac:dyDescent="0.25">
      <c r="A223" s="648" t="s">
        <v>714</v>
      </c>
      <c r="B223" s="675">
        <f>96/176</f>
        <v>0.54545454545454541</v>
      </c>
      <c r="C223" s="650">
        <v>8.64</v>
      </c>
      <c r="D223" s="650">
        <v>30</v>
      </c>
      <c r="E223" s="653">
        <f t="shared" si="189"/>
        <v>248.83</v>
      </c>
      <c r="F223" s="633">
        <f t="shared" si="186"/>
        <v>59.943147000000003</v>
      </c>
      <c r="G223" s="634">
        <f t="shared" si="191"/>
        <v>308.77</v>
      </c>
      <c r="H223" s="654"/>
      <c r="I223" s="633"/>
      <c r="J223" s="653"/>
      <c r="K223" s="653"/>
      <c r="L223" s="633"/>
      <c r="M223" s="634"/>
      <c r="N223" s="654"/>
      <c r="O223" s="633"/>
      <c r="P223" s="653"/>
      <c r="Q223" s="653"/>
      <c r="R223" s="633"/>
      <c r="S223" s="634"/>
    </row>
    <row r="224" spans="1:19" x14ac:dyDescent="0.25">
      <c r="A224" s="648" t="s">
        <v>20</v>
      </c>
      <c r="B224" s="675">
        <f>24/176</f>
        <v>0.13636363636363635</v>
      </c>
      <c r="C224" s="650">
        <v>6.83</v>
      </c>
      <c r="D224" s="650">
        <v>30</v>
      </c>
      <c r="E224" s="653">
        <f t="shared" si="189"/>
        <v>49.18</v>
      </c>
      <c r="F224" s="633">
        <f t="shared" si="186"/>
        <v>11.847462</v>
      </c>
      <c r="G224" s="634">
        <f t="shared" si="191"/>
        <v>61.03</v>
      </c>
      <c r="H224" s="652">
        <v>0.60759493670886078</v>
      </c>
      <c r="I224" s="633">
        <v>6.83</v>
      </c>
      <c r="J224" s="653">
        <v>20</v>
      </c>
      <c r="K224" s="653">
        <f t="shared" ref="K224:K237" si="192">ROUND(I224*158*H224*0.2,2)</f>
        <v>131.13999999999999</v>
      </c>
      <c r="L224" s="633">
        <f t="shared" si="178"/>
        <v>31.591625999999998</v>
      </c>
      <c r="M224" s="634">
        <f t="shared" ref="M224:M238" si="193">ROUND(SUM(K224:L224),2)</f>
        <v>162.72999999999999</v>
      </c>
      <c r="N224" s="654"/>
      <c r="O224" s="633"/>
      <c r="P224" s="653"/>
      <c r="Q224" s="653"/>
      <c r="R224" s="633"/>
      <c r="S224" s="634"/>
    </row>
    <row r="225" spans="1:19" x14ac:dyDescent="0.25">
      <c r="A225" s="648" t="s">
        <v>20</v>
      </c>
      <c r="B225" s="675">
        <f>96/176</f>
        <v>0.54545454545454541</v>
      </c>
      <c r="C225" s="650">
        <v>8.64</v>
      </c>
      <c r="D225" s="650">
        <v>30</v>
      </c>
      <c r="E225" s="653">
        <f t="shared" si="189"/>
        <v>248.83</v>
      </c>
      <c r="F225" s="633">
        <f t="shared" si="186"/>
        <v>59.943147000000003</v>
      </c>
      <c r="G225" s="634">
        <f t="shared" si="191"/>
        <v>308.77</v>
      </c>
      <c r="H225" s="652">
        <v>0.4050632911392405</v>
      </c>
      <c r="I225" s="633">
        <v>7.52</v>
      </c>
      <c r="J225" s="653">
        <v>20</v>
      </c>
      <c r="K225" s="653">
        <f t="shared" si="192"/>
        <v>96.26</v>
      </c>
      <c r="L225" s="633">
        <f t="shared" si="178"/>
        <v>23.189034000000003</v>
      </c>
      <c r="M225" s="634">
        <f t="shared" si="193"/>
        <v>119.45</v>
      </c>
      <c r="N225" s="654"/>
      <c r="O225" s="633"/>
      <c r="P225" s="653"/>
      <c r="Q225" s="653"/>
      <c r="R225" s="633"/>
      <c r="S225" s="634"/>
    </row>
    <row r="226" spans="1:19" x14ac:dyDescent="0.25">
      <c r="A226" s="648" t="s">
        <v>20</v>
      </c>
      <c r="B226" s="675">
        <f>12/176</f>
        <v>6.8181818181818177E-2</v>
      </c>
      <c r="C226" s="650">
        <v>7.52</v>
      </c>
      <c r="D226" s="650">
        <v>50</v>
      </c>
      <c r="E226" s="653">
        <f>ROUND(C226*176*B226*0.5,2)</f>
        <v>45.12</v>
      </c>
      <c r="F226" s="633">
        <f t="shared" si="186"/>
        <v>10.869408</v>
      </c>
      <c r="G226" s="634">
        <f t="shared" si="191"/>
        <v>55.99</v>
      </c>
      <c r="H226" s="652">
        <v>0.379746835443038</v>
      </c>
      <c r="I226" s="633">
        <v>6.83</v>
      </c>
      <c r="J226" s="653">
        <v>20</v>
      </c>
      <c r="K226" s="653">
        <f t="shared" si="192"/>
        <v>81.96</v>
      </c>
      <c r="L226" s="633">
        <f t="shared" si="178"/>
        <v>19.744163999999998</v>
      </c>
      <c r="M226" s="634">
        <f t="shared" si="193"/>
        <v>101.7</v>
      </c>
      <c r="N226" s="654"/>
      <c r="O226" s="633"/>
      <c r="P226" s="653"/>
      <c r="Q226" s="653"/>
      <c r="R226" s="633"/>
      <c r="S226" s="634"/>
    </row>
    <row r="227" spans="1:19" x14ac:dyDescent="0.25">
      <c r="A227" s="648" t="s">
        <v>20</v>
      </c>
      <c r="B227" s="675">
        <f>36/176</f>
        <v>0.20454545454545456</v>
      </c>
      <c r="C227" s="650">
        <v>7.52</v>
      </c>
      <c r="D227" s="650">
        <v>30</v>
      </c>
      <c r="E227" s="653">
        <f t="shared" si="189"/>
        <v>81.22</v>
      </c>
      <c r="F227" s="633">
        <f t="shared" si="186"/>
        <v>19.565898000000001</v>
      </c>
      <c r="G227" s="634">
        <f t="shared" si="191"/>
        <v>100.79</v>
      </c>
      <c r="H227" s="652">
        <v>0.45569620253164556</v>
      </c>
      <c r="I227" s="633">
        <v>6.83</v>
      </c>
      <c r="J227" s="653">
        <v>20</v>
      </c>
      <c r="K227" s="653">
        <f t="shared" si="192"/>
        <v>98.35</v>
      </c>
      <c r="L227" s="633">
        <f t="shared" si="178"/>
        <v>23.692515</v>
      </c>
      <c r="M227" s="634">
        <f t="shared" si="193"/>
        <v>122.04</v>
      </c>
      <c r="N227" s="654"/>
      <c r="O227" s="633"/>
      <c r="P227" s="653"/>
      <c r="Q227" s="653"/>
      <c r="R227" s="633"/>
      <c r="S227" s="634"/>
    </row>
    <row r="228" spans="1:19" x14ac:dyDescent="0.25">
      <c r="A228" s="648" t="s">
        <v>20</v>
      </c>
      <c r="B228" s="675">
        <f>60/176</f>
        <v>0.34090909090909088</v>
      </c>
      <c r="C228" s="650">
        <v>6.83</v>
      </c>
      <c r="D228" s="650">
        <v>30</v>
      </c>
      <c r="E228" s="653">
        <f t="shared" si="189"/>
        <v>122.94</v>
      </c>
      <c r="F228" s="633">
        <f t="shared" si="186"/>
        <v>29.616246</v>
      </c>
      <c r="G228" s="634">
        <f t="shared" si="191"/>
        <v>152.56</v>
      </c>
      <c r="H228" s="652">
        <v>0.68354430379746833</v>
      </c>
      <c r="I228" s="633">
        <v>6.83</v>
      </c>
      <c r="J228" s="653">
        <v>20</v>
      </c>
      <c r="K228" s="653">
        <f t="shared" si="192"/>
        <v>147.53</v>
      </c>
      <c r="L228" s="633">
        <f t="shared" si="178"/>
        <v>35.539977</v>
      </c>
      <c r="M228" s="634">
        <f t="shared" si="193"/>
        <v>183.07</v>
      </c>
      <c r="N228" s="654"/>
      <c r="O228" s="633"/>
      <c r="P228" s="653"/>
      <c r="Q228" s="653"/>
      <c r="R228" s="633"/>
      <c r="S228" s="634"/>
    </row>
    <row r="229" spans="1:19" x14ac:dyDescent="0.25">
      <c r="A229" s="648" t="s">
        <v>20</v>
      </c>
      <c r="B229" s="675">
        <f>52/176</f>
        <v>0.29545454545454547</v>
      </c>
      <c r="C229" s="650">
        <v>6.83</v>
      </c>
      <c r="D229" s="650">
        <v>30</v>
      </c>
      <c r="E229" s="653">
        <f t="shared" si="189"/>
        <v>106.55</v>
      </c>
      <c r="F229" s="633">
        <f t="shared" si="186"/>
        <v>25.667894999999998</v>
      </c>
      <c r="G229" s="634">
        <f t="shared" si="191"/>
        <v>132.22</v>
      </c>
      <c r="H229" s="652">
        <v>0.379746835443038</v>
      </c>
      <c r="I229" s="633">
        <v>6.83</v>
      </c>
      <c r="J229" s="653">
        <v>20</v>
      </c>
      <c r="K229" s="653">
        <f t="shared" si="192"/>
        <v>81.96</v>
      </c>
      <c r="L229" s="633">
        <f t="shared" si="178"/>
        <v>19.744163999999998</v>
      </c>
      <c r="M229" s="634">
        <f t="shared" si="193"/>
        <v>101.7</v>
      </c>
      <c r="N229" s="654"/>
      <c r="O229" s="633"/>
      <c r="P229" s="653"/>
      <c r="Q229" s="653"/>
      <c r="R229" s="633"/>
      <c r="S229" s="634"/>
    </row>
    <row r="230" spans="1:19" x14ac:dyDescent="0.25">
      <c r="A230" s="648" t="s">
        <v>20</v>
      </c>
      <c r="B230" s="675">
        <f>64/176</f>
        <v>0.36363636363636365</v>
      </c>
      <c r="C230" s="650">
        <v>6.83</v>
      </c>
      <c r="D230" s="650">
        <v>30</v>
      </c>
      <c r="E230" s="653">
        <f t="shared" si="189"/>
        <v>131.13999999999999</v>
      </c>
      <c r="F230" s="633">
        <f t="shared" si="186"/>
        <v>31.591625999999998</v>
      </c>
      <c r="G230" s="634">
        <f t="shared" si="191"/>
        <v>162.72999999999999</v>
      </c>
      <c r="H230" s="652">
        <v>0.78481012658227844</v>
      </c>
      <c r="I230" s="633">
        <v>6.83</v>
      </c>
      <c r="J230" s="653">
        <v>20</v>
      </c>
      <c r="K230" s="653">
        <f t="shared" si="192"/>
        <v>169.38</v>
      </c>
      <c r="L230" s="633">
        <f t="shared" si="178"/>
        <v>40.803641999999996</v>
      </c>
      <c r="M230" s="634">
        <f t="shared" si="193"/>
        <v>210.18</v>
      </c>
      <c r="N230" s="654"/>
      <c r="O230" s="633"/>
      <c r="P230" s="653"/>
      <c r="Q230" s="653"/>
      <c r="R230" s="633"/>
      <c r="S230" s="634"/>
    </row>
    <row r="231" spans="1:19" x14ac:dyDescent="0.25">
      <c r="A231" s="648" t="s">
        <v>20</v>
      </c>
      <c r="B231" s="675">
        <f>36/176</f>
        <v>0.20454545454545456</v>
      </c>
      <c r="C231" s="650">
        <v>6.83</v>
      </c>
      <c r="D231" s="650">
        <v>30</v>
      </c>
      <c r="E231" s="653">
        <f t="shared" si="189"/>
        <v>73.760000000000005</v>
      </c>
      <c r="F231" s="633">
        <f t="shared" si="186"/>
        <v>17.768784</v>
      </c>
      <c r="G231" s="634">
        <f t="shared" si="191"/>
        <v>91.53</v>
      </c>
      <c r="H231" s="652">
        <v>0.15189873417721519</v>
      </c>
      <c r="I231" s="633">
        <v>7.52</v>
      </c>
      <c r="J231" s="653">
        <v>20</v>
      </c>
      <c r="K231" s="653">
        <f t="shared" si="192"/>
        <v>36.1</v>
      </c>
      <c r="L231" s="633">
        <f t="shared" si="178"/>
        <v>8.6964900000000007</v>
      </c>
      <c r="M231" s="634">
        <f t="shared" si="193"/>
        <v>44.8</v>
      </c>
      <c r="N231" s="654"/>
      <c r="O231" s="633"/>
      <c r="P231" s="653"/>
      <c r="Q231" s="653"/>
      <c r="R231" s="633"/>
      <c r="S231" s="634"/>
    </row>
    <row r="232" spans="1:19" x14ac:dyDescent="0.25">
      <c r="A232" s="648" t="s">
        <v>716</v>
      </c>
      <c r="B232" s="649"/>
      <c r="C232" s="650"/>
      <c r="D232" s="650"/>
      <c r="E232" s="650"/>
      <c r="F232" s="650"/>
      <c r="G232" s="651"/>
      <c r="H232" s="652">
        <v>0.759493670886076</v>
      </c>
      <c r="I232" s="633">
        <v>8.64</v>
      </c>
      <c r="J232" s="653">
        <v>20</v>
      </c>
      <c r="K232" s="653">
        <f t="shared" si="192"/>
        <v>207.36</v>
      </c>
      <c r="L232" s="633">
        <f t="shared" si="178"/>
        <v>49.953024000000006</v>
      </c>
      <c r="M232" s="634">
        <f t="shared" si="193"/>
        <v>257.31</v>
      </c>
      <c r="N232" s="654"/>
      <c r="O232" s="633"/>
      <c r="P232" s="653"/>
      <c r="Q232" s="653"/>
      <c r="R232" s="633"/>
      <c r="S232" s="634"/>
    </row>
    <row r="233" spans="1:19" x14ac:dyDescent="0.25">
      <c r="A233" s="648" t="s">
        <v>715</v>
      </c>
      <c r="B233" s="675">
        <f>24/176</f>
        <v>0.13636363636363635</v>
      </c>
      <c r="C233" s="650">
        <v>8.64</v>
      </c>
      <c r="D233" s="650">
        <v>30</v>
      </c>
      <c r="E233" s="653">
        <f t="shared" si="189"/>
        <v>62.21</v>
      </c>
      <c r="F233" s="633">
        <f t="shared" ref="F233:F238" si="194">E233*0.2409</f>
        <v>14.986389000000001</v>
      </c>
      <c r="G233" s="634">
        <f t="shared" ref="G233" si="195">ROUND(SUM(E233:F233),2)</f>
        <v>77.2</v>
      </c>
      <c r="H233" s="652">
        <v>0.4050632911392405</v>
      </c>
      <c r="I233" s="633">
        <v>8.64</v>
      </c>
      <c r="J233" s="653">
        <v>20</v>
      </c>
      <c r="K233" s="653">
        <f t="shared" si="192"/>
        <v>110.59</v>
      </c>
      <c r="L233" s="633">
        <f t="shared" si="178"/>
        <v>26.641131000000001</v>
      </c>
      <c r="M233" s="634">
        <f t="shared" si="193"/>
        <v>137.22999999999999</v>
      </c>
      <c r="N233" s="654"/>
      <c r="O233" s="633"/>
      <c r="P233" s="653"/>
      <c r="Q233" s="653"/>
      <c r="R233" s="633"/>
      <c r="S233" s="634"/>
    </row>
    <row r="234" spans="1:19" x14ac:dyDescent="0.25">
      <c r="A234" s="648" t="s">
        <v>715</v>
      </c>
      <c r="B234" s="675">
        <f>60/176</f>
        <v>0.34090909090909088</v>
      </c>
      <c r="C234" s="650">
        <v>8.64</v>
      </c>
      <c r="D234" s="650">
        <v>30</v>
      </c>
      <c r="E234" s="653">
        <f t="shared" si="189"/>
        <v>155.52000000000001</v>
      </c>
      <c r="F234" s="633">
        <f t="shared" si="194"/>
        <v>37.464767999999999</v>
      </c>
      <c r="G234" s="634">
        <f t="shared" ref="G234:G238" si="196">ROUND(SUM(E234:F234),2)</f>
        <v>192.98</v>
      </c>
      <c r="H234" s="652">
        <v>0.68354430379746833</v>
      </c>
      <c r="I234" s="633">
        <v>8.64</v>
      </c>
      <c r="J234" s="653">
        <v>20</v>
      </c>
      <c r="K234" s="653">
        <f t="shared" si="192"/>
        <v>186.62</v>
      </c>
      <c r="L234" s="633">
        <f t="shared" si="178"/>
        <v>44.956758000000001</v>
      </c>
      <c r="M234" s="634">
        <f t="shared" si="193"/>
        <v>231.58</v>
      </c>
      <c r="N234" s="654"/>
      <c r="O234" s="633"/>
      <c r="P234" s="653"/>
      <c r="Q234" s="653"/>
      <c r="R234" s="633"/>
      <c r="S234" s="634"/>
    </row>
    <row r="235" spans="1:19" x14ac:dyDescent="0.25">
      <c r="A235" s="648" t="s">
        <v>717</v>
      </c>
      <c r="B235" s="675">
        <f>72/176</f>
        <v>0.40909090909090912</v>
      </c>
      <c r="C235" s="650">
        <v>8.64</v>
      </c>
      <c r="D235" s="650">
        <v>30</v>
      </c>
      <c r="E235" s="653">
        <f t="shared" si="189"/>
        <v>186.62</v>
      </c>
      <c r="F235" s="633">
        <f t="shared" si="194"/>
        <v>44.956758000000001</v>
      </c>
      <c r="G235" s="634">
        <f t="shared" si="196"/>
        <v>231.58</v>
      </c>
      <c r="H235" s="652">
        <v>0.53164556962025311</v>
      </c>
      <c r="I235" s="633">
        <v>8.64</v>
      </c>
      <c r="J235" s="653">
        <v>20</v>
      </c>
      <c r="K235" s="653">
        <f t="shared" si="192"/>
        <v>145.15</v>
      </c>
      <c r="L235" s="633">
        <f t="shared" si="178"/>
        <v>34.966635000000004</v>
      </c>
      <c r="M235" s="634">
        <f t="shared" si="193"/>
        <v>180.12</v>
      </c>
      <c r="N235" s="654"/>
      <c r="O235" s="633"/>
      <c r="P235" s="653"/>
      <c r="Q235" s="653"/>
      <c r="R235" s="633"/>
      <c r="S235" s="634"/>
    </row>
    <row r="236" spans="1:19" x14ac:dyDescent="0.25">
      <c r="A236" s="648" t="s">
        <v>717</v>
      </c>
      <c r="B236" s="675">
        <f>156/176</f>
        <v>0.88636363636363635</v>
      </c>
      <c r="C236" s="650">
        <v>8.64</v>
      </c>
      <c r="D236" s="650">
        <v>30</v>
      </c>
      <c r="E236" s="653">
        <f t="shared" si="189"/>
        <v>404.35</v>
      </c>
      <c r="F236" s="633">
        <f t="shared" si="194"/>
        <v>97.407915000000003</v>
      </c>
      <c r="G236" s="634">
        <f t="shared" si="196"/>
        <v>501.76</v>
      </c>
      <c r="H236" s="652">
        <v>1.0379746835443038</v>
      </c>
      <c r="I236" s="633">
        <v>8.64</v>
      </c>
      <c r="J236" s="653">
        <v>20</v>
      </c>
      <c r="K236" s="653">
        <f t="shared" si="192"/>
        <v>283.39</v>
      </c>
      <c r="L236" s="633">
        <f t="shared" si="178"/>
        <v>68.268650999999991</v>
      </c>
      <c r="M236" s="634">
        <f t="shared" si="193"/>
        <v>351.66</v>
      </c>
      <c r="N236" s="654"/>
      <c r="O236" s="633"/>
      <c r="P236" s="653"/>
      <c r="Q236" s="653"/>
      <c r="R236" s="633"/>
      <c r="S236" s="634"/>
    </row>
    <row r="237" spans="1:19" x14ac:dyDescent="0.25">
      <c r="A237" s="648" t="s">
        <v>717</v>
      </c>
      <c r="B237" s="675">
        <f>60/176</f>
        <v>0.34090909090909088</v>
      </c>
      <c r="C237" s="650">
        <v>8.64</v>
      </c>
      <c r="D237" s="650">
        <v>30</v>
      </c>
      <c r="E237" s="653">
        <f t="shared" si="189"/>
        <v>155.52000000000001</v>
      </c>
      <c r="F237" s="633">
        <f t="shared" si="194"/>
        <v>37.464767999999999</v>
      </c>
      <c r="G237" s="634">
        <f t="shared" si="196"/>
        <v>192.98</v>
      </c>
      <c r="H237" s="652">
        <v>0.759493670886076</v>
      </c>
      <c r="I237" s="633">
        <v>8.64</v>
      </c>
      <c r="J237" s="653">
        <v>20</v>
      </c>
      <c r="K237" s="653">
        <f t="shared" si="192"/>
        <v>207.36</v>
      </c>
      <c r="L237" s="633">
        <f t="shared" si="178"/>
        <v>49.953024000000006</v>
      </c>
      <c r="M237" s="634">
        <f t="shared" si="193"/>
        <v>257.31</v>
      </c>
      <c r="N237" s="654"/>
      <c r="O237" s="633"/>
      <c r="P237" s="653"/>
      <c r="Q237" s="653"/>
      <c r="R237" s="633"/>
      <c r="S237" s="634"/>
    </row>
    <row r="238" spans="1:19" ht="15.75" thickBot="1" x14ac:dyDescent="0.3">
      <c r="A238" s="666" t="s">
        <v>713</v>
      </c>
      <c r="B238" s="630">
        <v>0.63629000000000002</v>
      </c>
      <c r="C238" s="631">
        <v>3105</v>
      </c>
      <c r="D238" s="631">
        <v>30</v>
      </c>
      <c r="E238" s="633">
        <f>ROUND(B238*C238*0.3,2)</f>
        <v>592.70000000000005</v>
      </c>
      <c r="F238" s="633">
        <f t="shared" si="194"/>
        <v>142.78143</v>
      </c>
      <c r="G238" s="634">
        <f t="shared" si="196"/>
        <v>735.48</v>
      </c>
      <c r="H238" s="635">
        <v>1</v>
      </c>
      <c r="I238" s="632">
        <v>3105</v>
      </c>
      <c r="J238" s="636">
        <v>20</v>
      </c>
      <c r="K238" s="636">
        <f>ROUND(H238*I238*0.2,2)</f>
        <v>621</v>
      </c>
      <c r="L238" s="632">
        <f t="shared" si="178"/>
        <v>149.59890000000001</v>
      </c>
      <c r="M238" s="637">
        <f t="shared" si="193"/>
        <v>770.6</v>
      </c>
      <c r="N238" s="635"/>
      <c r="O238" s="632"/>
      <c r="P238" s="636"/>
      <c r="Q238" s="636"/>
      <c r="R238" s="632"/>
      <c r="S238" s="637"/>
    </row>
    <row r="239" spans="1:19" ht="38.25" x14ac:dyDescent="0.25">
      <c r="A239" s="663" t="s">
        <v>12</v>
      </c>
      <c r="B239" s="625">
        <f>SUM(B240:B305)</f>
        <v>29.261200000000009</v>
      </c>
      <c r="C239" s="626"/>
      <c r="D239" s="626"/>
      <c r="E239" s="626">
        <f>SUM(E240:E305)</f>
        <v>9052.7300000000032</v>
      </c>
      <c r="F239" s="626">
        <f t="shared" ref="F239:G239" si="197">SUM(F240:F305)</f>
        <v>2180.8026570000002</v>
      </c>
      <c r="G239" s="626">
        <f t="shared" si="197"/>
        <v>11233.540000000003</v>
      </c>
      <c r="H239" s="625">
        <f>SUM(H240:H305)</f>
        <v>49.708860759493675</v>
      </c>
      <c r="I239" s="626"/>
      <c r="J239" s="626"/>
      <c r="K239" s="626">
        <f>SUM(K240:K305)</f>
        <v>9086.7100000000009</v>
      </c>
      <c r="L239" s="626">
        <f t="shared" ref="L239:M239" si="198">SUM(L240:L305)</f>
        <v>2188.9884390000002</v>
      </c>
      <c r="M239" s="626">
        <f t="shared" si="198"/>
        <v>11275.71</v>
      </c>
      <c r="N239" s="625"/>
      <c r="O239" s="626"/>
      <c r="P239" s="626"/>
      <c r="Q239" s="626"/>
      <c r="R239" s="626"/>
      <c r="S239" s="627"/>
    </row>
    <row r="240" spans="1:19" x14ac:dyDescent="0.25">
      <c r="A240" s="648" t="s">
        <v>718</v>
      </c>
      <c r="B240" s="675">
        <f>120/176</f>
        <v>0.68181818181818177</v>
      </c>
      <c r="C240" s="650">
        <v>5.74</v>
      </c>
      <c r="D240" s="650">
        <v>30</v>
      </c>
      <c r="E240" s="653">
        <f t="shared" ref="E240:E302" si="199">ROUND(C240*176*B240*0.3,2)</f>
        <v>206.64</v>
      </c>
      <c r="F240" s="633">
        <f t="shared" ref="F240:F255" si="200">E240*0.2409</f>
        <v>49.779575999999999</v>
      </c>
      <c r="G240" s="634">
        <f t="shared" ref="G240" si="201">ROUND(SUM(E240:F240),2)</f>
        <v>256.42</v>
      </c>
      <c r="H240" s="652">
        <v>0.45569620253164556</v>
      </c>
      <c r="I240" s="633">
        <v>5.9409999999999998</v>
      </c>
      <c r="J240" s="653">
        <v>20</v>
      </c>
      <c r="K240" s="653">
        <f t="shared" ref="K240:K243" si="202">ROUND(I240*158*H240*0.2,2)</f>
        <v>85.55</v>
      </c>
      <c r="L240" s="633">
        <f t="shared" ref="L240:L300" si="203">K240*0.2409</f>
        <v>20.608995</v>
      </c>
      <c r="M240" s="634">
        <f t="shared" ref="M240:M243" si="204">ROUND(SUM(K240:L240),2)</f>
        <v>106.16</v>
      </c>
      <c r="N240" s="654"/>
      <c r="O240" s="633"/>
      <c r="P240" s="653"/>
      <c r="Q240" s="653"/>
      <c r="R240" s="633"/>
      <c r="S240" s="634"/>
    </row>
    <row r="241" spans="1:19" x14ac:dyDescent="0.25">
      <c r="A241" s="648" t="s">
        <v>718</v>
      </c>
      <c r="B241" s="675">
        <f>143/176</f>
        <v>0.8125</v>
      </c>
      <c r="C241" s="650">
        <v>5.74</v>
      </c>
      <c r="D241" s="650">
        <v>30</v>
      </c>
      <c r="E241" s="653">
        <f t="shared" si="199"/>
        <v>246.25</v>
      </c>
      <c r="F241" s="633">
        <f t="shared" si="200"/>
        <v>59.321624999999997</v>
      </c>
      <c r="G241" s="634">
        <f t="shared" ref="G241:G255" si="205">ROUND(SUM(E241:F241),2)</f>
        <v>305.57</v>
      </c>
      <c r="H241" s="652">
        <v>1.2151898734177216</v>
      </c>
      <c r="I241" s="633">
        <v>5.9409999999999998</v>
      </c>
      <c r="J241" s="653">
        <v>20</v>
      </c>
      <c r="K241" s="653">
        <f t="shared" si="202"/>
        <v>228.13</v>
      </c>
      <c r="L241" s="633">
        <f t="shared" si="203"/>
        <v>54.956516999999998</v>
      </c>
      <c r="M241" s="634">
        <f t="shared" si="204"/>
        <v>283.08999999999997</v>
      </c>
      <c r="N241" s="654"/>
      <c r="O241" s="633"/>
      <c r="P241" s="653"/>
      <c r="Q241" s="653"/>
      <c r="R241" s="633"/>
      <c r="S241" s="634"/>
    </row>
    <row r="242" spans="1:19" x14ac:dyDescent="0.25">
      <c r="A242" s="648" t="s">
        <v>718</v>
      </c>
      <c r="B242" s="649">
        <f>88/176</f>
        <v>0.5</v>
      </c>
      <c r="C242" s="650">
        <v>5.9409999999999998</v>
      </c>
      <c r="D242" s="650">
        <v>30</v>
      </c>
      <c r="E242" s="653">
        <f t="shared" si="199"/>
        <v>156.84</v>
      </c>
      <c r="F242" s="633">
        <f t="shared" si="200"/>
        <v>37.782755999999999</v>
      </c>
      <c r="G242" s="634">
        <f t="shared" si="205"/>
        <v>194.62</v>
      </c>
      <c r="H242" s="652">
        <v>1.2151898734177216</v>
      </c>
      <c r="I242" s="633">
        <v>5.74</v>
      </c>
      <c r="J242" s="653">
        <v>20</v>
      </c>
      <c r="K242" s="653">
        <f t="shared" si="202"/>
        <v>220.42</v>
      </c>
      <c r="L242" s="633">
        <f t="shared" si="203"/>
        <v>53.099177999999995</v>
      </c>
      <c r="M242" s="634">
        <f t="shared" si="204"/>
        <v>273.52</v>
      </c>
      <c r="N242" s="654"/>
      <c r="O242" s="633"/>
      <c r="P242" s="653"/>
      <c r="Q242" s="653"/>
      <c r="R242" s="633"/>
      <c r="S242" s="634"/>
    </row>
    <row r="243" spans="1:19" x14ac:dyDescent="0.25">
      <c r="A243" s="648" t="s">
        <v>718</v>
      </c>
      <c r="B243" s="675">
        <f>17/176</f>
        <v>9.6590909090909088E-2</v>
      </c>
      <c r="C243" s="650">
        <v>5.9409999999999998</v>
      </c>
      <c r="D243" s="650">
        <v>50</v>
      </c>
      <c r="E243" s="653">
        <f>ROUND(C243*176*B243*0.5,2)</f>
        <v>50.5</v>
      </c>
      <c r="F243" s="633">
        <f t="shared" si="200"/>
        <v>12.16545</v>
      </c>
      <c r="G243" s="634">
        <f t="shared" si="205"/>
        <v>62.67</v>
      </c>
      <c r="H243" s="652">
        <v>1.3924050632911393</v>
      </c>
      <c r="I243" s="633">
        <v>5.74</v>
      </c>
      <c r="J243" s="653">
        <v>20</v>
      </c>
      <c r="K243" s="653">
        <f t="shared" si="202"/>
        <v>252.56</v>
      </c>
      <c r="L243" s="633">
        <f t="shared" si="203"/>
        <v>60.841704</v>
      </c>
      <c r="M243" s="634">
        <f t="shared" si="204"/>
        <v>313.39999999999998</v>
      </c>
      <c r="N243" s="654"/>
      <c r="O243" s="633"/>
      <c r="P243" s="653"/>
      <c r="Q243" s="653"/>
      <c r="R243" s="633"/>
      <c r="S243" s="634"/>
    </row>
    <row r="244" spans="1:19" x14ac:dyDescent="0.25">
      <c r="A244" s="648" t="s">
        <v>718</v>
      </c>
      <c r="B244" s="675">
        <f>95/176</f>
        <v>0.53977272727272729</v>
      </c>
      <c r="C244" s="650">
        <v>6.3760000000000003</v>
      </c>
      <c r="D244" s="650">
        <v>30</v>
      </c>
      <c r="E244" s="653">
        <f t="shared" si="199"/>
        <v>181.72</v>
      </c>
      <c r="F244" s="633">
        <f t="shared" si="200"/>
        <v>43.776347999999999</v>
      </c>
      <c r="G244" s="634">
        <f t="shared" si="205"/>
        <v>225.5</v>
      </c>
      <c r="H244" s="654"/>
      <c r="I244" s="633"/>
      <c r="J244" s="653"/>
      <c r="K244" s="653"/>
      <c r="L244" s="633"/>
      <c r="M244" s="634"/>
      <c r="N244" s="654"/>
      <c r="O244" s="633"/>
      <c r="P244" s="653"/>
      <c r="Q244" s="653"/>
      <c r="R244" s="633"/>
      <c r="S244" s="634"/>
    </row>
    <row r="245" spans="1:19" x14ac:dyDescent="0.25">
      <c r="A245" s="648" t="s">
        <v>688</v>
      </c>
      <c r="B245" s="649">
        <f>132/176</f>
        <v>0.75</v>
      </c>
      <c r="C245" s="650">
        <v>5.9409999999999998</v>
      </c>
      <c r="D245" s="650">
        <v>30</v>
      </c>
      <c r="E245" s="653">
        <f t="shared" si="199"/>
        <v>235.26</v>
      </c>
      <c r="F245" s="633">
        <f t="shared" si="200"/>
        <v>56.674133999999995</v>
      </c>
      <c r="G245" s="634">
        <f t="shared" si="205"/>
        <v>291.93</v>
      </c>
      <c r="H245" s="652">
        <v>0.60759493670886078</v>
      </c>
      <c r="I245" s="633">
        <v>5.9409999999999998</v>
      </c>
      <c r="J245" s="653">
        <v>20</v>
      </c>
      <c r="K245" s="653">
        <f t="shared" ref="K245:K261" si="206">ROUND(I245*158*H245*0.2,2)</f>
        <v>114.07</v>
      </c>
      <c r="L245" s="633">
        <f t="shared" si="203"/>
        <v>27.479462999999999</v>
      </c>
      <c r="M245" s="634">
        <f t="shared" ref="M245:M261" si="207">ROUND(SUM(K245:L245),2)</f>
        <v>141.55000000000001</v>
      </c>
      <c r="N245" s="654"/>
      <c r="O245" s="633"/>
      <c r="P245" s="653"/>
      <c r="Q245" s="653"/>
      <c r="R245" s="633"/>
      <c r="S245" s="634"/>
    </row>
    <row r="246" spans="1:19" x14ac:dyDescent="0.25">
      <c r="A246" s="648" t="s">
        <v>688</v>
      </c>
      <c r="B246" s="675">
        <f>96/176</f>
        <v>0.54545454545454541</v>
      </c>
      <c r="C246" s="650">
        <v>5.74</v>
      </c>
      <c r="D246" s="650">
        <v>30</v>
      </c>
      <c r="E246" s="653">
        <f t="shared" si="199"/>
        <v>165.31</v>
      </c>
      <c r="F246" s="633">
        <f t="shared" si="200"/>
        <v>39.823179000000003</v>
      </c>
      <c r="G246" s="634">
        <f t="shared" si="205"/>
        <v>205.13</v>
      </c>
      <c r="H246" s="652">
        <v>1.3670886075949367</v>
      </c>
      <c r="I246" s="633">
        <v>5.9409999999999998</v>
      </c>
      <c r="J246" s="653">
        <v>20</v>
      </c>
      <c r="K246" s="653">
        <f t="shared" si="206"/>
        <v>256.64999999999998</v>
      </c>
      <c r="L246" s="633">
        <f t="shared" si="203"/>
        <v>61.826984999999993</v>
      </c>
      <c r="M246" s="634">
        <f t="shared" si="207"/>
        <v>318.48</v>
      </c>
      <c r="N246" s="654"/>
      <c r="O246" s="633"/>
      <c r="P246" s="653"/>
      <c r="Q246" s="653"/>
      <c r="R246" s="633"/>
      <c r="S246" s="634"/>
    </row>
    <row r="247" spans="1:19" x14ac:dyDescent="0.25">
      <c r="A247" s="648" t="s">
        <v>688</v>
      </c>
      <c r="B247" s="675">
        <f>24/176</f>
        <v>0.13636363636363635</v>
      </c>
      <c r="C247" s="650">
        <v>5.74</v>
      </c>
      <c r="D247" s="650">
        <v>50</v>
      </c>
      <c r="E247" s="653">
        <f>ROUND(C247*176*B247*0.5,2)</f>
        <v>68.88</v>
      </c>
      <c r="F247" s="633">
        <f t="shared" si="200"/>
        <v>16.593191999999998</v>
      </c>
      <c r="G247" s="634">
        <f t="shared" si="205"/>
        <v>85.47</v>
      </c>
      <c r="H247" s="652">
        <v>1.139240506329114</v>
      </c>
      <c r="I247" s="633">
        <v>5.8840000000000003</v>
      </c>
      <c r="J247" s="653">
        <v>20</v>
      </c>
      <c r="K247" s="653">
        <f t="shared" si="206"/>
        <v>211.82</v>
      </c>
      <c r="L247" s="633">
        <f t="shared" si="203"/>
        <v>51.027437999999997</v>
      </c>
      <c r="M247" s="634">
        <f t="shared" si="207"/>
        <v>262.85000000000002</v>
      </c>
      <c r="N247" s="654"/>
      <c r="O247" s="633"/>
      <c r="P247" s="653"/>
      <c r="Q247" s="653"/>
      <c r="R247" s="633"/>
      <c r="S247" s="634"/>
    </row>
    <row r="248" spans="1:19" x14ac:dyDescent="0.25">
      <c r="A248" s="648" t="s">
        <v>688</v>
      </c>
      <c r="B248" s="675">
        <f>115/176</f>
        <v>0.65340909090909094</v>
      </c>
      <c r="C248" s="650">
        <v>5.74</v>
      </c>
      <c r="D248" s="650">
        <v>30</v>
      </c>
      <c r="E248" s="653">
        <f t="shared" si="199"/>
        <v>198.03</v>
      </c>
      <c r="F248" s="633">
        <f t="shared" si="200"/>
        <v>47.705427</v>
      </c>
      <c r="G248" s="634">
        <f t="shared" si="205"/>
        <v>245.74</v>
      </c>
      <c r="H248" s="652">
        <v>0.15189873417721519</v>
      </c>
      <c r="I248" s="633">
        <v>5.9409999999999998</v>
      </c>
      <c r="J248" s="653">
        <v>20</v>
      </c>
      <c r="K248" s="653">
        <f t="shared" si="206"/>
        <v>28.52</v>
      </c>
      <c r="L248" s="633">
        <f t="shared" si="203"/>
        <v>6.8704679999999998</v>
      </c>
      <c r="M248" s="634">
        <f t="shared" si="207"/>
        <v>35.39</v>
      </c>
      <c r="N248" s="654"/>
      <c r="O248" s="633"/>
      <c r="P248" s="653"/>
      <c r="Q248" s="653"/>
      <c r="R248" s="633"/>
      <c r="S248" s="634"/>
    </row>
    <row r="249" spans="1:19" x14ac:dyDescent="0.25">
      <c r="A249" s="648" t="s">
        <v>688</v>
      </c>
      <c r="B249" s="675">
        <f>120/176</f>
        <v>0.68181818181818177</v>
      </c>
      <c r="C249" s="650">
        <v>5.9409999999999998</v>
      </c>
      <c r="D249" s="650">
        <v>30</v>
      </c>
      <c r="E249" s="653">
        <f t="shared" si="199"/>
        <v>213.88</v>
      </c>
      <c r="F249" s="633">
        <f t="shared" si="200"/>
        <v>51.523691999999997</v>
      </c>
      <c r="G249" s="634">
        <f t="shared" si="205"/>
        <v>265.39999999999998</v>
      </c>
      <c r="H249" s="652">
        <v>0.60759493670886078</v>
      </c>
      <c r="I249" s="633">
        <v>5.9409999999999998</v>
      </c>
      <c r="J249" s="653">
        <v>20</v>
      </c>
      <c r="K249" s="653">
        <f t="shared" si="206"/>
        <v>114.07</v>
      </c>
      <c r="L249" s="633">
        <f t="shared" si="203"/>
        <v>27.479462999999999</v>
      </c>
      <c r="M249" s="634">
        <f t="shared" si="207"/>
        <v>141.55000000000001</v>
      </c>
      <c r="N249" s="654"/>
      <c r="O249" s="633"/>
      <c r="P249" s="653"/>
      <c r="Q249" s="653"/>
      <c r="R249" s="633"/>
      <c r="S249" s="634"/>
    </row>
    <row r="250" spans="1:19" x14ac:dyDescent="0.25">
      <c r="A250" s="648" t="s">
        <v>688</v>
      </c>
      <c r="B250" s="675">
        <f>136/176</f>
        <v>0.77272727272727271</v>
      </c>
      <c r="C250" s="650">
        <v>5.8840000000000003</v>
      </c>
      <c r="D250" s="650">
        <v>30</v>
      </c>
      <c r="E250" s="653">
        <f t="shared" si="199"/>
        <v>240.07</v>
      </c>
      <c r="F250" s="633">
        <f t="shared" si="200"/>
        <v>57.832862999999996</v>
      </c>
      <c r="G250" s="634">
        <f t="shared" si="205"/>
        <v>297.89999999999998</v>
      </c>
      <c r="H250" s="652">
        <v>1.2911392405063291</v>
      </c>
      <c r="I250" s="633">
        <v>5.9409999999999998</v>
      </c>
      <c r="J250" s="653">
        <v>20</v>
      </c>
      <c r="K250" s="653">
        <f t="shared" si="206"/>
        <v>242.39</v>
      </c>
      <c r="L250" s="633">
        <f t="shared" si="203"/>
        <v>58.391750999999999</v>
      </c>
      <c r="M250" s="634">
        <f t="shared" si="207"/>
        <v>300.77999999999997</v>
      </c>
      <c r="N250" s="654"/>
      <c r="O250" s="633"/>
      <c r="P250" s="653"/>
      <c r="Q250" s="653"/>
      <c r="R250" s="633"/>
      <c r="S250" s="634"/>
    </row>
    <row r="251" spans="1:19" x14ac:dyDescent="0.25">
      <c r="A251" s="648" t="s">
        <v>688</v>
      </c>
      <c r="B251" s="675">
        <f>83/176</f>
        <v>0.47159090909090912</v>
      </c>
      <c r="C251" s="650">
        <v>5.74</v>
      </c>
      <c r="D251" s="650">
        <v>30</v>
      </c>
      <c r="E251" s="653">
        <f t="shared" si="199"/>
        <v>142.93</v>
      </c>
      <c r="F251" s="633">
        <f t="shared" si="200"/>
        <v>34.431837000000002</v>
      </c>
      <c r="G251" s="634">
        <f t="shared" si="205"/>
        <v>177.36</v>
      </c>
      <c r="H251" s="652">
        <v>0.92405063291139244</v>
      </c>
      <c r="I251" s="633">
        <v>5.74</v>
      </c>
      <c r="J251" s="653">
        <v>20</v>
      </c>
      <c r="K251" s="653">
        <f t="shared" si="206"/>
        <v>167.61</v>
      </c>
      <c r="L251" s="633">
        <f t="shared" si="203"/>
        <v>40.377249000000006</v>
      </c>
      <c r="M251" s="634">
        <f t="shared" si="207"/>
        <v>207.99</v>
      </c>
      <c r="N251" s="654"/>
      <c r="O251" s="633"/>
      <c r="P251" s="653"/>
      <c r="Q251" s="653"/>
      <c r="R251" s="633"/>
      <c r="S251" s="634"/>
    </row>
    <row r="252" spans="1:19" x14ac:dyDescent="0.25">
      <c r="A252" s="648" t="s">
        <v>688</v>
      </c>
      <c r="B252" s="675">
        <f>48/176</f>
        <v>0.27272727272727271</v>
      </c>
      <c r="C252" s="650">
        <v>5.9409999999999998</v>
      </c>
      <c r="D252" s="650">
        <v>30</v>
      </c>
      <c r="E252" s="653">
        <f t="shared" si="199"/>
        <v>85.55</v>
      </c>
      <c r="F252" s="633">
        <f t="shared" si="200"/>
        <v>20.608995</v>
      </c>
      <c r="G252" s="634">
        <f t="shared" si="205"/>
        <v>106.16</v>
      </c>
      <c r="H252" s="652">
        <v>1.2151898734177216</v>
      </c>
      <c r="I252" s="633">
        <v>5.9409999999999998</v>
      </c>
      <c r="J252" s="653">
        <v>20</v>
      </c>
      <c r="K252" s="653">
        <f t="shared" si="206"/>
        <v>228.13</v>
      </c>
      <c r="L252" s="633">
        <f t="shared" si="203"/>
        <v>54.956516999999998</v>
      </c>
      <c r="M252" s="634">
        <f t="shared" si="207"/>
        <v>283.08999999999997</v>
      </c>
      <c r="N252" s="654"/>
      <c r="O252" s="633"/>
      <c r="P252" s="653"/>
      <c r="Q252" s="653"/>
      <c r="R252" s="633"/>
      <c r="S252" s="634"/>
    </row>
    <row r="253" spans="1:19" x14ac:dyDescent="0.25">
      <c r="A253" s="648" t="s">
        <v>688</v>
      </c>
      <c r="B253" s="675">
        <f>156/176</f>
        <v>0.88636363636363635</v>
      </c>
      <c r="C253" s="650">
        <v>5.9409999999999998</v>
      </c>
      <c r="D253" s="650">
        <v>30</v>
      </c>
      <c r="E253" s="653">
        <f t="shared" si="199"/>
        <v>278.04000000000002</v>
      </c>
      <c r="F253" s="633">
        <f t="shared" si="200"/>
        <v>66.979836000000006</v>
      </c>
      <c r="G253" s="634">
        <f t="shared" si="205"/>
        <v>345.02</v>
      </c>
      <c r="H253" s="652">
        <v>0.68354430379746833</v>
      </c>
      <c r="I253" s="633">
        <v>5.9409999999999998</v>
      </c>
      <c r="J253" s="653">
        <v>20</v>
      </c>
      <c r="K253" s="653">
        <f t="shared" si="206"/>
        <v>128.33000000000001</v>
      </c>
      <c r="L253" s="633">
        <f t="shared" si="203"/>
        <v>30.914697000000004</v>
      </c>
      <c r="M253" s="634">
        <f t="shared" si="207"/>
        <v>159.24</v>
      </c>
      <c r="N253" s="654"/>
      <c r="O253" s="633"/>
      <c r="P253" s="653"/>
      <c r="Q253" s="653"/>
      <c r="R253" s="633"/>
      <c r="S253" s="634"/>
    </row>
    <row r="254" spans="1:19" x14ac:dyDescent="0.25">
      <c r="A254" s="648" t="s">
        <v>688</v>
      </c>
      <c r="B254" s="675">
        <f>163/176</f>
        <v>0.92613636363636365</v>
      </c>
      <c r="C254" s="650">
        <v>5.9409999999999998</v>
      </c>
      <c r="D254" s="650">
        <v>30</v>
      </c>
      <c r="E254" s="653">
        <f t="shared" si="199"/>
        <v>290.51</v>
      </c>
      <c r="F254" s="633">
        <f t="shared" si="200"/>
        <v>69.983858999999995</v>
      </c>
      <c r="G254" s="634">
        <f t="shared" si="205"/>
        <v>360.49</v>
      </c>
      <c r="H254" s="652">
        <v>0.759493670886076</v>
      </c>
      <c r="I254" s="633">
        <v>5.74</v>
      </c>
      <c r="J254" s="653">
        <v>20</v>
      </c>
      <c r="K254" s="653">
        <f t="shared" si="206"/>
        <v>137.76</v>
      </c>
      <c r="L254" s="633">
        <f t="shared" si="203"/>
        <v>33.186383999999997</v>
      </c>
      <c r="M254" s="634">
        <f t="shared" si="207"/>
        <v>170.95</v>
      </c>
      <c r="N254" s="654"/>
      <c r="O254" s="633"/>
      <c r="P254" s="653"/>
      <c r="Q254" s="653"/>
      <c r="R254" s="633"/>
      <c r="S254" s="634"/>
    </row>
    <row r="255" spans="1:19" x14ac:dyDescent="0.25">
      <c r="A255" s="648" t="s">
        <v>688</v>
      </c>
      <c r="B255" s="675">
        <f>128/176</f>
        <v>0.72727272727272729</v>
      </c>
      <c r="C255" s="650">
        <v>5.9409999999999998</v>
      </c>
      <c r="D255" s="650">
        <v>30</v>
      </c>
      <c r="E255" s="653">
        <f t="shared" si="199"/>
        <v>228.13</v>
      </c>
      <c r="F255" s="633">
        <f t="shared" si="200"/>
        <v>54.956516999999998</v>
      </c>
      <c r="G255" s="634">
        <f t="shared" si="205"/>
        <v>283.08999999999997</v>
      </c>
      <c r="H255" s="652">
        <v>1.0632911392405062</v>
      </c>
      <c r="I255" s="633">
        <v>5.9409999999999998</v>
      </c>
      <c r="J255" s="653">
        <v>20</v>
      </c>
      <c r="K255" s="653">
        <f t="shared" si="206"/>
        <v>199.62</v>
      </c>
      <c r="L255" s="633">
        <f t="shared" si="203"/>
        <v>48.088458000000003</v>
      </c>
      <c r="M255" s="634">
        <f t="shared" si="207"/>
        <v>247.71</v>
      </c>
      <c r="N255" s="654"/>
      <c r="O255" s="633"/>
      <c r="P255" s="653"/>
      <c r="Q255" s="653"/>
      <c r="R255" s="633"/>
      <c r="S255" s="634"/>
    </row>
    <row r="256" spans="1:19" x14ac:dyDescent="0.25">
      <c r="A256" s="648" t="s">
        <v>688</v>
      </c>
      <c r="B256" s="649"/>
      <c r="C256" s="650"/>
      <c r="D256" s="650"/>
      <c r="E256" s="650"/>
      <c r="F256" s="650"/>
      <c r="G256" s="651"/>
      <c r="H256" s="652">
        <v>0.83544303797468356</v>
      </c>
      <c r="I256" s="633">
        <v>5.74</v>
      </c>
      <c r="J256" s="653">
        <v>20</v>
      </c>
      <c r="K256" s="653">
        <f t="shared" si="206"/>
        <v>151.54</v>
      </c>
      <c r="L256" s="633">
        <f t="shared" si="203"/>
        <v>36.505986</v>
      </c>
      <c r="M256" s="634">
        <f t="shared" si="207"/>
        <v>188.05</v>
      </c>
      <c r="N256" s="654"/>
      <c r="O256" s="633"/>
      <c r="P256" s="653"/>
      <c r="Q256" s="653"/>
      <c r="R256" s="633"/>
      <c r="S256" s="634"/>
    </row>
    <row r="257" spans="1:19" x14ac:dyDescent="0.25">
      <c r="A257" s="648" t="s">
        <v>719</v>
      </c>
      <c r="B257" s="675">
        <f>96/176</f>
        <v>0.54545454545454541</v>
      </c>
      <c r="C257" s="650">
        <v>6.3760000000000003</v>
      </c>
      <c r="D257" s="650">
        <v>30</v>
      </c>
      <c r="E257" s="653">
        <f t="shared" si="199"/>
        <v>183.63</v>
      </c>
      <c r="F257" s="633">
        <f t="shared" ref="F257:F272" si="208">E257*0.2409</f>
        <v>44.236466999999998</v>
      </c>
      <c r="G257" s="634">
        <f t="shared" ref="G257:G272" si="209">ROUND(SUM(E257:F257),2)</f>
        <v>227.87</v>
      </c>
      <c r="H257" s="652">
        <v>0.91139240506329111</v>
      </c>
      <c r="I257" s="633">
        <v>6.3760000000000003</v>
      </c>
      <c r="J257" s="653">
        <v>20</v>
      </c>
      <c r="K257" s="653">
        <f t="shared" si="206"/>
        <v>183.63</v>
      </c>
      <c r="L257" s="633">
        <f t="shared" si="203"/>
        <v>44.236466999999998</v>
      </c>
      <c r="M257" s="634">
        <f t="shared" si="207"/>
        <v>227.87</v>
      </c>
      <c r="N257" s="654"/>
      <c r="O257" s="633"/>
      <c r="P257" s="653"/>
      <c r="Q257" s="653"/>
      <c r="R257" s="633"/>
      <c r="S257" s="634"/>
    </row>
    <row r="258" spans="1:19" x14ac:dyDescent="0.25">
      <c r="A258" s="648" t="s">
        <v>719</v>
      </c>
      <c r="B258" s="675">
        <f>24/176</f>
        <v>0.13636363636363635</v>
      </c>
      <c r="C258" s="650">
        <v>5.9409999999999998</v>
      </c>
      <c r="D258" s="650">
        <v>50</v>
      </c>
      <c r="E258" s="653">
        <f>ROUND(C258*176*B258*0.5,2)</f>
        <v>71.290000000000006</v>
      </c>
      <c r="F258" s="633">
        <f t="shared" si="208"/>
        <v>17.173761000000002</v>
      </c>
      <c r="G258" s="634">
        <f t="shared" si="209"/>
        <v>88.46</v>
      </c>
      <c r="H258" s="652">
        <v>1.2151898734177216</v>
      </c>
      <c r="I258" s="633">
        <v>6.3760000000000003</v>
      </c>
      <c r="J258" s="653">
        <v>20</v>
      </c>
      <c r="K258" s="653">
        <f t="shared" si="206"/>
        <v>244.84</v>
      </c>
      <c r="L258" s="633">
        <f t="shared" si="203"/>
        <v>58.981956000000004</v>
      </c>
      <c r="M258" s="634">
        <f t="shared" si="207"/>
        <v>303.82</v>
      </c>
      <c r="N258" s="654"/>
      <c r="O258" s="633"/>
      <c r="P258" s="653"/>
      <c r="Q258" s="653"/>
      <c r="R258" s="633"/>
      <c r="S258" s="634"/>
    </row>
    <row r="259" spans="1:19" x14ac:dyDescent="0.25">
      <c r="A259" s="648" t="s">
        <v>719</v>
      </c>
      <c r="B259" s="675">
        <f>47/176</f>
        <v>0.26704545454545453</v>
      </c>
      <c r="C259" s="650">
        <v>5.9409999999999998</v>
      </c>
      <c r="D259" s="650">
        <v>30</v>
      </c>
      <c r="E259" s="653">
        <f t="shared" si="199"/>
        <v>83.77</v>
      </c>
      <c r="F259" s="633">
        <f t="shared" si="208"/>
        <v>20.180192999999999</v>
      </c>
      <c r="G259" s="634">
        <f t="shared" si="209"/>
        <v>103.95</v>
      </c>
      <c r="H259" s="652">
        <v>0.60759493670886078</v>
      </c>
      <c r="I259" s="633">
        <v>6.3760000000000003</v>
      </c>
      <c r="J259" s="653">
        <v>20</v>
      </c>
      <c r="K259" s="653">
        <f t="shared" si="206"/>
        <v>122.42</v>
      </c>
      <c r="L259" s="633">
        <f t="shared" si="203"/>
        <v>29.490978000000002</v>
      </c>
      <c r="M259" s="634">
        <f t="shared" si="207"/>
        <v>151.91</v>
      </c>
      <c r="N259" s="654"/>
      <c r="O259" s="633"/>
      <c r="P259" s="653"/>
      <c r="Q259" s="653"/>
      <c r="R259" s="633"/>
      <c r="S259" s="634"/>
    </row>
    <row r="260" spans="1:19" x14ac:dyDescent="0.25">
      <c r="A260" s="648" t="s">
        <v>719</v>
      </c>
      <c r="B260" s="675">
        <f>56/176</f>
        <v>0.31818181818181818</v>
      </c>
      <c r="C260" s="650">
        <v>6.3760000000000003</v>
      </c>
      <c r="D260" s="650">
        <v>30</v>
      </c>
      <c r="E260" s="653">
        <f t="shared" si="199"/>
        <v>107.12</v>
      </c>
      <c r="F260" s="633">
        <f t="shared" si="208"/>
        <v>25.805208</v>
      </c>
      <c r="G260" s="634">
        <f t="shared" si="209"/>
        <v>132.93</v>
      </c>
      <c r="H260" s="652">
        <v>1.2151898734177216</v>
      </c>
      <c r="I260" s="633">
        <v>6.3760000000000003</v>
      </c>
      <c r="J260" s="653">
        <v>20</v>
      </c>
      <c r="K260" s="653">
        <f t="shared" si="206"/>
        <v>244.84</v>
      </c>
      <c r="L260" s="633">
        <f t="shared" si="203"/>
        <v>58.981956000000004</v>
      </c>
      <c r="M260" s="634">
        <f t="shared" si="207"/>
        <v>303.82</v>
      </c>
      <c r="N260" s="654"/>
      <c r="O260" s="633"/>
      <c r="P260" s="653"/>
      <c r="Q260" s="653"/>
      <c r="R260" s="633"/>
      <c r="S260" s="634"/>
    </row>
    <row r="261" spans="1:19" x14ac:dyDescent="0.25">
      <c r="A261" s="648" t="s">
        <v>719</v>
      </c>
      <c r="B261" s="675">
        <f>96/176</f>
        <v>0.54545454545454541</v>
      </c>
      <c r="C261" s="650">
        <v>6.3760000000000003</v>
      </c>
      <c r="D261" s="650">
        <v>30</v>
      </c>
      <c r="E261" s="653">
        <f t="shared" si="199"/>
        <v>183.63</v>
      </c>
      <c r="F261" s="633">
        <f t="shared" si="208"/>
        <v>44.236466999999998</v>
      </c>
      <c r="G261" s="634">
        <f t="shared" si="209"/>
        <v>227.87</v>
      </c>
      <c r="H261" s="652">
        <v>1.0632911392405062</v>
      </c>
      <c r="I261" s="633">
        <v>6.3760000000000003</v>
      </c>
      <c r="J261" s="653">
        <v>20</v>
      </c>
      <c r="K261" s="653">
        <f t="shared" si="206"/>
        <v>214.23</v>
      </c>
      <c r="L261" s="633">
        <f t="shared" si="203"/>
        <v>51.608007000000001</v>
      </c>
      <c r="M261" s="634">
        <f t="shared" si="207"/>
        <v>265.83999999999997</v>
      </c>
      <c r="N261" s="654"/>
      <c r="O261" s="633"/>
      <c r="P261" s="653"/>
      <c r="Q261" s="653"/>
      <c r="R261" s="633"/>
      <c r="S261" s="634"/>
    </row>
    <row r="262" spans="1:19" x14ac:dyDescent="0.25">
      <c r="A262" s="648" t="s">
        <v>719</v>
      </c>
      <c r="B262" s="675">
        <f>136/176</f>
        <v>0.77272727272727271</v>
      </c>
      <c r="C262" s="650">
        <v>6.3760000000000003</v>
      </c>
      <c r="D262" s="650">
        <v>30</v>
      </c>
      <c r="E262" s="653">
        <f t="shared" si="199"/>
        <v>260.14</v>
      </c>
      <c r="F262" s="633">
        <f t="shared" si="208"/>
        <v>62.667725999999995</v>
      </c>
      <c r="G262" s="634">
        <f t="shared" si="209"/>
        <v>322.81</v>
      </c>
      <c r="H262" s="654"/>
      <c r="I262" s="633"/>
      <c r="J262" s="653"/>
      <c r="K262" s="653"/>
      <c r="L262" s="633"/>
      <c r="M262" s="634"/>
      <c r="N262" s="654"/>
      <c r="O262" s="633"/>
      <c r="P262" s="653"/>
      <c r="Q262" s="653"/>
      <c r="R262" s="633"/>
      <c r="S262" s="634"/>
    </row>
    <row r="263" spans="1:19" x14ac:dyDescent="0.25">
      <c r="A263" s="648" t="s">
        <v>21</v>
      </c>
      <c r="B263" s="675">
        <f>24/176</f>
        <v>0.13636363636363635</v>
      </c>
      <c r="C263" s="650">
        <v>4.97</v>
      </c>
      <c r="D263" s="650">
        <v>30</v>
      </c>
      <c r="E263" s="653">
        <f t="shared" si="199"/>
        <v>35.78</v>
      </c>
      <c r="F263" s="633">
        <f t="shared" si="208"/>
        <v>8.6194020000000009</v>
      </c>
      <c r="G263" s="634">
        <f t="shared" si="209"/>
        <v>44.4</v>
      </c>
      <c r="H263" s="652">
        <v>0.50632911392405067</v>
      </c>
      <c r="I263" s="633">
        <v>4.97</v>
      </c>
      <c r="J263" s="653">
        <v>20</v>
      </c>
      <c r="K263" s="653">
        <f t="shared" ref="K263:K276" si="210">ROUND(I263*158*H263*0.2,2)</f>
        <v>79.52</v>
      </c>
      <c r="L263" s="633">
        <f t="shared" si="203"/>
        <v>19.156368000000001</v>
      </c>
      <c r="M263" s="634">
        <f t="shared" ref="M263:M276" si="211">ROUND(SUM(K263:L263),2)</f>
        <v>98.68</v>
      </c>
      <c r="N263" s="654"/>
      <c r="O263" s="633"/>
      <c r="P263" s="653"/>
      <c r="Q263" s="653"/>
      <c r="R263" s="633"/>
      <c r="S263" s="634"/>
    </row>
    <row r="264" spans="1:19" x14ac:dyDescent="0.25">
      <c r="A264" s="648" t="s">
        <v>21</v>
      </c>
      <c r="B264" s="675">
        <f>124/176</f>
        <v>0.70454545454545459</v>
      </c>
      <c r="C264" s="650">
        <v>4.97</v>
      </c>
      <c r="D264" s="650">
        <v>30</v>
      </c>
      <c r="E264" s="653">
        <f t="shared" si="199"/>
        <v>184.88</v>
      </c>
      <c r="F264" s="633">
        <f t="shared" si="208"/>
        <v>44.537591999999997</v>
      </c>
      <c r="G264" s="634">
        <f t="shared" si="209"/>
        <v>229.42</v>
      </c>
      <c r="H264" s="652">
        <v>0.60759493670886078</v>
      </c>
      <c r="I264" s="633">
        <v>4.97</v>
      </c>
      <c r="J264" s="653">
        <v>20</v>
      </c>
      <c r="K264" s="653">
        <f t="shared" si="210"/>
        <v>95.42</v>
      </c>
      <c r="L264" s="633">
        <f t="shared" si="203"/>
        <v>22.986678000000001</v>
      </c>
      <c r="M264" s="634">
        <f t="shared" si="211"/>
        <v>118.41</v>
      </c>
      <c r="N264" s="654"/>
      <c r="O264" s="633"/>
      <c r="P264" s="653"/>
      <c r="Q264" s="653"/>
      <c r="R264" s="633"/>
      <c r="S264" s="634"/>
    </row>
    <row r="265" spans="1:19" x14ac:dyDescent="0.25">
      <c r="A265" s="648" t="s">
        <v>21</v>
      </c>
      <c r="B265" s="675">
        <f>72/176</f>
        <v>0.40909090909090912</v>
      </c>
      <c r="C265" s="650">
        <v>4.97</v>
      </c>
      <c r="D265" s="650">
        <v>30</v>
      </c>
      <c r="E265" s="653">
        <f t="shared" si="199"/>
        <v>107.35</v>
      </c>
      <c r="F265" s="633">
        <f t="shared" si="208"/>
        <v>25.860614999999999</v>
      </c>
      <c r="G265" s="634">
        <f t="shared" si="209"/>
        <v>133.21</v>
      </c>
      <c r="H265" s="652">
        <v>1.2151898734177216</v>
      </c>
      <c r="I265" s="633">
        <v>4.97</v>
      </c>
      <c r="J265" s="653">
        <v>20</v>
      </c>
      <c r="K265" s="653">
        <f t="shared" si="210"/>
        <v>190.85</v>
      </c>
      <c r="L265" s="633">
        <f t="shared" si="203"/>
        <v>45.975765000000003</v>
      </c>
      <c r="M265" s="634">
        <f t="shared" si="211"/>
        <v>236.83</v>
      </c>
      <c r="N265" s="654"/>
      <c r="O265" s="633"/>
      <c r="P265" s="653"/>
      <c r="Q265" s="653"/>
      <c r="R265" s="633"/>
      <c r="S265" s="634"/>
    </row>
    <row r="266" spans="1:19" x14ac:dyDescent="0.25">
      <c r="A266" s="648" t="s">
        <v>721</v>
      </c>
      <c r="B266" s="675">
        <f>96/176</f>
        <v>0.54545454545454541</v>
      </c>
      <c r="C266" s="650">
        <v>4.97</v>
      </c>
      <c r="D266" s="650">
        <v>30</v>
      </c>
      <c r="E266" s="653">
        <f t="shared" si="199"/>
        <v>143.13999999999999</v>
      </c>
      <c r="F266" s="633">
        <f t="shared" si="208"/>
        <v>34.482425999999997</v>
      </c>
      <c r="G266" s="634">
        <f t="shared" si="209"/>
        <v>177.62</v>
      </c>
      <c r="H266" s="652">
        <v>0.60759493670886078</v>
      </c>
      <c r="I266" s="633">
        <v>5.1440000000000001</v>
      </c>
      <c r="J266" s="653">
        <v>20</v>
      </c>
      <c r="K266" s="653">
        <f t="shared" si="210"/>
        <v>98.76</v>
      </c>
      <c r="L266" s="633">
        <f t="shared" si="203"/>
        <v>23.791284000000001</v>
      </c>
      <c r="M266" s="634">
        <f t="shared" si="211"/>
        <v>122.55</v>
      </c>
      <c r="N266" s="654"/>
      <c r="O266" s="633"/>
      <c r="P266" s="653"/>
      <c r="Q266" s="653"/>
      <c r="R266" s="633"/>
      <c r="S266" s="634"/>
    </row>
    <row r="267" spans="1:19" x14ac:dyDescent="0.25">
      <c r="A267" s="648" t="s">
        <v>721</v>
      </c>
      <c r="B267" s="675">
        <f>35/176</f>
        <v>0.19886363636363635</v>
      </c>
      <c r="C267" s="650">
        <v>4.97</v>
      </c>
      <c r="D267" s="650">
        <v>30</v>
      </c>
      <c r="E267" s="653">
        <f t="shared" si="199"/>
        <v>52.19</v>
      </c>
      <c r="F267" s="633">
        <f t="shared" si="208"/>
        <v>12.572571</v>
      </c>
      <c r="G267" s="634">
        <f t="shared" si="209"/>
        <v>64.760000000000005</v>
      </c>
      <c r="H267" s="652">
        <v>0.58227848101265822</v>
      </c>
      <c r="I267" s="633">
        <v>5.0449999999999999</v>
      </c>
      <c r="J267" s="653">
        <v>20</v>
      </c>
      <c r="K267" s="653">
        <f t="shared" si="210"/>
        <v>92.83</v>
      </c>
      <c r="L267" s="633">
        <f t="shared" si="203"/>
        <v>22.362746999999999</v>
      </c>
      <c r="M267" s="634">
        <f t="shared" si="211"/>
        <v>115.19</v>
      </c>
      <c r="N267" s="654"/>
      <c r="O267" s="633"/>
      <c r="P267" s="653"/>
      <c r="Q267" s="653"/>
      <c r="R267" s="633"/>
      <c r="S267" s="634"/>
    </row>
    <row r="268" spans="1:19" x14ac:dyDescent="0.25">
      <c r="A268" s="648" t="s">
        <v>721</v>
      </c>
      <c r="B268" s="675">
        <f>71/176</f>
        <v>0.40340909090909088</v>
      </c>
      <c r="C268" s="650">
        <v>5.0449999999999999</v>
      </c>
      <c r="D268" s="650">
        <v>30</v>
      </c>
      <c r="E268" s="653">
        <f t="shared" si="199"/>
        <v>107.46</v>
      </c>
      <c r="F268" s="633">
        <f t="shared" si="208"/>
        <v>25.887114</v>
      </c>
      <c r="G268" s="634">
        <f t="shared" si="209"/>
        <v>133.35</v>
      </c>
      <c r="H268" s="652">
        <v>1.0632911392405062</v>
      </c>
      <c r="I268" s="633">
        <v>5.1440000000000001</v>
      </c>
      <c r="J268" s="653">
        <v>20</v>
      </c>
      <c r="K268" s="653">
        <f t="shared" si="210"/>
        <v>172.84</v>
      </c>
      <c r="L268" s="633">
        <f t="shared" si="203"/>
        <v>41.637156000000004</v>
      </c>
      <c r="M268" s="634">
        <f t="shared" si="211"/>
        <v>214.48</v>
      </c>
      <c r="N268" s="654"/>
      <c r="O268" s="633"/>
      <c r="P268" s="653"/>
      <c r="Q268" s="653"/>
      <c r="R268" s="633"/>
      <c r="S268" s="634"/>
    </row>
    <row r="269" spans="1:19" x14ac:dyDescent="0.25">
      <c r="A269" s="648" t="s">
        <v>721</v>
      </c>
      <c r="B269" s="675">
        <f>52/176</f>
        <v>0.29545454545454547</v>
      </c>
      <c r="C269" s="650">
        <v>5.1440000000000001</v>
      </c>
      <c r="D269" s="650">
        <v>30</v>
      </c>
      <c r="E269" s="653">
        <f t="shared" si="199"/>
        <v>80.25</v>
      </c>
      <c r="F269" s="633">
        <f t="shared" si="208"/>
        <v>19.332225000000001</v>
      </c>
      <c r="G269" s="634">
        <f t="shared" si="209"/>
        <v>99.58</v>
      </c>
      <c r="H269" s="652">
        <v>1.0126582278481013</v>
      </c>
      <c r="I269" s="633">
        <v>5.1440000000000001</v>
      </c>
      <c r="J269" s="653">
        <v>20</v>
      </c>
      <c r="K269" s="653">
        <f t="shared" si="210"/>
        <v>164.61</v>
      </c>
      <c r="L269" s="633">
        <f t="shared" si="203"/>
        <v>39.654549000000003</v>
      </c>
      <c r="M269" s="634">
        <f t="shared" si="211"/>
        <v>204.26</v>
      </c>
      <c r="N269" s="654"/>
      <c r="O269" s="633"/>
      <c r="P269" s="653"/>
      <c r="Q269" s="653"/>
      <c r="R269" s="633"/>
      <c r="S269" s="634"/>
    </row>
    <row r="270" spans="1:19" x14ac:dyDescent="0.25">
      <c r="A270" s="648" t="s">
        <v>721</v>
      </c>
      <c r="B270" s="675">
        <f>120/176</f>
        <v>0.68181818181818177</v>
      </c>
      <c r="C270" s="650">
        <v>5.1440000000000001</v>
      </c>
      <c r="D270" s="650">
        <v>30</v>
      </c>
      <c r="E270" s="653">
        <f t="shared" si="199"/>
        <v>185.18</v>
      </c>
      <c r="F270" s="633">
        <f t="shared" si="208"/>
        <v>44.609862</v>
      </c>
      <c r="G270" s="634">
        <f t="shared" si="209"/>
        <v>229.79</v>
      </c>
      <c r="H270" s="652">
        <v>0.759493670886076</v>
      </c>
      <c r="I270" s="633">
        <v>4.97</v>
      </c>
      <c r="J270" s="653">
        <v>20</v>
      </c>
      <c r="K270" s="653">
        <f t="shared" si="210"/>
        <v>119.28</v>
      </c>
      <c r="L270" s="633">
        <f t="shared" si="203"/>
        <v>28.734552000000001</v>
      </c>
      <c r="M270" s="634">
        <f t="shared" si="211"/>
        <v>148.01</v>
      </c>
      <c r="N270" s="654"/>
      <c r="O270" s="633"/>
      <c r="P270" s="653"/>
      <c r="Q270" s="653"/>
      <c r="R270" s="633"/>
      <c r="S270" s="634"/>
    </row>
    <row r="271" spans="1:19" x14ac:dyDescent="0.25">
      <c r="A271" s="648" t="s">
        <v>721</v>
      </c>
      <c r="B271" s="675">
        <f>120/176</f>
        <v>0.68181818181818177</v>
      </c>
      <c r="C271" s="650">
        <v>4.97</v>
      </c>
      <c r="D271" s="650">
        <v>30</v>
      </c>
      <c r="E271" s="653">
        <f t="shared" si="199"/>
        <v>178.92</v>
      </c>
      <c r="F271" s="633">
        <f t="shared" si="208"/>
        <v>43.101827999999998</v>
      </c>
      <c r="G271" s="634">
        <f t="shared" si="209"/>
        <v>222.02</v>
      </c>
      <c r="H271" s="652">
        <v>1.2911392405063291</v>
      </c>
      <c r="I271" s="633">
        <v>4.97</v>
      </c>
      <c r="J271" s="653">
        <v>20</v>
      </c>
      <c r="K271" s="653">
        <f t="shared" si="210"/>
        <v>202.78</v>
      </c>
      <c r="L271" s="633">
        <f t="shared" si="203"/>
        <v>48.849702000000001</v>
      </c>
      <c r="M271" s="634">
        <f t="shared" si="211"/>
        <v>251.63</v>
      </c>
      <c r="N271" s="654"/>
      <c r="O271" s="633"/>
      <c r="P271" s="653"/>
      <c r="Q271" s="653"/>
      <c r="R271" s="633"/>
      <c r="S271" s="634"/>
    </row>
    <row r="272" spans="1:19" x14ac:dyDescent="0.25">
      <c r="A272" s="648" t="s">
        <v>721</v>
      </c>
      <c r="B272" s="649">
        <f>132/176</f>
        <v>0.75</v>
      </c>
      <c r="C272" s="650">
        <v>5.1440000000000001</v>
      </c>
      <c r="D272" s="650">
        <v>30</v>
      </c>
      <c r="E272" s="653">
        <f t="shared" si="199"/>
        <v>203.7</v>
      </c>
      <c r="F272" s="633">
        <f t="shared" si="208"/>
        <v>49.071329999999996</v>
      </c>
      <c r="G272" s="634">
        <f t="shared" si="209"/>
        <v>252.77</v>
      </c>
      <c r="H272" s="652">
        <v>0.379746835443038</v>
      </c>
      <c r="I272" s="633">
        <v>4.97</v>
      </c>
      <c r="J272" s="653">
        <v>20</v>
      </c>
      <c r="K272" s="653">
        <f t="shared" si="210"/>
        <v>59.64</v>
      </c>
      <c r="L272" s="633">
        <f t="shared" si="203"/>
        <v>14.367276</v>
      </c>
      <c r="M272" s="634">
        <f t="shared" si="211"/>
        <v>74.010000000000005</v>
      </c>
      <c r="N272" s="654"/>
      <c r="O272" s="633"/>
      <c r="P272" s="653"/>
      <c r="Q272" s="653"/>
      <c r="R272" s="633"/>
      <c r="S272" s="634"/>
    </row>
    <row r="273" spans="1:19" x14ac:dyDescent="0.25">
      <c r="A273" s="648" t="s">
        <v>721</v>
      </c>
      <c r="B273" s="649"/>
      <c r="C273" s="650"/>
      <c r="D273" s="650"/>
      <c r="E273" s="650"/>
      <c r="F273" s="650"/>
      <c r="G273" s="651"/>
      <c r="H273" s="652">
        <v>0.30379746835443039</v>
      </c>
      <c r="I273" s="633">
        <v>4.97</v>
      </c>
      <c r="J273" s="653">
        <v>20</v>
      </c>
      <c r="K273" s="653">
        <f t="shared" si="210"/>
        <v>47.71</v>
      </c>
      <c r="L273" s="633">
        <f t="shared" si="203"/>
        <v>11.493339000000001</v>
      </c>
      <c r="M273" s="634">
        <f t="shared" si="211"/>
        <v>59.2</v>
      </c>
      <c r="N273" s="654"/>
      <c r="O273" s="633"/>
      <c r="P273" s="653"/>
      <c r="Q273" s="653"/>
      <c r="R273" s="633"/>
      <c r="S273" s="634"/>
    </row>
    <row r="274" spans="1:19" x14ac:dyDescent="0.25">
      <c r="A274" s="648" t="s">
        <v>681</v>
      </c>
      <c r="B274" s="649">
        <f>88/176</f>
        <v>0.5</v>
      </c>
      <c r="C274" s="650">
        <v>5.8840000000000003</v>
      </c>
      <c r="D274" s="650">
        <v>30</v>
      </c>
      <c r="E274" s="653">
        <f t="shared" si="199"/>
        <v>155.34</v>
      </c>
      <c r="F274" s="633">
        <f t="shared" ref="F274:F282" si="212">E274*0.2409</f>
        <v>37.421406000000005</v>
      </c>
      <c r="G274" s="634">
        <f t="shared" ref="G274:G282" si="213">ROUND(SUM(E274:F274),2)</f>
        <v>192.76</v>
      </c>
      <c r="H274" s="652"/>
      <c r="I274" s="633"/>
      <c r="J274" s="653"/>
      <c r="K274" s="653"/>
      <c r="L274" s="633"/>
      <c r="M274" s="634"/>
      <c r="N274" s="654"/>
      <c r="O274" s="633"/>
      <c r="P274" s="653"/>
      <c r="Q274" s="653"/>
      <c r="R274" s="633"/>
      <c r="S274" s="634"/>
    </row>
    <row r="275" spans="1:19" x14ac:dyDescent="0.25">
      <c r="A275" s="648" t="s">
        <v>680</v>
      </c>
      <c r="B275" s="675">
        <f>72/176</f>
        <v>0.40909090909090912</v>
      </c>
      <c r="C275" s="650">
        <v>4.97</v>
      </c>
      <c r="D275" s="650">
        <v>30</v>
      </c>
      <c r="E275" s="653">
        <f t="shared" si="199"/>
        <v>107.35</v>
      </c>
      <c r="F275" s="633">
        <f t="shared" si="212"/>
        <v>25.860614999999999</v>
      </c>
      <c r="G275" s="634">
        <f t="shared" si="213"/>
        <v>133.21</v>
      </c>
      <c r="H275" s="652">
        <v>0.45569620253164556</v>
      </c>
      <c r="I275" s="633">
        <v>5.8840000000000003</v>
      </c>
      <c r="J275" s="653">
        <v>20</v>
      </c>
      <c r="K275" s="653">
        <f t="shared" si="210"/>
        <v>84.73</v>
      </c>
      <c r="L275" s="633">
        <f t="shared" si="203"/>
        <v>20.411457000000002</v>
      </c>
      <c r="M275" s="634">
        <f t="shared" si="211"/>
        <v>105.14</v>
      </c>
      <c r="N275" s="654"/>
      <c r="O275" s="633"/>
      <c r="P275" s="653"/>
      <c r="Q275" s="653"/>
      <c r="R275" s="633"/>
      <c r="S275" s="634"/>
    </row>
    <row r="276" spans="1:19" x14ac:dyDescent="0.25">
      <c r="A276" s="648" t="s">
        <v>680</v>
      </c>
      <c r="B276" s="675">
        <f>24/176</f>
        <v>0.13636363636363635</v>
      </c>
      <c r="C276" s="650">
        <v>5.74</v>
      </c>
      <c r="D276" s="650">
        <v>50</v>
      </c>
      <c r="E276" s="653">
        <f>ROUND(C276*176*B276*0.5,2)</f>
        <v>68.88</v>
      </c>
      <c r="F276" s="633">
        <f t="shared" si="212"/>
        <v>16.593191999999998</v>
      </c>
      <c r="G276" s="634">
        <f t="shared" si="213"/>
        <v>85.47</v>
      </c>
      <c r="H276" s="652">
        <v>0.45569620253164556</v>
      </c>
      <c r="I276" s="633">
        <v>5.74</v>
      </c>
      <c r="J276" s="653">
        <v>20</v>
      </c>
      <c r="K276" s="653">
        <f t="shared" si="210"/>
        <v>82.66</v>
      </c>
      <c r="L276" s="633">
        <f t="shared" si="203"/>
        <v>19.912793999999998</v>
      </c>
      <c r="M276" s="634">
        <f t="shared" si="211"/>
        <v>102.57</v>
      </c>
      <c r="N276" s="654"/>
      <c r="O276" s="633"/>
      <c r="P276" s="653"/>
      <c r="Q276" s="653"/>
      <c r="R276" s="633"/>
      <c r="S276" s="634"/>
    </row>
    <row r="277" spans="1:19" x14ac:dyDescent="0.25">
      <c r="A277" s="648" t="s">
        <v>680</v>
      </c>
      <c r="B277" s="675">
        <f>48/176</f>
        <v>0.27272727272727271</v>
      </c>
      <c r="C277" s="650">
        <v>5.8840000000000003</v>
      </c>
      <c r="D277" s="650">
        <v>30</v>
      </c>
      <c r="E277" s="653">
        <f t="shared" si="199"/>
        <v>84.73</v>
      </c>
      <c r="F277" s="633">
        <f t="shared" si="212"/>
        <v>20.411457000000002</v>
      </c>
      <c r="G277" s="634">
        <f t="shared" si="213"/>
        <v>105.14</v>
      </c>
      <c r="H277" s="654"/>
      <c r="I277" s="633"/>
      <c r="J277" s="653"/>
      <c r="K277" s="653"/>
      <c r="L277" s="633"/>
      <c r="M277" s="634"/>
      <c r="N277" s="654"/>
      <c r="O277" s="633"/>
      <c r="P277" s="653"/>
      <c r="Q277" s="653"/>
      <c r="R277" s="633"/>
      <c r="S277" s="634"/>
    </row>
    <row r="278" spans="1:19" x14ac:dyDescent="0.25">
      <c r="A278" s="648" t="s">
        <v>17</v>
      </c>
      <c r="B278" s="675">
        <f>128/176</f>
        <v>0.72727272727272729</v>
      </c>
      <c r="C278" s="650">
        <v>4.97</v>
      </c>
      <c r="D278" s="650">
        <v>30</v>
      </c>
      <c r="E278" s="653">
        <f t="shared" si="199"/>
        <v>190.85</v>
      </c>
      <c r="F278" s="633">
        <f t="shared" si="212"/>
        <v>45.975765000000003</v>
      </c>
      <c r="G278" s="634">
        <f t="shared" si="213"/>
        <v>236.83</v>
      </c>
      <c r="H278" s="652">
        <v>1.139240506329114</v>
      </c>
      <c r="I278" s="633">
        <v>5.0449999999999999</v>
      </c>
      <c r="J278" s="653">
        <v>20</v>
      </c>
      <c r="K278" s="653">
        <f t="shared" ref="K278:K300" si="214">ROUND(I278*158*H278*0.2,2)</f>
        <v>181.62</v>
      </c>
      <c r="L278" s="633">
        <f t="shared" si="203"/>
        <v>43.752258000000005</v>
      </c>
      <c r="M278" s="634">
        <f t="shared" ref="M278:M300" si="215">ROUND(SUM(K278:L278),2)</f>
        <v>225.37</v>
      </c>
      <c r="N278" s="654"/>
      <c r="O278" s="633"/>
      <c r="P278" s="653"/>
      <c r="Q278" s="653"/>
      <c r="R278" s="633"/>
      <c r="S278" s="634"/>
    </row>
    <row r="279" spans="1:19" x14ac:dyDescent="0.25">
      <c r="A279" s="648" t="s">
        <v>17</v>
      </c>
      <c r="B279" s="675">
        <f>24/176</f>
        <v>0.13636363636363635</v>
      </c>
      <c r="C279" s="650">
        <v>4.97</v>
      </c>
      <c r="D279" s="650">
        <v>30</v>
      </c>
      <c r="E279" s="653">
        <f t="shared" si="199"/>
        <v>35.78</v>
      </c>
      <c r="F279" s="633">
        <f t="shared" si="212"/>
        <v>8.6194020000000009</v>
      </c>
      <c r="G279" s="634">
        <f t="shared" si="213"/>
        <v>44.4</v>
      </c>
      <c r="H279" s="652">
        <v>0.759493670886076</v>
      </c>
      <c r="I279" s="633">
        <v>4.97</v>
      </c>
      <c r="J279" s="653">
        <v>20</v>
      </c>
      <c r="K279" s="653">
        <f t="shared" si="214"/>
        <v>119.28</v>
      </c>
      <c r="L279" s="633">
        <f t="shared" si="203"/>
        <v>28.734552000000001</v>
      </c>
      <c r="M279" s="634">
        <f t="shared" si="215"/>
        <v>148.01</v>
      </c>
      <c r="N279" s="654"/>
      <c r="O279" s="633"/>
      <c r="P279" s="653"/>
      <c r="Q279" s="653"/>
      <c r="R279" s="633"/>
      <c r="S279" s="634"/>
    </row>
    <row r="280" spans="1:19" x14ac:dyDescent="0.25">
      <c r="A280" s="648" t="s">
        <v>17</v>
      </c>
      <c r="B280" s="675">
        <f>52/176</f>
        <v>0.29545454545454547</v>
      </c>
      <c r="C280" s="650">
        <v>5.0449999999999999</v>
      </c>
      <c r="D280" s="650">
        <v>30</v>
      </c>
      <c r="E280" s="653">
        <f t="shared" si="199"/>
        <v>78.7</v>
      </c>
      <c r="F280" s="633">
        <f t="shared" si="212"/>
        <v>18.958830000000003</v>
      </c>
      <c r="G280" s="634">
        <f t="shared" si="213"/>
        <v>97.66</v>
      </c>
      <c r="H280" s="652">
        <v>0.83544303797468356</v>
      </c>
      <c r="I280" s="633">
        <v>4.97</v>
      </c>
      <c r="J280" s="653">
        <v>20</v>
      </c>
      <c r="K280" s="653">
        <f t="shared" si="214"/>
        <v>131.21</v>
      </c>
      <c r="L280" s="633">
        <f t="shared" si="203"/>
        <v>31.608489000000002</v>
      </c>
      <c r="M280" s="634">
        <f t="shared" si="215"/>
        <v>162.82</v>
      </c>
      <c r="N280" s="654"/>
      <c r="O280" s="633"/>
      <c r="P280" s="653"/>
      <c r="Q280" s="653"/>
      <c r="R280" s="633"/>
      <c r="S280" s="634"/>
    </row>
    <row r="281" spans="1:19" x14ac:dyDescent="0.25">
      <c r="A281" s="648" t="s">
        <v>17</v>
      </c>
      <c r="B281" s="675">
        <f>32/176</f>
        <v>0.18181818181818182</v>
      </c>
      <c r="C281" s="650">
        <v>4.97</v>
      </c>
      <c r="D281" s="650">
        <v>30</v>
      </c>
      <c r="E281" s="653">
        <f t="shared" si="199"/>
        <v>47.71</v>
      </c>
      <c r="F281" s="633">
        <f t="shared" si="212"/>
        <v>11.493339000000001</v>
      </c>
      <c r="G281" s="634">
        <f t="shared" si="213"/>
        <v>59.2</v>
      </c>
      <c r="H281" s="652">
        <v>0.189873417721519</v>
      </c>
      <c r="I281" s="633">
        <v>5.0449999999999999</v>
      </c>
      <c r="J281" s="653">
        <v>20</v>
      </c>
      <c r="K281" s="653">
        <f t="shared" si="214"/>
        <v>30.27</v>
      </c>
      <c r="L281" s="633">
        <f t="shared" si="203"/>
        <v>7.2920429999999996</v>
      </c>
      <c r="M281" s="634">
        <f t="shared" si="215"/>
        <v>37.56</v>
      </c>
      <c r="N281" s="654"/>
      <c r="O281" s="633"/>
      <c r="P281" s="653"/>
      <c r="Q281" s="653"/>
      <c r="R281" s="633"/>
      <c r="S281" s="634"/>
    </row>
    <row r="282" spans="1:19" x14ac:dyDescent="0.25">
      <c r="A282" s="648" t="s">
        <v>17</v>
      </c>
      <c r="B282" s="675">
        <f>136/176</f>
        <v>0.77272727272727271</v>
      </c>
      <c r="C282" s="650">
        <v>4.97</v>
      </c>
      <c r="D282" s="650">
        <v>30</v>
      </c>
      <c r="E282" s="653">
        <f t="shared" si="199"/>
        <v>202.78</v>
      </c>
      <c r="F282" s="633">
        <f t="shared" si="212"/>
        <v>48.849702000000001</v>
      </c>
      <c r="G282" s="634">
        <f t="shared" si="213"/>
        <v>251.63</v>
      </c>
      <c r="H282" s="652">
        <v>1.1139240506329113</v>
      </c>
      <c r="I282" s="633">
        <v>4.97</v>
      </c>
      <c r="J282" s="653">
        <v>20</v>
      </c>
      <c r="K282" s="653">
        <f t="shared" si="214"/>
        <v>174.94</v>
      </c>
      <c r="L282" s="633">
        <f t="shared" si="203"/>
        <v>42.143045999999998</v>
      </c>
      <c r="M282" s="634">
        <f t="shared" si="215"/>
        <v>217.08</v>
      </c>
      <c r="N282" s="654"/>
      <c r="O282" s="633"/>
      <c r="P282" s="653"/>
      <c r="Q282" s="653"/>
      <c r="R282" s="633"/>
      <c r="S282" s="634"/>
    </row>
    <row r="283" spans="1:19" x14ac:dyDescent="0.25">
      <c r="A283" s="648" t="s">
        <v>17</v>
      </c>
      <c r="B283" s="649"/>
      <c r="C283" s="650"/>
      <c r="D283" s="650"/>
      <c r="E283" s="650"/>
      <c r="F283" s="650"/>
      <c r="G283" s="651"/>
      <c r="H283" s="652">
        <v>0.45569620253164556</v>
      </c>
      <c r="I283" s="633">
        <v>4.97</v>
      </c>
      <c r="J283" s="653">
        <v>20</v>
      </c>
      <c r="K283" s="653">
        <f t="shared" si="214"/>
        <v>71.569999999999993</v>
      </c>
      <c r="L283" s="633">
        <f t="shared" si="203"/>
        <v>17.241212999999998</v>
      </c>
      <c r="M283" s="634">
        <f t="shared" si="215"/>
        <v>88.81</v>
      </c>
      <c r="N283" s="654"/>
      <c r="O283" s="633"/>
      <c r="P283" s="653"/>
      <c r="Q283" s="653"/>
      <c r="R283" s="633"/>
      <c r="S283" s="634"/>
    </row>
    <row r="284" spans="1:19" x14ac:dyDescent="0.25">
      <c r="A284" s="648" t="s">
        <v>682</v>
      </c>
      <c r="B284" s="675">
        <f>72/176</f>
        <v>0.40909090909090912</v>
      </c>
      <c r="C284" s="650">
        <v>5.74</v>
      </c>
      <c r="D284" s="650">
        <v>30</v>
      </c>
      <c r="E284" s="653">
        <f t="shared" si="199"/>
        <v>123.98</v>
      </c>
      <c r="F284" s="633">
        <f t="shared" ref="F284:F305" si="216">E284*0.2409</f>
        <v>29.866782000000001</v>
      </c>
      <c r="G284" s="634">
        <f t="shared" ref="G284:G305" si="217">ROUND(SUM(E284:F284),2)</f>
        <v>153.85</v>
      </c>
      <c r="H284" s="652">
        <v>0.379746835443038</v>
      </c>
      <c r="I284" s="633">
        <v>5.9409999999999998</v>
      </c>
      <c r="J284" s="653">
        <v>20</v>
      </c>
      <c r="K284" s="653">
        <f t="shared" si="214"/>
        <v>71.290000000000006</v>
      </c>
      <c r="L284" s="633">
        <f t="shared" si="203"/>
        <v>17.173761000000002</v>
      </c>
      <c r="M284" s="634">
        <f t="shared" si="215"/>
        <v>88.46</v>
      </c>
      <c r="N284" s="654"/>
      <c r="O284" s="633"/>
      <c r="P284" s="653"/>
      <c r="Q284" s="653"/>
      <c r="R284" s="633"/>
      <c r="S284" s="634"/>
    </row>
    <row r="285" spans="1:19" x14ac:dyDescent="0.25">
      <c r="A285" s="648" t="s">
        <v>682</v>
      </c>
      <c r="B285" s="675">
        <f>71/176</f>
        <v>0.40340909090909088</v>
      </c>
      <c r="C285" s="650">
        <v>5.74</v>
      </c>
      <c r="D285" s="650">
        <v>30</v>
      </c>
      <c r="E285" s="653">
        <f t="shared" si="199"/>
        <v>122.26</v>
      </c>
      <c r="F285" s="633">
        <f t="shared" si="216"/>
        <v>29.452434</v>
      </c>
      <c r="G285" s="634">
        <f t="shared" si="217"/>
        <v>151.71</v>
      </c>
      <c r="H285" s="652">
        <v>0.30379746835443039</v>
      </c>
      <c r="I285" s="633">
        <v>5.8259999999999996</v>
      </c>
      <c r="J285" s="653">
        <v>20</v>
      </c>
      <c r="K285" s="653">
        <f t="shared" si="214"/>
        <v>55.93</v>
      </c>
      <c r="L285" s="633">
        <f t="shared" si="203"/>
        <v>13.473537</v>
      </c>
      <c r="M285" s="634">
        <f t="shared" si="215"/>
        <v>69.400000000000006</v>
      </c>
      <c r="N285" s="654"/>
      <c r="O285" s="633"/>
      <c r="P285" s="653"/>
      <c r="Q285" s="653"/>
      <c r="R285" s="633"/>
      <c r="S285" s="634"/>
    </row>
    <row r="286" spans="1:19" x14ac:dyDescent="0.25">
      <c r="A286" s="648" t="s">
        <v>682</v>
      </c>
      <c r="B286" s="675">
        <f>48/176</f>
        <v>0.27272727272727271</v>
      </c>
      <c r="C286" s="650">
        <v>5.74</v>
      </c>
      <c r="D286" s="650">
        <v>30</v>
      </c>
      <c r="E286" s="653">
        <f t="shared" si="199"/>
        <v>82.66</v>
      </c>
      <c r="F286" s="633">
        <f t="shared" si="216"/>
        <v>19.912793999999998</v>
      </c>
      <c r="G286" s="634">
        <f t="shared" si="217"/>
        <v>102.57</v>
      </c>
      <c r="H286" s="652">
        <v>0.45569620253164556</v>
      </c>
      <c r="I286" s="633">
        <v>5.8259999999999996</v>
      </c>
      <c r="J286" s="653">
        <v>20</v>
      </c>
      <c r="K286" s="653">
        <f t="shared" si="214"/>
        <v>83.89</v>
      </c>
      <c r="L286" s="633">
        <f t="shared" si="203"/>
        <v>20.209101</v>
      </c>
      <c r="M286" s="634">
        <f t="shared" si="215"/>
        <v>104.1</v>
      </c>
      <c r="N286" s="654"/>
      <c r="O286" s="633"/>
      <c r="P286" s="653"/>
      <c r="Q286" s="653"/>
      <c r="R286" s="633"/>
      <c r="S286" s="634"/>
    </row>
    <row r="287" spans="1:19" x14ac:dyDescent="0.25">
      <c r="A287" s="648" t="s">
        <v>682</v>
      </c>
      <c r="B287" s="675">
        <f>32/176</f>
        <v>0.18181818181818182</v>
      </c>
      <c r="C287" s="650">
        <v>5.8259999999999996</v>
      </c>
      <c r="D287" s="650">
        <v>30</v>
      </c>
      <c r="E287" s="653">
        <f t="shared" si="199"/>
        <v>55.93</v>
      </c>
      <c r="F287" s="633">
        <f t="shared" si="216"/>
        <v>13.473537</v>
      </c>
      <c r="G287" s="634">
        <f t="shared" si="217"/>
        <v>69.400000000000006</v>
      </c>
      <c r="H287" s="652">
        <v>0.25316455696202533</v>
      </c>
      <c r="I287" s="633">
        <v>5.8259999999999996</v>
      </c>
      <c r="J287" s="653">
        <v>20</v>
      </c>
      <c r="K287" s="653">
        <f t="shared" si="214"/>
        <v>46.61</v>
      </c>
      <c r="L287" s="633">
        <f t="shared" si="203"/>
        <v>11.228349</v>
      </c>
      <c r="M287" s="634">
        <f t="shared" si="215"/>
        <v>57.84</v>
      </c>
      <c r="N287" s="654"/>
      <c r="O287" s="633"/>
      <c r="P287" s="653"/>
      <c r="Q287" s="653"/>
      <c r="R287" s="633"/>
      <c r="S287" s="634"/>
    </row>
    <row r="288" spans="1:19" x14ac:dyDescent="0.25">
      <c r="A288" s="648" t="s">
        <v>682</v>
      </c>
      <c r="B288" s="675">
        <f>24/176</f>
        <v>0.13636363636363635</v>
      </c>
      <c r="C288" s="650">
        <v>5.8259999999999996</v>
      </c>
      <c r="D288" s="650">
        <v>30</v>
      </c>
      <c r="E288" s="653">
        <f t="shared" si="199"/>
        <v>41.95</v>
      </c>
      <c r="F288" s="633">
        <f t="shared" si="216"/>
        <v>10.105755</v>
      </c>
      <c r="G288" s="634">
        <f t="shared" si="217"/>
        <v>52.06</v>
      </c>
      <c r="H288" s="652">
        <v>0.91139240506329111</v>
      </c>
      <c r="I288" s="633">
        <v>5.9409999999999998</v>
      </c>
      <c r="J288" s="653">
        <v>20</v>
      </c>
      <c r="K288" s="653">
        <f t="shared" si="214"/>
        <v>171.1</v>
      </c>
      <c r="L288" s="633">
        <f t="shared" si="203"/>
        <v>41.21799</v>
      </c>
      <c r="M288" s="634">
        <f t="shared" si="215"/>
        <v>212.32</v>
      </c>
      <c r="N288" s="654"/>
      <c r="O288" s="633"/>
      <c r="P288" s="653"/>
      <c r="Q288" s="653"/>
      <c r="R288" s="633"/>
      <c r="S288" s="634"/>
    </row>
    <row r="289" spans="1:19" x14ac:dyDescent="0.25">
      <c r="A289" s="648" t="s">
        <v>682</v>
      </c>
      <c r="B289" s="675">
        <f>48/176</f>
        <v>0.27272727272727271</v>
      </c>
      <c r="C289" s="650">
        <v>5.8259999999999996</v>
      </c>
      <c r="D289" s="650">
        <v>30</v>
      </c>
      <c r="E289" s="653">
        <f t="shared" si="199"/>
        <v>83.89</v>
      </c>
      <c r="F289" s="633">
        <f t="shared" si="216"/>
        <v>20.209101</v>
      </c>
      <c r="G289" s="634">
        <f t="shared" si="217"/>
        <v>104.1</v>
      </c>
      <c r="H289" s="652">
        <v>1.2658227848101267</v>
      </c>
      <c r="I289" s="633">
        <v>5.74</v>
      </c>
      <c r="J289" s="653">
        <v>20</v>
      </c>
      <c r="K289" s="653">
        <f t="shared" si="214"/>
        <v>229.6</v>
      </c>
      <c r="L289" s="633">
        <f t="shared" si="203"/>
        <v>55.310639999999999</v>
      </c>
      <c r="M289" s="634">
        <f t="shared" si="215"/>
        <v>284.91000000000003</v>
      </c>
      <c r="N289" s="654"/>
      <c r="O289" s="633"/>
      <c r="P289" s="653"/>
      <c r="Q289" s="653"/>
      <c r="R289" s="633"/>
      <c r="S289" s="634"/>
    </row>
    <row r="290" spans="1:19" x14ac:dyDescent="0.25">
      <c r="A290" s="648" t="s">
        <v>682</v>
      </c>
      <c r="B290" s="675">
        <f>104/176</f>
        <v>0.59090909090909094</v>
      </c>
      <c r="C290" s="650">
        <v>5.9409999999999998</v>
      </c>
      <c r="D290" s="650">
        <v>30</v>
      </c>
      <c r="E290" s="653">
        <f t="shared" si="199"/>
        <v>185.36</v>
      </c>
      <c r="F290" s="633">
        <f t="shared" si="216"/>
        <v>44.653224000000002</v>
      </c>
      <c r="G290" s="634">
        <f t="shared" si="217"/>
        <v>230.01</v>
      </c>
      <c r="H290" s="652">
        <v>1.3670886075949367</v>
      </c>
      <c r="I290" s="633">
        <v>5.74</v>
      </c>
      <c r="J290" s="653">
        <v>20</v>
      </c>
      <c r="K290" s="653">
        <f t="shared" si="214"/>
        <v>247.97</v>
      </c>
      <c r="L290" s="633">
        <f t="shared" si="203"/>
        <v>59.735973000000001</v>
      </c>
      <c r="M290" s="634">
        <f t="shared" si="215"/>
        <v>307.70999999999998</v>
      </c>
      <c r="N290" s="654"/>
      <c r="O290" s="633"/>
      <c r="P290" s="653"/>
      <c r="Q290" s="653"/>
      <c r="R290" s="633"/>
      <c r="S290" s="634"/>
    </row>
    <row r="291" spans="1:19" x14ac:dyDescent="0.25">
      <c r="A291" s="648" t="s">
        <v>682</v>
      </c>
      <c r="B291" s="675">
        <f>143/176</f>
        <v>0.8125</v>
      </c>
      <c r="C291" s="650">
        <v>5.9409999999999998</v>
      </c>
      <c r="D291" s="650">
        <v>30</v>
      </c>
      <c r="E291" s="653">
        <f t="shared" si="199"/>
        <v>254.87</v>
      </c>
      <c r="F291" s="633">
        <f t="shared" si="216"/>
        <v>61.398183000000003</v>
      </c>
      <c r="G291" s="634">
        <f t="shared" si="217"/>
        <v>316.27</v>
      </c>
      <c r="H291" s="652">
        <v>1.1772151898734178</v>
      </c>
      <c r="I291" s="633">
        <v>5.9409999999999998</v>
      </c>
      <c r="J291" s="653">
        <v>20</v>
      </c>
      <c r="K291" s="653">
        <f t="shared" si="214"/>
        <v>221.01</v>
      </c>
      <c r="L291" s="633">
        <f t="shared" si="203"/>
        <v>53.241309000000001</v>
      </c>
      <c r="M291" s="634">
        <f t="shared" si="215"/>
        <v>274.25</v>
      </c>
      <c r="N291" s="654"/>
      <c r="O291" s="633"/>
      <c r="P291" s="653"/>
      <c r="Q291" s="653"/>
      <c r="R291" s="633"/>
      <c r="S291" s="634"/>
    </row>
    <row r="292" spans="1:19" x14ac:dyDescent="0.25">
      <c r="A292" s="648" t="s">
        <v>682</v>
      </c>
      <c r="B292" s="675">
        <f>84/176</f>
        <v>0.47727272727272729</v>
      </c>
      <c r="C292" s="650">
        <v>5.74</v>
      </c>
      <c r="D292" s="650">
        <v>30</v>
      </c>
      <c r="E292" s="653">
        <f t="shared" si="199"/>
        <v>144.65</v>
      </c>
      <c r="F292" s="633">
        <f t="shared" si="216"/>
        <v>34.846184999999998</v>
      </c>
      <c r="G292" s="634">
        <f t="shared" si="217"/>
        <v>179.5</v>
      </c>
      <c r="H292" s="652">
        <v>0.97468354430379744</v>
      </c>
      <c r="I292" s="633">
        <v>5.74</v>
      </c>
      <c r="J292" s="653">
        <v>20</v>
      </c>
      <c r="K292" s="653">
        <f t="shared" si="214"/>
        <v>176.79</v>
      </c>
      <c r="L292" s="633">
        <f t="shared" si="203"/>
        <v>42.588710999999996</v>
      </c>
      <c r="M292" s="634">
        <f t="shared" si="215"/>
        <v>219.38</v>
      </c>
      <c r="N292" s="654"/>
      <c r="O292" s="633"/>
      <c r="P292" s="653"/>
      <c r="Q292" s="653"/>
      <c r="R292" s="633"/>
      <c r="S292" s="634"/>
    </row>
    <row r="293" spans="1:19" x14ac:dyDescent="0.25">
      <c r="A293" s="648" t="s">
        <v>682</v>
      </c>
      <c r="B293" s="649">
        <f>132/176</f>
        <v>0.75</v>
      </c>
      <c r="C293" s="650">
        <v>5.74</v>
      </c>
      <c r="D293" s="650">
        <v>30</v>
      </c>
      <c r="E293" s="653">
        <f t="shared" si="199"/>
        <v>227.3</v>
      </c>
      <c r="F293" s="633">
        <f t="shared" si="216"/>
        <v>54.756570000000004</v>
      </c>
      <c r="G293" s="634">
        <f t="shared" si="217"/>
        <v>282.06</v>
      </c>
      <c r="H293" s="652">
        <v>1.2151898734177216</v>
      </c>
      <c r="I293" s="633">
        <v>5.9409999999999998</v>
      </c>
      <c r="J293" s="653">
        <v>20</v>
      </c>
      <c r="K293" s="653">
        <f t="shared" si="214"/>
        <v>228.13</v>
      </c>
      <c r="L293" s="633">
        <f t="shared" si="203"/>
        <v>54.956516999999998</v>
      </c>
      <c r="M293" s="634">
        <f t="shared" si="215"/>
        <v>283.08999999999997</v>
      </c>
      <c r="N293" s="654"/>
      <c r="O293" s="633"/>
      <c r="P293" s="653"/>
      <c r="Q293" s="653"/>
      <c r="R293" s="633"/>
      <c r="S293" s="634"/>
    </row>
    <row r="294" spans="1:19" x14ac:dyDescent="0.25">
      <c r="A294" s="648" t="s">
        <v>682</v>
      </c>
      <c r="B294" s="675">
        <f>48/176</f>
        <v>0.27272727272727271</v>
      </c>
      <c r="C294" s="650">
        <v>5.8259999999999996</v>
      </c>
      <c r="D294" s="650">
        <v>30</v>
      </c>
      <c r="E294" s="653">
        <f t="shared" si="199"/>
        <v>83.89</v>
      </c>
      <c r="F294" s="633">
        <f t="shared" si="216"/>
        <v>20.209101</v>
      </c>
      <c r="G294" s="634">
        <f t="shared" si="217"/>
        <v>104.1</v>
      </c>
      <c r="H294" s="652">
        <v>1.2911392405063291</v>
      </c>
      <c r="I294" s="633">
        <v>5.74</v>
      </c>
      <c r="J294" s="653">
        <v>20</v>
      </c>
      <c r="K294" s="653">
        <f t="shared" si="214"/>
        <v>234.19</v>
      </c>
      <c r="L294" s="633">
        <f t="shared" si="203"/>
        <v>56.416370999999998</v>
      </c>
      <c r="M294" s="634">
        <f t="shared" si="215"/>
        <v>290.61</v>
      </c>
      <c r="N294" s="654"/>
      <c r="O294" s="633"/>
      <c r="P294" s="653"/>
      <c r="Q294" s="653"/>
      <c r="R294" s="633"/>
      <c r="S294" s="634"/>
    </row>
    <row r="295" spans="1:19" x14ac:dyDescent="0.25">
      <c r="A295" s="648" t="s">
        <v>682</v>
      </c>
      <c r="B295" s="675">
        <f>24/176</f>
        <v>0.13636363636363635</v>
      </c>
      <c r="C295" s="650">
        <v>5.74</v>
      </c>
      <c r="D295" s="650">
        <v>30</v>
      </c>
      <c r="E295" s="653">
        <f t="shared" si="199"/>
        <v>41.33</v>
      </c>
      <c r="F295" s="633">
        <f t="shared" si="216"/>
        <v>9.9563969999999991</v>
      </c>
      <c r="G295" s="634">
        <f t="shared" si="217"/>
        <v>51.29</v>
      </c>
      <c r="H295" s="652">
        <v>1.1139240506329113</v>
      </c>
      <c r="I295" s="633">
        <v>5.74</v>
      </c>
      <c r="J295" s="653">
        <v>20</v>
      </c>
      <c r="K295" s="653">
        <f t="shared" si="214"/>
        <v>202.05</v>
      </c>
      <c r="L295" s="633">
        <f t="shared" si="203"/>
        <v>48.673845</v>
      </c>
      <c r="M295" s="634">
        <f t="shared" si="215"/>
        <v>250.72</v>
      </c>
      <c r="N295" s="654"/>
      <c r="O295" s="633"/>
      <c r="P295" s="653"/>
      <c r="Q295" s="653"/>
      <c r="R295" s="633"/>
      <c r="S295" s="634"/>
    </row>
    <row r="296" spans="1:19" x14ac:dyDescent="0.25">
      <c r="A296" s="648" t="s">
        <v>682</v>
      </c>
      <c r="B296" s="675">
        <f>128/176</f>
        <v>0.72727272727272729</v>
      </c>
      <c r="C296" s="650">
        <v>5.9409999999999998</v>
      </c>
      <c r="D296" s="650">
        <v>30</v>
      </c>
      <c r="E296" s="653">
        <f t="shared" si="199"/>
        <v>228.13</v>
      </c>
      <c r="F296" s="633">
        <f t="shared" si="216"/>
        <v>54.956516999999998</v>
      </c>
      <c r="G296" s="634">
        <f t="shared" si="217"/>
        <v>283.08999999999997</v>
      </c>
      <c r="H296" s="652">
        <v>0.60759493670886078</v>
      </c>
      <c r="I296" s="633">
        <v>5.74</v>
      </c>
      <c r="J296" s="653">
        <v>20</v>
      </c>
      <c r="K296" s="653">
        <f t="shared" si="214"/>
        <v>110.21</v>
      </c>
      <c r="L296" s="633">
        <f t="shared" si="203"/>
        <v>26.549588999999997</v>
      </c>
      <c r="M296" s="634">
        <f t="shared" si="215"/>
        <v>136.76</v>
      </c>
      <c r="N296" s="654"/>
      <c r="O296" s="633"/>
      <c r="P296" s="653"/>
      <c r="Q296" s="653"/>
      <c r="R296" s="633"/>
      <c r="S296" s="634"/>
    </row>
    <row r="297" spans="1:19" x14ac:dyDescent="0.25">
      <c r="A297" s="648" t="s">
        <v>682</v>
      </c>
      <c r="B297" s="675">
        <f>96/176</f>
        <v>0.54545454545454541</v>
      </c>
      <c r="C297" s="650">
        <v>5.74</v>
      </c>
      <c r="D297" s="650">
        <v>30</v>
      </c>
      <c r="E297" s="653">
        <f t="shared" si="199"/>
        <v>165.31</v>
      </c>
      <c r="F297" s="633">
        <f t="shared" si="216"/>
        <v>39.823179000000003</v>
      </c>
      <c r="G297" s="634">
        <f t="shared" si="217"/>
        <v>205.13</v>
      </c>
      <c r="H297" s="652">
        <v>0.60759493670886078</v>
      </c>
      <c r="I297" s="633">
        <v>5.74</v>
      </c>
      <c r="J297" s="653">
        <v>20</v>
      </c>
      <c r="K297" s="653">
        <f t="shared" si="214"/>
        <v>110.21</v>
      </c>
      <c r="L297" s="633">
        <f t="shared" si="203"/>
        <v>26.549588999999997</v>
      </c>
      <c r="M297" s="634">
        <f t="shared" si="215"/>
        <v>136.76</v>
      </c>
      <c r="N297" s="654"/>
      <c r="O297" s="633"/>
      <c r="P297" s="653"/>
      <c r="Q297" s="653"/>
      <c r="R297" s="633"/>
      <c r="S297" s="634"/>
    </row>
    <row r="298" spans="1:19" x14ac:dyDescent="0.25">
      <c r="A298" s="648" t="s">
        <v>682</v>
      </c>
      <c r="B298" s="675">
        <f>95/176</f>
        <v>0.53977272727272729</v>
      </c>
      <c r="C298" s="650">
        <v>5.74</v>
      </c>
      <c r="D298" s="650">
        <v>30</v>
      </c>
      <c r="E298" s="653">
        <f t="shared" si="199"/>
        <v>163.59</v>
      </c>
      <c r="F298" s="633">
        <f t="shared" si="216"/>
        <v>39.408830999999999</v>
      </c>
      <c r="G298" s="634">
        <f t="shared" si="217"/>
        <v>203</v>
      </c>
      <c r="H298" s="652">
        <v>1.0632911392405062</v>
      </c>
      <c r="I298" s="633">
        <v>5.74</v>
      </c>
      <c r="J298" s="653">
        <v>20</v>
      </c>
      <c r="K298" s="653">
        <f t="shared" si="214"/>
        <v>192.86</v>
      </c>
      <c r="L298" s="633">
        <f t="shared" si="203"/>
        <v>46.459974000000003</v>
      </c>
      <c r="M298" s="634">
        <f t="shared" si="215"/>
        <v>239.32</v>
      </c>
      <c r="N298" s="654"/>
      <c r="O298" s="633"/>
      <c r="P298" s="653"/>
      <c r="Q298" s="653"/>
      <c r="R298" s="633"/>
      <c r="S298" s="634"/>
    </row>
    <row r="299" spans="1:19" x14ac:dyDescent="0.25">
      <c r="A299" s="648" t="s">
        <v>682</v>
      </c>
      <c r="B299" s="675">
        <f>72/176</f>
        <v>0.40909090909090912</v>
      </c>
      <c r="C299" s="650">
        <v>5.9409999999999998</v>
      </c>
      <c r="D299" s="650">
        <v>30</v>
      </c>
      <c r="E299" s="653">
        <f t="shared" si="199"/>
        <v>128.33000000000001</v>
      </c>
      <c r="F299" s="633">
        <f t="shared" si="216"/>
        <v>30.914697000000004</v>
      </c>
      <c r="G299" s="634">
        <f t="shared" si="217"/>
        <v>159.24</v>
      </c>
      <c r="H299" s="652">
        <v>1.4430379746835442</v>
      </c>
      <c r="I299" s="633">
        <v>5.9409999999999998</v>
      </c>
      <c r="J299" s="653">
        <v>20</v>
      </c>
      <c r="K299" s="653">
        <f t="shared" si="214"/>
        <v>270.91000000000003</v>
      </c>
      <c r="L299" s="633">
        <f t="shared" si="203"/>
        <v>65.262219000000002</v>
      </c>
      <c r="M299" s="634">
        <f t="shared" si="215"/>
        <v>336.17</v>
      </c>
      <c r="N299" s="654"/>
      <c r="O299" s="633"/>
      <c r="P299" s="653"/>
      <c r="Q299" s="653"/>
      <c r="R299" s="633"/>
      <c r="S299" s="634"/>
    </row>
    <row r="300" spans="1:19" x14ac:dyDescent="0.25">
      <c r="A300" s="648" t="s">
        <v>682</v>
      </c>
      <c r="B300" s="675">
        <f>64/176</f>
        <v>0.36363636363636365</v>
      </c>
      <c r="C300" s="650">
        <v>5.74</v>
      </c>
      <c r="D300" s="650">
        <v>30</v>
      </c>
      <c r="E300" s="653">
        <f t="shared" si="199"/>
        <v>110.21</v>
      </c>
      <c r="F300" s="633">
        <f t="shared" si="216"/>
        <v>26.549588999999997</v>
      </c>
      <c r="G300" s="634">
        <f t="shared" si="217"/>
        <v>136.76</v>
      </c>
      <c r="H300" s="652">
        <v>0.60759493670886078</v>
      </c>
      <c r="I300" s="633">
        <v>5.74</v>
      </c>
      <c r="J300" s="653">
        <v>20</v>
      </c>
      <c r="K300" s="653">
        <f t="shared" si="214"/>
        <v>110.21</v>
      </c>
      <c r="L300" s="633">
        <f t="shared" si="203"/>
        <v>26.549588999999997</v>
      </c>
      <c r="M300" s="634">
        <f t="shared" si="215"/>
        <v>136.76</v>
      </c>
      <c r="N300" s="654"/>
      <c r="O300" s="633"/>
      <c r="P300" s="653"/>
      <c r="Q300" s="653"/>
      <c r="R300" s="633"/>
      <c r="S300" s="634"/>
    </row>
    <row r="301" spans="1:19" x14ac:dyDescent="0.25">
      <c r="A301" s="648" t="s">
        <v>682</v>
      </c>
      <c r="B301" s="675">
        <f>112/176</f>
        <v>0.63636363636363635</v>
      </c>
      <c r="C301" s="650">
        <v>5.74</v>
      </c>
      <c r="D301" s="650">
        <v>30</v>
      </c>
      <c r="E301" s="653">
        <f t="shared" si="199"/>
        <v>192.86</v>
      </c>
      <c r="F301" s="633">
        <f t="shared" si="216"/>
        <v>46.459974000000003</v>
      </c>
      <c r="G301" s="634">
        <f t="shared" si="217"/>
        <v>239.32</v>
      </c>
      <c r="H301" s="654"/>
      <c r="I301" s="633"/>
      <c r="J301" s="653"/>
      <c r="K301" s="653"/>
      <c r="L301" s="633"/>
      <c r="M301" s="634"/>
      <c r="N301" s="654"/>
      <c r="O301" s="633"/>
      <c r="P301" s="653"/>
      <c r="Q301" s="653"/>
      <c r="R301" s="633"/>
      <c r="S301" s="634"/>
    </row>
    <row r="302" spans="1:19" x14ac:dyDescent="0.25">
      <c r="A302" s="648" t="s">
        <v>682</v>
      </c>
      <c r="B302" s="675">
        <f>24/176</f>
        <v>0.13636363636363635</v>
      </c>
      <c r="C302" s="650">
        <v>5.9409999999999998</v>
      </c>
      <c r="D302" s="650">
        <v>30</v>
      </c>
      <c r="E302" s="653">
        <f t="shared" si="199"/>
        <v>42.78</v>
      </c>
      <c r="F302" s="633">
        <f t="shared" si="216"/>
        <v>10.305702</v>
      </c>
      <c r="G302" s="634">
        <f t="shared" si="217"/>
        <v>53.09</v>
      </c>
      <c r="H302" s="654"/>
      <c r="I302" s="633"/>
      <c r="J302" s="653"/>
      <c r="K302" s="653"/>
      <c r="L302" s="633"/>
      <c r="M302" s="634"/>
      <c r="N302" s="654"/>
      <c r="O302" s="633"/>
      <c r="P302" s="653"/>
      <c r="Q302" s="653"/>
      <c r="R302" s="633"/>
      <c r="S302" s="634"/>
    </row>
    <row r="303" spans="1:19" x14ac:dyDescent="0.25">
      <c r="A303" s="648" t="s">
        <v>682</v>
      </c>
      <c r="B303" s="675">
        <f>24/176</f>
        <v>0.13636363636363635</v>
      </c>
      <c r="C303" s="650">
        <v>5.9409999999999998</v>
      </c>
      <c r="D303" s="650">
        <v>50</v>
      </c>
      <c r="E303" s="653">
        <f>ROUND(C303*176*B303*0.5,2)</f>
        <v>71.290000000000006</v>
      </c>
      <c r="F303" s="633">
        <f t="shared" si="216"/>
        <v>17.173761000000002</v>
      </c>
      <c r="G303" s="634">
        <f t="shared" si="217"/>
        <v>88.46</v>
      </c>
      <c r="H303" s="654"/>
      <c r="I303" s="633"/>
      <c r="J303" s="653"/>
      <c r="K303" s="653"/>
      <c r="L303" s="633"/>
      <c r="M303" s="634"/>
      <c r="N303" s="654"/>
      <c r="O303" s="633"/>
      <c r="P303" s="653"/>
      <c r="Q303" s="653"/>
      <c r="R303" s="633"/>
      <c r="S303" s="634"/>
    </row>
    <row r="304" spans="1:19" x14ac:dyDescent="0.25">
      <c r="A304" s="648" t="s">
        <v>720</v>
      </c>
      <c r="B304" s="675">
        <v>0.63619999999999999</v>
      </c>
      <c r="C304" s="650">
        <v>1730.52</v>
      </c>
      <c r="D304" s="650">
        <v>30</v>
      </c>
      <c r="E304" s="633">
        <f>ROUND(B304*C304*0.3,2)</f>
        <v>330.29</v>
      </c>
      <c r="F304" s="633">
        <f t="shared" si="216"/>
        <v>79.566861000000003</v>
      </c>
      <c r="G304" s="634">
        <f t="shared" si="217"/>
        <v>409.86</v>
      </c>
      <c r="H304" s="695">
        <v>1</v>
      </c>
      <c r="I304" s="633">
        <v>1730.52</v>
      </c>
      <c r="J304" s="653">
        <v>20</v>
      </c>
      <c r="K304" s="653">
        <f>ROUND(H304*I304*0.2,2)</f>
        <v>346.1</v>
      </c>
      <c r="L304" s="633">
        <f t="shared" ref="L304" si="218">K304*0.2409</f>
        <v>83.375490000000013</v>
      </c>
      <c r="M304" s="634">
        <f t="shared" ref="M304" si="219">ROUND(SUM(K304:L304),2)</f>
        <v>429.48</v>
      </c>
      <c r="N304" s="654"/>
      <c r="O304" s="633"/>
      <c r="P304" s="653"/>
      <c r="Q304" s="653"/>
      <c r="R304" s="633"/>
      <c r="S304" s="634"/>
    </row>
    <row r="305" spans="1:19" ht="15.75" thickBot="1" x14ac:dyDescent="0.3">
      <c r="A305" s="666" t="s">
        <v>720</v>
      </c>
      <c r="B305" s="676">
        <f>24/176</f>
        <v>0.13636363636363635</v>
      </c>
      <c r="C305" s="677">
        <v>5.9409999999999998</v>
      </c>
      <c r="D305" s="677">
        <v>30</v>
      </c>
      <c r="E305" s="653">
        <f>ROUND(C305*176*B305*0.3,2)</f>
        <v>42.78</v>
      </c>
      <c r="F305" s="633">
        <f t="shared" si="216"/>
        <v>10.305702</v>
      </c>
      <c r="G305" s="634">
        <f t="shared" si="217"/>
        <v>53.09</v>
      </c>
      <c r="H305" s="679"/>
      <c r="I305" s="680"/>
      <c r="J305" s="678"/>
      <c r="K305" s="678"/>
      <c r="L305" s="680"/>
      <c r="M305" s="681"/>
      <c r="N305" s="679"/>
      <c r="O305" s="680"/>
      <c r="P305" s="678"/>
      <c r="Q305" s="678"/>
      <c r="R305" s="680"/>
      <c r="S305" s="681"/>
    </row>
    <row r="306" spans="1:19" ht="38.25" x14ac:dyDescent="0.25">
      <c r="A306" s="663" t="s">
        <v>13</v>
      </c>
      <c r="B306" s="625">
        <f>SUM(B307:B316)</f>
        <v>4.5511363636363633</v>
      </c>
      <c r="C306" s="626"/>
      <c r="D306" s="626"/>
      <c r="E306" s="626">
        <f>SUM(E307:E316)</f>
        <v>904.49</v>
      </c>
      <c r="F306" s="626">
        <f t="shared" ref="F306:G306" si="220">SUM(F307:F316)</f>
        <v>217.89164100000002</v>
      </c>
      <c r="G306" s="626">
        <f t="shared" si="220"/>
        <v>1122.3799999999999</v>
      </c>
      <c r="H306" s="625">
        <f>SUM(H307:H316)</f>
        <v>9.1012658227848107</v>
      </c>
      <c r="I306" s="626"/>
      <c r="J306" s="626"/>
      <c r="K306" s="626">
        <f>SUM(K307:K316)</f>
        <v>1082.17</v>
      </c>
      <c r="L306" s="626">
        <f t="shared" ref="L306:M306" si="221">SUM(L307:L316)</f>
        <v>260.69475299999999</v>
      </c>
      <c r="M306" s="626">
        <f t="shared" si="221"/>
        <v>1342.86</v>
      </c>
      <c r="N306" s="625"/>
      <c r="O306" s="626"/>
      <c r="P306" s="626"/>
      <c r="Q306" s="626"/>
      <c r="R306" s="626"/>
      <c r="S306" s="627"/>
    </row>
    <row r="307" spans="1:19" x14ac:dyDescent="0.25">
      <c r="A307" s="648" t="s">
        <v>156</v>
      </c>
      <c r="B307" s="675">
        <f>72/176</f>
        <v>0.40909090909090912</v>
      </c>
      <c r="C307" s="650">
        <v>3.75</v>
      </c>
      <c r="D307" s="650">
        <v>30</v>
      </c>
      <c r="E307" s="653">
        <f t="shared" ref="E307:E316" si="222">ROUND(C307*176*B307*0.3,2)</f>
        <v>81</v>
      </c>
      <c r="F307" s="633">
        <f t="shared" ref="F307:F316" si="223">E307*0.2409</f>
        <v>19.512900000000002</v>
      </c>
      <c r="G307" s="634">
        <f t="shared" ref="G307" si="224">ROUND(SUM(E307:F307),2)</f>
        <v>100.51</v>
      </c>
      <c r="H307" s="652">
        <v>0.91139240506329111</v>
      </c>
      <c r="I307" s="633">
        <v>3.806</v>
      </c>
      <c r="J307" s="653">
        <v>20</v>
      </c>
      <c r="K307" s="653">
        <f t="shared" ref="K307:K316" si="225">ROUND(I307*158*H307*0.2,2)</f>
        <v>109.61</v>
      </c>
      <c r="L307" s="633">
        <f t="shared" ref="L307:L321" si="226">K307*0.2409</f>
        <v>26.405049000000002</v>
      </c>
      <c r="M307" s="634">
        <f t="shared" ref="M307:M316" si="227">ROUND(SUM(K307:L307),2)</f>
        <v>136.02000000000001</v>
      </c>
      <c r="N307" s="654"/>
      <c r="O307" s="633"/>
      <c r="P307" s="653"/>
      <c r="Q307" s="653"/>
      <c r="R307" s="633"/>
      <c r="S307" s="634"/>
    </row>
    <row r="308" spans="1:19" x14ac:dyDescent="0.25">
      <c r="A308" s="648" t="s">
        <v>156</v>
      </c>
      <c r="B308" s="675">
        <f>16/176</f>
        <v>9.0909090909090912E-2</v>
      </c>
      <c r="C308" s="650">
        <v>3.75</v>
      </c>
      <c r="D308" s="650">
        <v>30</v>
      </c>
      <c r="E308" s="653">
        <f t="shared" si="222"/>
        <v>18</v>
      </c>
      <c r="F308" s="633">
        <f t="shared" si="223"/>
        <v>4.3361999999999998</v>
      </c>
      <c r="G308" s="634">
        <f t="shared" ref="G308:G316" si="228">ROUND(SUM(E308:F308),2)</f>
        <v>22.34</v>
      </c>
      <c r="H308" s="652">
        <v>1.1645569620253164</v>
      </c>
      <c r="I308" s="633">
        <v>3.806</v>
      </c>
      <c r="J308" s="653">
        <v>20</v>
      </c>
      <c r="K308" s="653">
        <f t="shared" si="225"/>
        <v>140.06</v>
      </c>
      <c r="L308" s="633">
        <f t="shared" si="226"/>
        <v>33.740454</v>
      </c>
      <c r="M308" s="634">
        <f t="shared" si="227"/>
        <v>173.8</v>
      </c>
      <c r="N308" s="654"/>
      <c r="O308" s="633"/>
      <c r="P308" s="653"/>
      <c r="Q308" s="653"/>
      <c r="R308" s="633"/>
      <c r="S308" s="634"/>
    </row>
    <row r="309" spans="1:19" x14ac:dyDescent="0.25">
      <c r="A309" s="648" t="s">
        <v>156</v>
      </c>
      <c r="B309" s="675">
        <f>64/176</f>
        <v>0.36363636363636365</v>
      </c>
      <c r="C309" s="650">
        <v>3.75</v>
      </c>
      <c r="D309" s="650">
        <v>30</v>
      </c>
      <c r="E309" s="653">
        <f t="shared" si="222"/>
        <v>72</v>
      </c>
      <c r="F309" s="633">
        <f t="shared" si="223"/>
        <v>17.344799999999999</v>
      </c>
      <c r="G309" s="634">
        <f t="shared" si="228"/>
        <v>89.34</v>
      </c>
      <c r="H309" s="652">
        <v>1.2025316455696202</v>
      </c>
      <c r="I309" s="633">
        <v>3.75</v>
      </c>
      <c r="J309" s="653">
        <v>20</v>
      </c>
      <c r="K309" s="653">
        <f t="shared" si="225"/>
        <v>142.5</v>
      </c>
      <c r="L309" s="633">
        <f t="shared" si="226"/>
        <v>34.328249999999997</v>
      </c>
      <c r="M309" s="634">
        <f t="shared" si="227"/>
        <v>176.83</v>
      </c>
      <c r="N309" s="654"/>
      <c r="O309" s="633"/>
      <c r="P309" s="653"/>
      <c r="Q309" s="653"/>
      <c r="R309" s="633"/>
      <c r="S309" s="634"/>
    </row>
    <row r="310" spans="1:19" x14ac:dyDescent="0.25">
      <c r="A310" s="648" t="s">
        <v>156</v>
      </c>
      <c r="B310" s="675">
        <f>120/176</f>
        <v>0.68181818181818177</v>
      </c>
      <c r="C310" s="650">
        <v>3.806</v>
      </c>
      <c r="D310" s="650">
        <v>30</v>
      </c>
      <c r="E310" s="653">
        <f t="shared" si="222"/>
        <v>137.02000000000001</v>
      </c>
      <c r="F310" s="633">
        <f t="shared" si="223"/>
        <v>33.008118000000003</v>
      </c>
      <c r="G310" s="634">
        <f t="shared" si="228"/>
        <v>170.03</v>
      </c>
      <c r="H310" s="652">
        <v>0.60759493670886078</v>
      </c>
      <c r="I310" s="633">
        <v>3.75</v>
      </c>
      <c r="J310" s="653">
        <v>20</v>
      </c>
      <c r="K310" s="653">
        <f t="shared" si="225"/>
        <v>72</v>
      </c>
      <c r="L310" s="633">
        <f t="shared" si="226"/>
        <v>17.344799999999999</v>
      </c>
      <c r="M310" s="634">
        <f t="shared" si="227"/>
        <v>89.34</v>
      </c>
      <c r="N310" s="654"/>
      <c r="O310" s="633"/>
      <c r="P310" s="653"/>
      <c r="Q310" s="653"/>
      <c r="R310" s="633"/>
      <c r="S310" s="634"/>
    </row>
    <row r="311" spans="1:19" x14ac:dyDescent="0.25">
      <c r="A311" s="648" t="s">
        <v>156</v>
      </c>
      <c r="B311" s="675">
        <f>120/176</f>
        <v>0.68181818181818177</v>
      </c>
      <c r="C311" s="650">
        <v>3.75</v>
      </c>
      <c r="D311" s="650">
        <v>30</v>
      </c>
      <c r="E311" s="653">
        <f t="shared" si="222"/>
        <v>135</v>
      </c>
      <c r="F311" s="633">
        <f t="shared" si="223"/>
        <v>32.521500000000003</v>
      </c>
      <c r="G311" s="634">
        <f t="shared" si="228"/>
        <v>167.52</v>
      </c>
      <c r="H311" s="652">
        <v>0.68354430379746833</v>
      </c>
      <c r="I311" s="633">
        <v>3.75</v>
      </c>
      <c r="J311" s="653">
        <v>20</v>
      </c>
      <c r="K311" s="653">
        <f t="shared" si="225"/>
        <v>81</v>
      </c>
      <c r="L311" s="633">
        <f t="shared" si="226"/>
        <v>19.512900000000002</v>
      </c>
      <c r="M311" s="634">
        <f t="shared" si="227"/>
        <v>100.51</v>
      </c>
      <c r="N311" s="654"/>
      <c r="O311" s="633"/>
      <c r="P311" s="653"/>
      <c r="Q311" s="653"/>
      <c r="R311" s="633"/>
      <c r="S311" s="634"/>
    </row>
    <row r="312" spans="1:19" x14ac:dyDescent="0.25">
      <c r="A312" s="648" t="s">
        <v>156</v>
      </c>
      <c r="B312" s="675">
        <f>8/176</f>
        <v>4.5454545454545456E-2</v>
      </c>
      <c r="C312" s="650">
        <v>3.75</v>
      </c>
      <c r="D312" s="650">
        <v>30</v>
      </c>
      <c r="E312" s="653">
        <f t="shared" si="222"/>
        <v>9</v>
      </c>
      <c r="F312" s="633">
        <f t="shared" si="223"/>
        <v>2.1680999999999999</v>
      </c>
      <c r="G312" s="634">
        <f t="shared" si="228"/>
        <v>11.17</v>
      </c>
      <c r="H312" s="652">
        <v>1.1139240506329113</v>
      </c>
      <c r="I312" s="633">
        <v>3.75</v>
      </c>
      <c r="J312" s="653">
        <v>20</v>
      </c>
      <c r="K312" s="653">
        <f t="shared" si="225"/>
        <v>132</v>
      </c>
      <c r="L312" s="633">
        <f t="shared" si="226"/>
        <v>31.7988</v>
      </c>
      <c r="M312" s="634">
        <f t="shared" si="227"/>
        <v>163.80000000000001</v>
      </c>
      <c r="N312" s="654"/>
      <c r="O312" s="633"/>
      <c r="P312" s="653"/>
      <c r="Q312" s="653"/>
      <c r="R312" s="633"/>
      <c r="S312" s="634"/>
    </row>
    <row r="313" spans="1:19" x14ac:dyDescent="0.25">
      <c r="A313" s="648" t="s">
        <v>156</v>
      </c>
      <c r="B313" s="675">
        <f>36/176</f>
        <v>0.20454545454545456</v>
      </c>
      <c r="C313" s="650">
        <v>3.75</v>
      </c>
      <c r="D313" s="650">
        <v>30</v>
      </c>
      <c r="E313" s="653">
        <f t="shared" si="222"/>
        <v>40.5</v>
      </c>
      <c r="F313" s="633">
        <f t="shared" si="223"/>
        <v>9.756450000000001</v>
      </c>
      <c r="G313" s="634">
        <f t="shared" si="228"/>
        <v>50.26</v>
      </c>
      <c r="H313" s="652">
        <v>0.91139240506329111</v>
      </c>
      <c r="I313" s="633">
        <v>3.75</v>
      </c>
      <c r="J313" s="653">
        <v>20</v>
      </c>
      <c r="K313" s="653">
        <f t="shared" si="225"/>
        <v>108</v>
      </c>
      <c r="L313" s="633">
        <f t="shared" si="226"/>
        <v>26.017199999999999</v>
      </c>
      <c r="M313" s="634">
        <f t="shared" si="227"/>
        <v>134.02000000000001</v>
      </c>
      <c r="N313" s="654"/>
      <c r="O313" s="633"/>
      <c r="P313" s="653"/>
      <c r="Q313" s="653"/>
      <c r="R313" s="633"/>
      <c r="S313" s="634"/>
    </row>
    <row r="314" spans="1:19" x14ac:dyDescent="0.25">
      <c r="A314" s="648" t="s">
        <v>156</v>
      </c>
      <c r="B314" s="675">
        <f>155/176</f>
        <v>0.88068181818181823</v>
      </c>
      <c r="C314" s="650">
        <v>3.75</v>
      </c>
      <c r="D314" s="650">
        <v>30</v>
      </c>
      <c r="E314" s="653">
        <f t="shared" si="222"/>
        <v>174.38</v>
      </c>
      <c r="F314" s="633">
        <f t="shared" si="223"/>
        <v>42.008141999999999</v>
      </c>
      <c r="G314" s="634">
        <f t="shared" si="228"/>
        <v>216.39</v>
      </c>
      <c r="H314" s="652">
        <v>1.0632911392405062</v>
      </c>
      <c r="I314" s="633">
        <v>3.75</v>
      </c>
      <c r="J314" s="653">
        <v>20</v>
      </c>
      <c r="K314" s="653">
        <f t="shared" si="225"/>
        <v>126</v>
      </c>
      <c r="L314" s="633">
        <f t="shared" si="226"/>
        <v>30.353400000000001</v>
      </c>
      <c r="M314" s="634">
        <f t="shared" si="227"/>
        <v>156.35</v>
      </c>
      <c r="N314" s="654"/>
      <c r="O314" s="633"/>
      <c r="P314" s="653"/>
      <c r="Q314" s="653"/>
      <c r="R314" s="633"/>
      <c r="S314" s="634"/>
    </row>
    <row r="315" spans="1:19" x14ac:dyDescent="0.25">
      <c r="A315" s="648" t="s">
        <v>156</v>
      </c>
      <c r="B315" s="675">
        <f>80/176</f>
        <v>0.45454545454545453</v>
      </c>
      <c r="C315" s="650">
        <v>3.806</v>
      </c>
      <c r="D315" s="650">
        <v>30</v>
      </c>
      <c r="E315" s="653">
        <f t="shared" si="222"/>
        <v>91.34</v>
      </c>
      <c r="F315" s="633">
        <f t="shared" si="223"/>
        <v>22.003806000000001</v>
      </c>
      <c r="G315" s="634">
        <f t="shared" si="228"/>
        <v>113.34</v>
      </c>
      <c r="H315" s="652">
        <v>1.0632911392405062</v>
      </c>
      <c r="I315" s="633">
        <v>3.75</v>
      </c>
      <c r="J315" s="653">
        <v>20</v>
      </c>
      <c r="K315" s="653">
        <f t="shared" si="225"/>
        <v>126</v>
      </c>
      <c r="L315" s="633">
        <f t="shared" si="226"/>
        <v>30.353400000000001</v>
      </c>
      <c r="M315" s="634">
        <f t="shared" si="227"/>
        <v>156.35</v>
      </c>
      <c r="N315" s="654"/>
      <c r="O315" s="633"/>
      <c r="P315" s="653"/>
      <c r="Q315" s="653"/>
      <c r="R315" s="633"/>
      <c r="S315" s="634"/>
    </row>
    <row r="316" spans="1:19" ht="15.75" thickBot="1" x14ac:dyDescent="0.3">
      <c r="A316" s="666" t="s">
        <v>156</v>
      </c>
      <c r="B316" s="630">
        <f>130/176</f>
        <v>0.73863636363636365</v>
      </c>
      <c r="C316" s="631">
        <v>3.75</v>
      </c>
      <c r="D316" s="631">
        <v>30</v>
      </c>
      <c r="E316" s="653">
        <f t="shared" si="222"/>
        <v>146.25</v>
      </c>
      <c r="F316" s="633">
        <f t="shared" si="223"/>
        <v>35.231625000000001</v>
      </c>
      <c r="G316" s="634">
        <f t="shared" si="228"/>
        <v>181.48</v>
      </c>
      <c r="H316" s="658">
        <v>0.379746835443038</v>
      </c>
      <c r="I316" s="632">
        <v>3.75</v>
      </c>
      <c r="J316" s="636">
        <v>20</v>
      </c>
      <c r="K316" s="636">
        <f t="shared" si="225"/>
        <v>45</v>
      </c>
      <c r="L316" s="632">
        <f t="shared" si="226"/>
        <v>10.8405</v>
      </c>
      <c r="M316" s="637">
        <f t="shared" si="227"/>
        <v>55.84</v>
      </c>
      <c r="N316" s="635"/>
      <c r="O316" s="632"/>
      <c r="P316" s="636"/>
      <c r="Q316" s="636"/>
      <c r="R316" s="632"/>
      <c r="S316" s="637"/>
    </row>
    <row r="317" spans="1:19" ht="25.5" x14ac:dyDescent="0.25">
      <c r="A317" s="663" t="s">
        <v>11</v>
      </c>
      <c r="B317" s="625">
        <f>SUM(B318:B383)</f>
        <v>31.851843636363629</v>
      </c>
      <c r="C317" s="626"/>
      <c r="D317" s="626"/>
      <c r="E317" s="626">
        <f>SUM(E318:E383)</f>
        <v>6309.8000000000011</v>
      </c>
      <c r="F317" s="626">
        <f t="shared" ref="F317:G317" si="229">SUM(F318:F383)</f>
        <v>1520.0308200000004</v>
      </c>
      <c r="G317" s="626">
        <f t="shared" si="229"/>
        <v>7829.7900000000018</v>
      </c>
      <c r="H317" s="625">
        <f>SUM(H318:H383)</f>
        <v>52.797468354430379</v>
      </c>
      <c r="I317" s="626"/>
      <c r="J317" s="626"/>
      <c r="K317" s="626">
        <f>SUM(K318:K383)</f>
        <v>6139.2</v>
      </c>
      <c r="L317" s="626">
        <f t="shared" ref="L317:M317" si="230">SUM(L318:L383)</f>
        <v>1478.93328</v>
      </c>
      <c r="M317" s="626">
        <f t="shared" si="230"/>
        <v>7618.1000000000022</v>
      </c>
      <c r="N317" s="625"/>
      <c r="O317" s="626"/>
      <c r="P317" s="626"/>
      <c r="Q317" s="626"/>
      <c r="R317" s="626"/>
      <c r="S317" s="627"/>
    </row>
    <row r="318" spans="1:19" x14ac:dyDescent="0.25">
      <c r="A318" s="648" t="s">
        <v>724</v>
      </c>
      <c r="B318" s="675">
        <f>120/176</f>
        <v>0.68181818181818177</v>
      </c>
      <c r="C318" s="650">
        <v>4.2699999999999996</v>
      </c>
      <c r="D318" s="650">
        <v>30</v>
      </c>
      <c r="E318" s="653">
        <f>ROUND(C318*176*B318*0.3,2)</f>
        <v>153.72</v>
      </c>
      <c r="F318" s="633">
        <f t="shared" ref="F318:F355" si="231">E318*0.2409</f>
        <v>37.031148000000002</v>
      </c>
      <c r="G318" s="634">
        <f t="shared" ref="G318:G355" si="232">ROUND(SUM(E318:F318),2)</f>
        <v>190.75</v>
      </c>
      <c r="H318" s="652">
        <v>1.2658227848101267</v>
      </c>
      <c r="I318" s="633">
        <v>4.2699999999999996</v>
      </c>
      <c r="J318" s="653">
        <v>20</v>
      </c>
      <c r="K318" s="653">
        <f t="shared" ref="K318:K321" si="233">ROUND(I318*158*H318*0.2,2)</f>
        <v>170.8</v>
      </c>
      <c r="L318" s="633">
        <f t="shared" si="226"/>
        <v>41.145720000000004</v>
      </c>
      <c r="M318" s="634">
        <f t="shared" ref="M318:M321" si="234">ROUND(SUM(K318:L318),2)</f>
        <v>211.95</v>
      </c>
      <c r="N318" s="654"/>
      <c r="O318" s="633"/>
      <c r="P318" s="653"/>
      <c r="Q318" s="653"/>
      <c r="R318" s="633"/>
      <c r="S318" s="634"/>
    </row>
    <row r="319" spans="1:19" x14ac:dyDescent="0.25">
      <c r="A319" s="648" t="s">
        <v>724</v>
      </c>
      <c r="B319" s="675">
        <f>135/176</f>
        <v>0.76704545454545459</v>
      </c>
      <c r="C319" s="650">
        <v>4.2699999999999996</v>
      </c>
      <c r="D319" s="650">
        <v>30</v>
      </c>
      <c r="E319" s="653">
        <f>ROUND(C319*176*B319*0.3,2)</f>
        <v>172.94</v>
      </c>
      <c r="F319" s="633">
        <f t="shared" si="231"/>
        <v>41.661245999999998</v>
      </c>
      <c r="G319" s="634">
        <f t="shared" si="232"/>
        <v>214.6</v>
      </c>
      <c r="H319" s="652">
        <v>1.2151898734177216</v>
      </c>
      <c r="I319" s="633">
        <v>4.2699999999999996</v>
      </c>
      <c r="J319" s="653">
        <v>20</v>
      </c>
      <c r="K319" s="653">
        <f t="shared" si="233"/>
        <v>163.97</v>
      </c>
      <c r="L319" s="633">
        <f t="shared" si="226"/>
        <v>39.500373000000003</v>
      </c>
      <c r="M319" s="634">
        <f t="shared" si="234"/>
        <v>203.47</v>
      </c>
      <c r="N319" s="654"/>
      <c r="O319" s="633"/>
      <c r="P319" s="653"/>
      <c r="Q319" s="653"/>
      <c r="R319" s="633"/>
      <c r="S319" s="634"/>
    </row>
    <row r="320" spans="1:19" x14ac:dyDescent="0.25">
      <c r="A320" s="648" t="s">
        <v>724</v>
      </c>
      <c r="B320" s="675">
        <f>96/176</f>
        <v>0.54545454545454541</v>
      </c>
      <c r="C320" s="650">
        <v>4.2699999999999996</v>
      </c>
      <c r="D320" s="650">
        <v>30</v>
      </c>
      <c r="E320" s="653">
        <f>ROUND(C320*176*B320*0.3,2)</f>
        <v>122.98</v>
      </c>
      <c r="F320" s="633">
        <f t="shared" si="231"/>
        <v>29.625882000000001</v>
      </c>
      <c r="G320" s="634">
        <f t="shared" si="232"/>
        <v>152.61000000000001</v>
      </c>
      <c r="H320" s="652">
        <v>0.86075949367088611</v>
      </c>
      <c r="I320" s="633">
        <v>4.2699999999999996</v>
      </c>
      <c r="J320" s="653">
        <v>20</v>
      </c>
      <c r="K320" s="653">
        <f t="shared" si="233"/>
        <v>116.14</v>
      </c>
      <c r="L320" s="633">
        <f t="shared" si="226"/>
        <v>27.978126</v>
      </c>
      <c r="M320" s="634">
        <f t="shared" si="234"/>
        <v>144.12</v>
      </c>
      <c r="N320" s="654"/>
      <c r="O320" s="633"/>
      <c r="P320" s="653"/>
      <c r="Q320" s="653"/>
      <c r="R320" s="633"/>
      <c r="S320" s="634"/>
    </row>
    <row r="321" spans="1:19" x14ac:dyDescent="0.25">
      <c r="A321" s="648" t="s">
        <v>724</v>
      </c>
      <c r="B321" s="675">
        <f>48/176</f>
        <v>0.27272727272727271</v>
      </c>
      <c r="C321" s="650">
        <v>4.2699999999999996</v>
      </c>
      <c r="D321" s="650">
        <v>30</v>
      </c>
      <c r="E321" s="653">
        <f>ROUND(C321*176*B321*0.3,2)</f>
        <v>61.49</v>
      </c>
      <c r="F321" s="633">
        <f t="shared" si="231"/>
        <v>14.812941</v>
      </c>
      <c r="G321" s="634">
        <f t="shared" si="232"/>
        <v>76.3</v>
      </c>
      <c r="H321" s="652">
        <v>1.0632911392405062</v>
      </c>
      <c r="I321" s="633">
        <v>4.2699999999999996</v>
      </c>
      <c r="J321" s="653">
        <v>20</v>
      </c>
      <c r="K321" s="653">
        <f t="shared" si="233"/>
        <v>143.47</v>
      </c>
      <c r="L321" s="633">
        <f t="shared" si="226"/>
        <v>34.561923</v>
      </c>
      <c r="M321" s="634">
        <f t="shared" si="234"/>
        <v>178.03</v>
      </c>
      <c r="N321" s="654"/>
      <c r="O321" s="633"/>
      <c r="P321" s="653"/>
      <c r="Q321" s="653"/>
      <c r="R321" s="633"/>
      <c r="S321" s="634"/>
    </row>
    <row r="322" spans="1:19" x14ac:dyDescent="0.25">
      <c r="A322" s="648" t="s">
        <v>724</v>
      </c>
      <c r="B322" s="675">
        <f>72/176</f>
        <v>0.40909090909090912</v>
      </c>
      <c r="C322" s="650">
        <v>4.2699999999999996</v>
      </c>
      <c r="D322" s="650">
        <v>30</v>
      </c>
      <c r="E322" s="653">
        <f>ROUND(C322*176*B322*0.3,2)</f>
        <v>92.23</v>
      </c>
      <c r="F322" s="633">
        <f t="shared" si="231"/>
        <v>22.218207</v>
      </c>
      <c r="G322" s="634">
        <f t="shared" si="232"/>
        <v>114.45</v>
      </c>
      <c r="H322" s="654"/>
      <c r="I322" s="633"/>
      <c r="J322" s="653"/>
      <c r="K322" s="653"/>
      <c r="L322" s="633"/>
      <c r="M322" s="634"/>
      <c r="N322" s="654"/>
      <c r="O322" s="633"/>
      <c r="P322" s="653"/>
      <c r="Q322" s="653"/>
      <c r="R322" s="633"/>
      <c r="S322" s="634"/>
    </row>
    <row r="323" spans="1:19" x14ac:dyDescent="0.25">
      <c r="A323" s="648" t="s">
        <v>724</v>
      </c>
      <c r="B323" s="675">
        <f>24/176</f>
        <v>0.13636363636363635</v>
      </c>
      <c r="C323" s="650">
        <v>4.2699999999999996</v>
      </c>
      <c r="D323" s="650">
        <v>50</v>
      </c>
      <c r="E323" s="653">
        <f>ROUND(C323*176*B323*0.5,2)</f>
        <v>51.24</v>
      </c>
      <c r="F323" s="633">
        <f t="shared" si="231"/>
        <v>12.343716000000001</v>
      </c>
      <c r="G323" s="634">
        <f t="shared" si="232"/>
        <v>63.58</v>
      </c>
      <c r="H323" s="654"/>
      <c r="I323" s="633"/>
      <c r="J323" s="653"/>
      <c r="K323" s="653"/>
      <c r="L323" s="633"/>
      <c r="M323" s="634"/>
      <c r="N323" s="654"/>
      <c r="O323" s="633"/>
      <c r="P323" s="653"/>
      <c r="Q323" s="653"/>
      <c r="R323" s="633"/>
      <c r="S323" s="634"/>
    </row>
    <row r="324" spans="1:19" x14ac:dyDescent="0.25">
      <c r="A324" s="648" t="s">
        <v>18</v>
      </c>
      <c r="B324" s="675">
        <f>60/176</f>
        <v>0.34090909090909088</v>
      </c>
      <c r="C324" s="650">
        <v>3.8</v>
      </c>
      <c r="D324" s="650">
        <v>30</v>
      </c>
      <c r="E324" s="653">
        <f>ROUND(C324*176*B324*0.3,2)</f>
        <v>68.400000000000006</v>
      </c>
      <c r="F324" s="633">
        <f t="shared" si="231"/>
        <v>16.47756</v>
      </c>
      <c r="G324" s="634">
        <f t="shared" si="232"/>
        <v>84.88</v>
      </c>
      <c r="H324" s="652">
        <v>0.45569620253164556</v>
      </c>
      <c r="I324" s="633">
        <v>3.8</v>
      </c>
      <c r="J324" s="653">
        <v>20</v>
      </c>
      <c r="K324" s="653">
        <f t="shared" ref="K324:K379" si="235">ROUND(I324*158*H324*0.2,2)</f>
        <v>54.72</v>
      </c>
      <c r="L324" s="633">
        <f t="shared" ref="L324:L379" si="236">K324*0.2409</f>
        <v>13.182048</v>
      </c>
      <c r="M324" s="634">
        <f t="shared" ref="M324:M379" si="237">ROUND(SUM(K324:L324),2)</f>
        <v>67.900000000000006</v>
      </c>
      <c r="N324" s="654"/>
      <c r="O324" s="633"/>
      <c r="P324" s="653"/>
      <c r="Q324" s="653"/>
      <c r="R324" s="633"/>
      <c r="S324" s="634"/>
    </row>
    <row r="325" spans="1:19" x14ac:dyDescent="0.25">
      <c r="A325" s="648" t="s">
        <v>18</v>
      </c>
      <c r="B325" s="675">
        <f>96/176</f>
        <v>0.54545454545454541</v>
      </c>
      <c r="C325" s="650">
        <v>3.8</v>
      </c>
      <c r="D325" s="650">
        <v>30</v>
      </c>
      <c r="E325" s="653">
        <f t="shared" ref="E325:E382" si="238">ROUND(C325*176*B325*0.3,2)</f>
        <v>109.44</v>
      </c>
      <c r="F325" s="633">
        <f t="shared" si="231"/>
        <v>26.364096</v>
      </c>
      <c r="G325" s="634">
        <f t="shared" si="232"/>
        <v>135.80000000000001</v>
      </c>
      <c r="H325" s="652">
        <v>0.63291139240506333</v>
      </c>
      <c r="I325" s="633">
        <v>3.8</v>
      </c>
      <c r="J325" s="653">
        <v>20</v>
      </c>
      <c r="K325" s="653">
        <f t="shared" si="235"/>
        <v>76</v>
      </c>
      <c r="L325" s="633">
        <f t="shared" si="236"/>
        <v>18.308399999999999</v>
      </c>
      <c r="M325" s="634">
        <f t="shared" si="237"/>
        <v>94.31</v>
      </c>
      <c r="N325" s="654"/>
      <c r="O325" s="633"/>
      <c r="P325" s="653"/>
      <c r="Q325" s="653"/>
      <c r="R325" s="633"/>
      <c r="S325" s="634"/>
    </row>
    <row r="326" spans="1:19" x14ac:dyDescent="0.25">
      <c r="A326" s="648" t="s">
        <v>18</v>
      </c>
      <c r="B326" s="675">
        <f>24/176</f>
        <v>0.13636363636363635</v>
      </c>
      <c r="C326" s="650">
        <v>3.8</v>
      </c>
      <c r="D326" s="650">
        <v>30</v>
      </c>
      <c r="E326" s="653">
        <f t="shared" si="238"/>
        <v>27.36</v>
      </c>
      <c r="F326" s="633">
        <f t="shared" si="231"/>
        <v>6.591024</v>
      </c>
      <c r="G326" s="634">
        <f t="shared" si="232"/>
        <v>33.950000000000003</v>
      </c>
      <c r="H326" s="652">
        <v>0.70886075949367089</v>
      </c>
      <c r="I326" s="633">
        <v>3.8</v>
      </c>
      <c r="J326" s="653">
        <v>20</v>
      </c>
      <c r="K326" s="653">
        <f t="shared" si="235"/>
        <v>85.12</v>
      </c>
      <c r="L326" s="633">
        <f t="shared" si="236"/>
        <v>20.505408000000003</v>
      </c>
      <c r="M326" s="634">
        <f t="shared" si="237"/>
        <v>105.63</v>
      </c>
      <c r="N326" s="654"/>
      <c r="O326" s="633"/>
      <c r="P326" s="653"/>
      <c r="Q326" s="653"/>
      <c r="R326" s="633"/>
      <c r="S326" s="634"/>
    </row>
    <row r="327" spans="1:19" x14ac:dyDescent="0.25">
      <c r="A327" s="648" t="s">
        <v>18</v>
      </c>
      <c r="B327" s="675">
        <f>84/176</f>
        <v>0.47727272727272729</v>
      </c>
      <c r="C327" s="650">
        <v>3.8</v>
      </c>
      <c r="D327" s="650">
        <v>30</v>
      </c>
      <c r="E327" s="653">
        <f t="shared" si="238"/>
        <v>95.76</v>
      </c>
      <c r="F327" s="633">
        <f t="shared" si="231"/>
        <v>23.068584000000001</v>
      </c>
      <c r="G327" s="634">
        <f t="shared" si="232"/>
        <v>118.83</v>
      </c>
      <c r="H327" s="652">
        <v>0.68354430379746833</v>
      </c>
      <c r="I327" s="633">
        <v>3.8</v>
      </c>
      <c r="J327" s="653">
        <v>20</v>
      </c>
      <c r="K327" s="653">
        <f t="shared" si="235"/>
        <v>82.08</v>
      </c>
      <c r="L327" s="633">
        <f t="shared" si="236"/>
        <v>19.773071999999999</v>
      </c>
      <c r="M327" s="634">
        <f t="shared" si="237"/>
        <v>101.85</v>
      </c>
      <c r="N327" s="654"/>
      <c r="O327" s="633"/>
      <c r="P327" s="653"/>
      <c r="Q327" s="653"/>
      <c r="R327" s="633"/>
      <c r="S327" s="634"/>
    </row>
    <row r="328" spans="1:19" x14ac:dyDescent="0.25">
      <c r="A328" s="648" t="s">
        <v>18</v>
      </c>
      <c r="B328" s="675">
        <f>36/176</f>
        <v>0.20454545454545456</v>
      </c>
      <c r="C328" s="650">
        <v>3.8</v>
      </c>
      <c r="D328" s="650">
        <v>30</v>
      </c>
      <c r="E328" s="653">
        <f t="shared" si="238"/>
        <v>41.04</v>
      </c>
      <c r="F328" s="633">
        <f t="shared" si="231"/>
        <v>9.8865359999999995</v>
      </c>
      <c r="G328" s="634">
        <f t="shared" si="232"/>
        <v>50.93</v>
      </c>
      <c r="H328" s="652">
        <v>0.68354430379746833</v>
      </c>
      <c r="I328" s="633">
        <v>3.8</v>
      </c>
      <c r="J328" s="653">
        <v>20</v>
      </c>
      <c r="K328" s="653">
        <f t="shared" si="235"/>
        <v>82.08</v>
      </c>
      <c r="L328" s="633">
        <f t="shared" si="236"/>
        <v>19.773071999999999</v>
      </c>
      <c r="M328" s="634">
        <f t="shared" si="237"/>
        <v>101.85</v>
      </c>
      <c r="N328" s="654"/>
      <c r="O328" s="633"/>
      <c r="P328" s="653"/>
      <c r="Q328" s="653"/>
      <c r="R328" s="633"/>
      <c r="S328" s="634"/>
    </row>
    <row r="329" spans="1:19" x14ac:dyDescent="0.25">
      <c r="A329" s="648" t="s">
        <v>18</v>
      </c>
      <c r="B329" s="675">
        <f>120/176</f>
        <v>0.68181818181818177</v>
      </c>
      <c r="C329" s="650">
        <v>3.8</v>
      </c>
      <c r="D329" s="650">
        <v>30</v>
      </c>
      <c r="E329" s="653">
        <f t="shared" si="238"/>
        <v>136.80000000000001</v>
      </c>
      <c r="F329" s="633">
        <f t="shared" si="231"/>
        <v>32.955120000000001</v>
      </c>
      <c r="G329" s="634">
        <f t="shared" si="232"/>
        <v>169.76</v>
      </c>
      <c r="H329" s="652">
        <v>0.58227848101265822</v>
      </c>
      <c r="I329" s="633">
        <v>3.8</v>
      </c>
      <c r="J329" s="653">
        <v>20</v>
      </c>
      <c r="K329" s="653">
        <f t="shared" si="235"/>
        <v>69.92</v>
      </c>
      <c r="L329" s="633">
        <f t="shared" si="236"/>
        <v>16.843728000000002</v>
      </c>
      <c r="M329" s="634">
        <f t="shared" si="237"/>
        <v>86.76</v>
      </c>
      <c r="N329" s="654"/>
      <c r="O329" s="633"/>
      <c r="P329" s="653"/>
      <c r="Q329" s="653"/>
      <c r="R329" s="633"/>
      <c r="S329" s="634"/>
    </row>
    <row r="330" spans="1:19" x14ac:dyDescent="0.25">
      <c r="A330" s="648" t="s">
        <v>18</v>
      </c>
      <c r="B330" s="675">
        <f>100/176</f>
        <v>0.56818181818181823</v>
      </c>
      <c r="C330" s="650">
        <v>3.8</v>
      </c>
      <c r="D330" s="650">
        <v>30</v>
      </c>
      <c r="E330" s="653">
        <f t="shared" si="238"/>
        <v>114</v>
      </c>
      <c r="F330" s="633">
        <f t="shared" si="231"/>
        <v>27.462600000000002</v>
      </c>
      <c r="G330" s="634">
        <f t="shared" si="232"/>
        <v>141.46</v>
      </c>
      <c r="H330" s="652">
        <v>0.98734177215189878</v>
      </c>
      <c r="I330" s="633">
        <v>3.8</v>
      </c>
      <c r="J330" s="653">
        <v>20</v>
      </c>
      <c r="K330" s="653">
        <f t="shared" si="235"/>
        <v>118.56</v>
      </c>
      <c r="L330" s="633">
        <f t="shared" si="236"/>
        <v>28.561104</v>
      </c>
      <c r="M330" s="634">
        <f t="shared" si="237"/>
        <v>147.12</v>
      </c>
      <c r="N330" s="654"/>
      <c r="O330" s="633"/>
      <c r="P330" s="653"/>
      <c r="Q330" s="653"/>
      <c r="R330" s="633"/>
      <c r="S330" s="634"/>
    </row>
    <row r="331" spans="1:19" x14ac:dyDescent="0.25">
      <c r="A331" s="648" t="s">
        <v>722</v>
      </c>
      <c r="B331" s="675">
        <f>119/176</f>
        <v>0.67613636363636365</v>
      </c>
      <c r="C331" s="650">
        <v>3.36</v>
      </c>
      <c r="D331" s="650">
        <v>30</v>
      </c>
      <c r="E331" s="653">
        <f t="shared" si="238"/>
        <v>119.95</v>
      </c>
      <c r="F331" s="633">
        <f t="shared" si="231"/>
        <v>28.895955000000001</v>
      </c>
      <c r="G331" s="634">
        <f t="shared" si="232"/>
        <v>148.85</v>
      </c>
      <c r="H331" s="652">
        <v>0.55696202531645567</v>
      </c>
      <c r="I331" s="633">
        <v>3.36</v>
      </c>
      <c r="J331" s="653">
        <v>20</v>
      </c>
      <c r="K331" s="653">
        <f t="shared" si="235"/>
        <v>59.14</v>
      </c>
      <c r="L331" s="633">
        <f t="shared" si="236"/>
        <v>14.246826</v>
      </c>
      <c r="M331" s="634">
        <f t="shared" si="237"/>
        <v>73.39</v>
      </c>
      <c r="N331" s="654"/>
      <c r="O331" s="633"/>
      <c r="P331" s="653"/>
      <c r="Q331" s="653"/>
      <c r="R331" s="633"/>
      <c r="S331" s="634"/>
    </row>
    <row r="332" spans="1:19" x14ac:dyDescent="0.25">
      <c r="A332" s="648" t="s">
        <v>722</v>
      </c>
      <c r="B332" s="649">
        <f>132/176</f>
        <v>0.75</v>
      </c>
      <c r="C332" s="650">
        <v>3.36</v>
      </c>
      <c r="D332" s="650">
        <v>30</v>
      </c>
      <c r="E332" s="653">
        <f t="shared" si="238"/>
        <v>133.06</v>
      </c>
      <c r="F332" s="633">
        <f t="shared" si="231"/>
        <v>32.054154000000004</v>
      </c>
      <c r="G332" s="634">
        <f t="shared" si="232"/>
        <v>165.11</v>
      </c>
      <c r="H332" s="652">
        <v>0.45569620253164556</v>
      </c>
      <c r="I332" s="633">
        <v>3.36</v>
      </c>
      <c r="J332" s="653">
        <v>20</v>
      </c>
      <c r="K332" s="653">
        <f t="shared" si="235"/>
        <v>48.38</v>
      </c>
      <c r="L332" s="633">
        <f t="shared" si="236"/>
        <v>11.654742000000001</v>
      </c>
      <c r="M332" s="634">
        <f t="shared" si="237"/>
        <v>60.03</v>
      </c>
      <c r="N332" s="654"/>
      <c r="O332" s="633"/>
      <c r="P332" s="653"/>
      <c r="Q332" s="653"/>
      <c r="R332" s="633"/>
      <c r="S332" s="634"/>
    </row>
    <row r="333" spans="1:19" x14ac:dyDescent="0.25">
      <c r="A333" s="648" t="s">
        <v>722</v>
      </c>
      <c r="B333" s="675">
        <f>108/176</f>
        <v>0.61363636363636365</v>
      </c>
      <c r="C333" s="650">
        <v>3.36</v>
      </c>
      <c r="D333" s="650">
        <v>30</v>
      </c>
      <c r="E333" s="653">
        <f t="shared" si="238"/>
        <v>108.86</v>
      </c>
      <c r="F333" s="633">
        <f t="shared" si="231"/>
        <v>26.224374000000001</v>
      </c>
      <c r="G333" s="634">
        <f t="shared" si="232"/>
        <v>135.08000000000001</v>
      </c>
      <c r="H333" s="652">
        <v>0.60759493670886078</v>
      </c>
      <c r="I333" s="633">
        <v>3.36</v>
      </c>
      <c r="J333" s="653">
        <v>20</v>
      </c>
      <c r="K333" s="653">
        <f t="shared" si="235"/>
        <v>64.510000000000005</v>
      </c>
      <c r="L333" s="633">
        <f t="shared" si="236"/>
        <v>15.540459000000002</v>
      </c>
      <c r="M333" s="634">
        <f t="shared" si="237"/>
        <v>80.05</v>
      </c>
      <c r="N333" s="654"/>
      <c r="O333" s="633"/>
      <c r="P333" s="653"/>
      <c r="Q333" s="653"/>
      <c r="R333" s="633"/>
      <c r="S333" s="634"/>
    </row>
    <row r="334" spans="1:19" x14ac:dyDescent="0.25">
      <c r="A334" s="648" t="s">
        <v>722</v>
      </c>
      <c r="B334" s="675">
        <f>72/176</f>
        <v>0.40909090909090912</v>
      </c>
      <c r="C334" s="650">
        <v>3.36</v>
      </c>
      <c r="D334" s="650">
        <v>30</v>
      </c>
      <c r="E334" s="653">
        <f t="shared" si="238"/>
        <v>72.58</v>
      </c>
      <c r="F334" s="633">
        <f t="shared" si="231"/>
        <v>17.484521999999998</v>
      </c>
      <c r="G334" s="634">
        <f t="shared" si="232"/>
        <v>90.06</v>
      </c>
      <c r="H334" s="652">
        <v>1.2151898734177216</v>
      </c>
      <c r="I334" s="633">
        <v>3.36</v>
      </c>
      <c r="J334" s="653">
        <v>20</v>
      </c>
      <c r="K334" s="653">
        <f t="shared" si="235"/>
        <v>129.02000000000001</v>
      </c>
      <c r="L334" s="633">
        <f t="shared" si="236"/>
        <v>31.080918000000004</v>
      </c>
      <c r="M334" s="634">
        <f t="shared" si="237"/>
        <v>160.1</v>
      </c>
      <c r="N334" s="654"/>
      <c r="O334" s="633"/>
      <c r="P334" s="653"/>
      <c r="Q334" s="653"/>
      <c r="R334" s="633"/>
      <c r="S334" s="634"/>
    </row>
    <row r="335" spans="1:19" x14ac:dyDescent="0.25">
      <c r="A335" s="648" t="s">
        <v>722</v>
      </c>
      <c r="B335" s="675">
        <f>120/176</f>
        <v>0.68181818181818177</v>
      </c>
      <c r="C335" s="650">
        <v>3.36</v>
      </c>
      <c r="D335" s="650">
        <v>30</v>
      </c>
      <c r="E335" s="653">
        <f t="shared" si="238"/>
        <v>120.96</v>
      </c>
      <c r="F335" s="633">
        <f t="shared" si="231"/>
        <v>29.139263999999997</v>
      </c>
      <c r="G335" s="634">
        <f t="shared" si="232"/>
        <v>150.1</v>
      </c>
      <c r="H335" s="652">
        <v>0.60759493670886078</v>
      </c>
      <c r="I335" s="633">
        <v>3.36</v>
      </c>
      <c r="J335" s="653">
        <v>20</v>
      </c>
      <c r="K335" s="653">
        <f t="shared" si="235"/>
        <v>64.510000000000005</v>
      </c>
      <c r="L335" s="633">
        <f t="shared" si="236"/>
        <v>15.540459000000002</v>
      </c>
      <c r="M335" s="634">
        <f t="shared" si="237"/>
        <v>80.05</v>
      </c>
      <c r="N335" s="654"/>
      <c r="O335" s="633"/>
      <c r="P335" s="653"/>
      <c r="Q335" s="653"/>
      <c r="R335" s="633"/>
      <c r="S335" s="634"/>
    </row>
    <row r="336" spans="1:19" x14ac:dyDescent="0.25">
      <c r="A336" s="648" t="s">
        <v>722</v>
      </c>
      <c r="B336" s="675">
        <f>72/176</f>
        <v>0.40909090909090912</v>
      </c>
      <c r="C336" s="650">
        <v>3.36</v>
      </c>
      <c r="D336" s="650">
        <v>30</v>
      </c>
      <c r="E336" s="653">
        <f t="shared" si="238"/>
        <v>72.58</v>
      </c>
      <c r="F336" s="633">
        <f t="shared" si="231"/>
        <v>17.484521999999998</v>
      </c>
      <c r="G336" s="634">
        <f t="shared" si="232"/>
        <v>90.06</v>
      </c>
      <c r="H336" s="652">
        <v>0.45569620253164556</v>
      </c>
      <c r="I336" s="633">
        <v>3.36</v>
      </c>
      <c r="J336" s="653">
        <v>20</v>
      </c>
      <c r="K336" s="653">
        <f t="shared" si="235"/>
        <v>48.38</v>
      </c>
      <c r="L336" s="633">
        <f t="shared" si="236"/>
        <v>11.654742000000001</v>
      </c>
      <c r="M336" s="634">
        <f t="shared" si="237"/>
        <v>60.03</v>
      </c>
      <c r="N336" s="654"/>
      <c r="O336" s="633"/>
      <c r="P336" s="653"/>
      <c r="Q336" s="653"/>
      <c r="R336" s="633"/>
      <c r="S336" s="634"/>
    </row>
    <row r="337" spans="1:19" x14ac:dyDescent="0.25">
      <c r="A337" s="648" t="s">
        <v>722</v>
      </c>
      <c r="B337" s="675">
        <f>79/176</f>
        <v>0.44886363636363635</v>
      </c>
      <c r="C337" s="650">
        <v>3.36</v>
      </c>
      <c r="D337" s="650">
        <v>30</v>
      </c>
      <c r="E337" s="653">
        <f t="shared" si="238"/>
        <v>79.63</v>
      </c>
      <c r="F337" s="633">
        <f t="shared" si="231"/>
        <v>19.182866999999998</v>
      </c>
      <c r="G337" s="634">
        <f t="shared" si="232"/>
        <v>98.81</v>
      </c>
      <c r="H337" s="652">
        <v>0.91139240506329111</v>
      </c>
      <c r="I337" s="633">
        <v>3.36</v>
      </c>
      <c r="J337" s="653">
        <v>20</v>
      </c>
      <c r="K337" s="653">
        <f t="shared" si="235"/>
        <v>96.77</v>
      </c>
      <c r="L337" s="633">
        <f t="shared" si="236"/>
        <v>23.311892999999998</v>
      </c>
      <c r="M337" s="634">
        <f t="shared" si="237"/>
        <v>120.08</v>
      </c>
      <c r="N337" s="654"/>
      <c r="O337" s="633"/>
      <c r="P337" s="653"/>
      <c r="Q337" s="653"/>
      <c r="R337" s="633"/>
      <c r="S337" s="634"/>
    </row>
    <row r="338" spans="1:19" x14ac:dyDescent="0.25">
      <c r="A338" s="648" t="s">
        <v>722</v>
      </c>
      <c r="B338" s="675">
        <f>128/176</f>
        <v>0.72727272727272729</v>
      </c>
      <c r="C338" s="650">
        <v>3.36</v>
      </c>
      <c r="D338" s="650">
        <v>30</v>
      </c>
      <c r="E338" s="653">
        <f t="shared" si="238"/>
        <v>129.02000000000001</v>
      </c>
      <c r="F338" s="633">
        <f t="shared" si="231"/>
        <v>31.080918000000004</v>
      </c>
      <c r="G338" s="634">
        <f t="shared" si="232"/>
        <v>160.1</v>
      </c>
      <c r="H338" s="652">
        <v>0.60759493670886078</v>
      </c>
      <c r="I338" s="633">
        <v>3.36</v>
      </c>
      <c r="J338" s="653">
        <v>20</v>
      </c>
      <c r="K338" s="653">
        <f t="shared" si="235"/>
        <v>64.510000000000005</v>
      </c>
      <c r="L338" s="633">
        <f t="shared" si="236"/>
        <v>15.540459000000002</v>
      </c>
      <c r="M338" s="634">
        <f t="shared" si="237"/>
        <v>80.05</v>
      </c>
      <c r="N338" s="654"/>
      <c r="O338" s="633"/>
      <c r="P338" s="653"/>
      <c r="Q338" s="653"/>
      <c r="R338" s="633"/>
      <c r="S338" s="634"/>
    </row>
    <row r="339" spans="1:19" x14ac:dyDescent="0.25">
      <c r="A339" s="648" t="s">
        <v>722</v>
      </c>
      <c r="B339" s="675">
        <f>96/176</f>
        <v>0.54545454545454541</v>
      </c>
      <c r="C339" s="650">
        <v>3.36</v>
      </c>
      <c r="D339" s="650">
        <v>30</v>
      </c>
      <c r="E339" s="653">
        <f t="shared" si="238"/>
        <v>96.77</v>
      </c>
      <c r="F339" s="633">
        <f t="shared" si="231"/>
        <v>23.311892999999998</v>
      </c>
      <c r="G339" s="634">
        <f t="shared" si="232"/>
        <v>120.08</v>
      </c>
      <c r="H339" s="652">
        <v>0.759493670886076</v>
      </c>
      <c r="I339" s="633">
        <v>3.36</v>
      </c>
      <c r="J339" s="653">
        <v>20</v>
      </c>
      <c r="K339" s="653">
        <f t="shared" si="235"/>
        <v>80.64</v>
      </c>
      <c r="L339" s="633">
        <f t="shared" si="236"/>
        <v>19.426176000000002</v>
      </c>
      <c r="M339" s="634">
        <f t="shared" si="237"/>
        <v>100.07</v>
      </c>
      <c r="N339" s="654"/>
      <c r="O339" s="633"/>
      <c r="P339" s="653"/>
      <c r="Q339" s="653"/>
      <c r="R339" s="633"/>
      <c r="S339" s="634"/>
    </row>
    <row r="340" spans="1:19" x14ac:dyDescent="0.25">
      <c r="A340" s="648" t="s">
        <v>722</v>
      </c>
      <c r="B340" s="675">
        <f>24/176</f>
        <v>0.13636363636363635</v>
      </c>
      <c r="C340" s="650">
        <v>3.36</v>
      </c>
      <c r="D340" s="650">
        <v>50</v>
      </c>
      <c r="E340" s="653">
        <f>ROUND(C340*176*B340*0.5,2)</f>
        <v>40.32</v>
      </c>
      <c r="F340" s="633">
        <f t="shared" si="231"/>
        <v>9.7130880000000008</v>
      </c>
      <c r="G340" s="634">
        <f t="shared" si="232"/>
        <v>50.03</v>
      </c>
      <c r="H340" s="652">
        <v>1.1139240506329113</v>
      </c>
      <c r="I340" s="633">
        <v>3.36</v>
      </c>
      <c r="J340" s="653">
        <v>20</v>
      </c>
      <c r="K340" s="653">
        <f t="shared" si="235"/>
        <v>118.27</v>
      </c>
      <c r="L340" s="633">
        <f t="shared" si="236"/>
        <v>28.491243000000001</v>
      </c>
      <c r="M340" s="634">
        <f t="shared" si="237"/>
        <v>146.76</v>
      </c>
      <c r="N340" s="654"/>
      <c r="O340" s="633"/>
      <c r="P340" s="653"/>
      <c r="Q340" s="653"/>
      <c r="R340" s="633"/>
      <c r="S340" s="634"/>
    </row>
    <row r="341" spans="1:19" x14ac:dyDescent="0.25">
      <c r="A341" s="648" t="s">
        <v>722</v>
      </c>
      <c r="B341" s="675">
        <f>96/176</f>
        <v>0.54545454545454541</v>
      </c>
      <c r="C341" s="650">
        <v>3.36</v>
      </c>
      <c r="D341" s="650">
        <v>30</v>
      </c>
      <c r="E341" s="653">
        <f t="shared" si="238"/>
        <v>96.77</v>
      </c>
      <c r="F341" s="633">
        <f t="shared" si="231"/>
        <v>23.311892999999998</v>
      </c>
      <c r="G341" s="634">
        <f t="shared" si="232"/>
        <v>120.08</v>
      </c>
      <c r="H341" s="652">
        <v>0.60759493670886078</v>
      </c>
      <c r="I341" s="633">
        <v>3.36</v>
      </c>
      <c r="J341" s="653">
        <v>20</v>
      </c>
      <c r="K341" s="653">
        <f t="shared" si="235"/>
        <v>64.510000000000005</v>
      </c>
      <c r="L341" s="633">
        <f t="shared" si="236"/>
        <v>15.540459000000002</v>
      </c>
      <c r="M341" s="634">
        <f t="shared" si="237"/>
        <v>80.05</v>
      </c>
      <c r="N341" s="654"/>
      <c r="O341" s="633"/>
      <c r="P341" s="653"/>
      <c r="Q341" s="653"/>
      <c r="R341" s="633"/>
      <c r="S341" s="634"/>
    </row>
    <row r="342" spans="1:19" x14ac:dyDescent="0.25">
      <c r="A342" s="648" t="s">
        <v>722</v>
      </c>
      <c r="B342" s="675">
        <f>119/176</f>
        <v>0.67613636363636365</v>
      </c>
      <c r="C342" s="650">
        <v>3.36</v>
      </c>
      <c r="D342" s="650">
        <v>30</v>
      </c>
      <c r="E342" s="653">
        <f t="shared" si="238"/>
        <v>119.95</v>
      </c>
      <c r="F342" s="633">
        <f t="shared" si="231"/>
        <v>28.895955000000001</v>
      </c>
      <c r="G342" s="634">
        <f t="shared" si="232"/>
        <v>148.85</v>
      </c>
      <c r="H342" s="652">
        <v>1.0886075949367089</v>
      </c>
      <c r="I342" s="633">
        <v>3.36</v>
      </c>
      <c r="J342" s="653">
        <v>20</v>
      </c>
      <c r="K342" s="653">
        <f t="shared" si="235"/>
        <v>115.58</v>
      </c>
      <c r="L342" s="633">
        <f t="shared" si="236"/>
        <v>27.843222000000001</v>
      </c>
      <c r="M342" s="634">
        <f t="shared" si="237"/>
        <v>143.41999999999999</v>
      </c>
      <c r="N342" s="654"/>
      <c r="O342" s="633"/>
      <c r="P342" s="653"/>
      <c r="Q342" s="653"/>
      <c r="R342" s="633"/>
      <c r="S342" s="634"/>
    </row>
    <row r="343" spans="1:19" x14ac:dyDescent="0.25">
      <c r="A343" s="648" t="s">
        <v>722</v>
      </c>
      <c r="B343" s="675">
        <f>72/176</f>
        <v>0.40909090909090912</v>
      </c>
      <c r="C343" s="650">
        <v>3.36</v>
      </c>
      <c r="D343" s="650">
        <v>30</v>
      </c>
      <c r="E343" s="653">
        <f t="shared" si="238"/>
        <v>72.58</v>
      </c>
      <c r="F343" s="633">
        <f t="shared" si="231"/>
        <v>17.484521999999998</v>
      </c>
      <c r="G343" s="634">
        <f t="shared" si="232"/>
        <v>90.06</v>
      </c>
      <c r="H343" s="652">
        <v>0.45569620253164556</v>
      </c>
      <c r="I343" s="633">
        <v>3.36</v>
      </c>
      <c r="J343" s="653">
        <v>20</v>
      </c>
      <c r="K343" s="653">
        <f t="shared" si="235"/>
        <v>48.38</v>
      </c>
      <c r="L343" s="633">
        <f t="shared" si="236"/>
        <v>11.654742000000001</v>
      </c>
      <c r="M343" s="634">
        <f t="shared" si="237"/>
        <v>60.03</v>
      </c>
      <c r="N343" s="654"/>
      <c r="O343" s="633"/>
      <c r="P343" s="653"/>
      <c r="Q343" s="653"/>
      <c r="R343" s="633"/>
      <c r="S343" s="634"/>
    </row>
    <row r="344" spans="1:19" x14ac:dyDescent="0.25">
      <c r="A344" s="648" t="s">
        <v>722</v>
      </c>
      <c r="B344" s="675">
        <f>96/176</f>
        <v>0.54545454545454541</v>
      </c>
      <c r="C344" s="650">
        <v>3.36</v>
      </c>
      <c r="D344" s="650">
        <v>30</v>
      </c>
      <c r="E344" s="653">
        <f t="shared" si="238"/>
        <v>96.77</v>
      </c>
      <c r="F344" s="633">
        <f t="shared" si="231"/>
        <v>23.311892999999998</v>
      </c>
      <c r="G344" s="634">
        <f t="shared" si="232"/>
        <v>120.08</v>
      </c>
      <c r="H344" s="652">
        <v>0.86075949367088611</v>
      </c>
      <c r="I344" s="633">
        <v>3.36</v>
      </c>
      <c r="J344" s="653">
        <v>20</v>
      </c>
      <c r="K344" s="653">
        <f t="shared" si="235"/>
        <v>91.39</v>
      </c>
      <c r="L344" s="633">
        <f t="shared" si="236"/>
        <v>22.015851000000001</v>
      </c>
      <c r="M344" s="634">
        <f t="shared" si="237"/>
        <v>113.41</v>
      </c>
      <c r="N344" s="654"/>
      <c r="O344" s="633"/>
      <c r="P344" s="653"/>
      <c r="Q344" s="653"/>
      <c r="R344" s="633"/>
      <c r="S344" s="634"/>
    </row>
    <row r="345" spans="1:19" x14ac:dyDescent="0.25">
      <c r="A345" s="648" t="s">
        <v>722</v>
      </c>
      <c r="B345" s="675">
        <f>128/176</f>
        <v>0.72727272727272729</v>
      </c>
      <c r="C345" s="650">
        <v>3.36</v>
      </c>
      <c r="D345" s="650">
        <v>30</v>
      </c>
      <c r="E345" s="653">
        <f t="shared" si="238"/>
        <v>129.02000000000001</v>
      </c>
      <c r="F345" s="633">
        <f t="shared" si="231"/>
        <v>31.080918000000004</v>
      </c>
      <c r="G345" s="634">
        <f t="shared" si="232"/>
        <v>160.1</v>
      </c>
      <c r="H345" s="652">
        <v>0.810126582278481</v>
      </c>
      <c r="I345" s="633">
        <v>3.36</v>
      </c>
      <c r="J345" s="653">
        <v>20</v>
      </c>
      <c r="K345" s="653">
        <f t="shared" si="235"/>
        <v>86.02</v>
      </c>
      <c r="L345" s="633">
        <f t="shared" si="236"/>
        <v>20.722217999999998</v>
      </c>
      <c r="M345" s="634">
        <f t="shared" si="237"/>
        <v>106.74</v>
      </c>
      <c r="N345" s="654"/>
      <c r="O345" s="633"/>
      <c r="P345" s="653"/>
      <c r="Q345" s="653"/>
      <c r="R345" s="633"/>
      <c r="S345" s="634"/>
    </row>
    <row r="346" spans="1:19" x14ac:dyDescent="0.25">
      <c r="A346" s="648" t="s">
        <v>722</v>
      </c>
      <c r="B346" s="675">
        <f>107/176</f>
        <v>0.60795454545454541</v>
      </c>
      <c r="C346" s="650">
        <v>3.36</v>
      </c>
      <c r="D346" s="650">
        <v>30</v>
      </c>
      <c r="E346" s="653">
        <f t="shared" si="238"/>
        <v>107.86</v>
      </c>
      <c r="F346" s="633">
        <f t="shared" si="231"/>
        <v>25.983474000000001</v>
      </c>
      <c r="G346" s="634">
        <f t="shared" si="232"/>
        <v>133.84</v>
      </c>
      <c r="H346" s="652">
        <v>0.22784810126582278</v>
      </c>
      <c r="I346" s="633">
        <v>3.36</v>
      </c>
      <c r="J346" s="653">
        <v>20</v>
      </c>
      <c r="K346" s="653">
        <f t="shared" si="235"/>
        <v>24.19</v>
      </c>
      <c r="L346" s="633">
        <f t="shared" si="236"/>
        <v>5.8273710000000003</v>
      </c>
      <c r="M346" s="634">
        <f t="shared" si="237"/>
        <v>30.02</v>
      </c>
      <c r="N346" s="654"/>
      <c r="O346" s="633"/>
      <c r="P346" s="653"/>
      <c r="Q346" s="653"/>
      <c r="R346" s="633"/>
      <c r="S346" s="634"/>
    </row>
    <row r="347" spans="1:19" x14ac:dyDescent="0.25">
      <c r="A347" s="648" t="s">
        <v>722</v>
      </c>
      <c r="B347" s="675">
        <f>64/176</f>
        <v>0.36363636363636365</v>
      </c>
      <c r="C347" s="650">
        <v>3.36</v>
      </c>
      <c r="D347" s="650">
        <v>30</v>
      </c>
      <c r="E347" s="653">
        <f t="shared" si="238"/>
        <v>64.510000000000005</v>
      </c>
      <c r="F347" s="633">
        <f t="shared" si="231"/>
        <v>15.540459000000002</v>
      </c>
      <c r="G347" s="634">
        <f t="shared" si="232"/>
        <v>80.05</v>
      </c>
      <c r="H347" s="652">
        <v>0.759493670886076</v>
      </c>
      <c r="I347" s="633">
        <v>3.36</v>
      </c>
      <c r="J347" s="653">
        <v>20</v>
      </c>
      <c r="K347" s="653">
        <f t="shared" si="235"/>
        <v>80.64</v>
      </c>
      <c r="L347" s="633">
        <f t="shared" si="236"/>
        <v>19.426176000000002</v>
      </c>
      <c r="M347" s="634">
        <f t="shared" si="237"/>
        <v>100.07</v>
      </c>
      <c r="N347" s="654"/>
      <c r="O347" s="633"/>
      <c r="P347" s="653"/>
      <c r="Q347" s="653"/>
      <c r="R347" s="633"/>
      <c r="S347" s="634"/>
    </row>
    <row r="348" spans="1:19" x14ac:dyDescent="0.25">
      <c r="A348" s="648" t="s">
        <v>722</v>
      </c>
      <c r="B348" s="675">
        <f>48/176</f>
        <v>0.27272727272727271</v>
      </c>
      <c r="C348" s="650">
        <v>3.36</v>
      </c>
      <c r="D348" s="650">
        <v>30</v>
      </c>
      <c r="E348" s="653">
        <f t="shared" si="238"/>
        <v>48.38</v>
      </c>
      <c r="F348" s="633">
        <f t="shared" si="231"/>
        <v>11.654742000000001</v>
      </c>
      <c r="G348" s="634">
        <f t="shared" si="232"/>
        <v>60.03</v>
      </c>
      <c r="H348" s="652">
        <v>1.2151898734177216</v>
      </c>
      <c r="I348" s="633">
        <v>3.36</v>
      </c>
      <c r="J348" s="653">
        <v>20</v>
      </c>
      <c r="K348" s="653">
        <f t="shared" si="235"/>
        <v>129.02000000000001</v>
      </c>
      <c r="L348" s="633">
        <f t="shared" si="236"/>
        <v>31.080918000000004</v>
      </c>
      <c r="M348" s="634">
        <f t="shared" si="237"/>
        <v>160.1</v>
      </c>
      <c r="N348" s="654"/>
      <c r="O348" s="633"/>
      <c r="P348" s="653"/>
      <c r="Q348" s="653"/>
      <c r="R348" s="633"/>
      <c r="S348" s="634"/>
    </row>
    <row r="349" spans="1:19" x14ac:dyDescent="0.25">
      <c r="A349" s="648" t="s">
        <v>722</v>
      </c>
      <c r="B349" s="675">
        <f>96/176</f>
        <v>0.54545454545454541</v>
      </c>
      <c r="C349" s="650">
        <v>3.36</v>
      </c>
      <c r="D349" s="650">
        <v>30</v>
      </c>
      <c r="E349" s="653">
        <f t="shared" si="238"/>
        <v>96.77</v>
      </c>
      <c r="F349" s="633">
        <f t="shared" si="231"/>
        <v>23.311892999999998</v>
      </c>
      <c r="G349" s="634">
        <f t="shared" si="232"/>
        <v>120.08</v>
      </c>
      <c r="H349" s="652">
        <v>1.2151898734177216</v>
      </c>
      <c r="I349" s="633">
        <v>3.36</v>
      </c>
      <c r="J349" s="653">
        <v>20</v>
      </c>
      <c r="K349" s="653">
        <f t="shared" si="235"/>
        <v>129.02000000000001</v>
      </c>
      <c r="L349" s="633">
        <f t="shared" si="236"/>
        <v>31.080918000000004</v>
      </c>
      <c r="M349" s="634">
        <f t="shared" si="237"/>
        <v>160.1</v>
      </c>
      <c r="N349" s="654"/>
      <c r="O349" s="633"/>
      <c r="P349" s="653"/>
      <c r="Q349" s="653"/>
      <c r="R349" s="633"/>
      <c r="S349" s="634"/>
    </row>
    <row r="350" spans="1:19" x14ac:dyDescent="0.25">
      <c r="A350" s="648" t="s">
        <v>722</v>
      </c>
      <c r="B350" s="675">
        <f>24/176</f>
        <v>0.13636363636363635</v>
      </c>
      <c r="C350" s="650">
        <v>3.36</v>
      </c>
      <c r="D350" s="650">
        <v>50</v>
      </c>
      <c r="E350" s="653">
        <f>ROUND(C350*176*B350*0.5,2)</f>
        <v>40.32</v>
      </c>
      <c r="F350" s="633">
        <f t="shared" si="231"/>
        <v>9.7130880000000008</v>
      </c>
      <c r="G350" s="634">
        <f t="shared" si="232"/>
        <v>50.03</v>
      </c>
      <c r="H350" s="652">
        <v>0.759493670886076</v>
      </c>
      <c r="I350" s="633">
        <v>3.36</v>
      </c>
      <c r="J350" s="653">
        <v>20</v>
      </c>
      <c r="K350" s="653">
        <f t="shared" si="235"/>
        <v>80.64</v>
      </c>
      <c r="L350" s="633">
        <f t="shared" si="236"/>
        <v>19.426176000000002</v>
      </c>
      <c r="M350" s="634">
        <f t="shared" si="237"/>
        <v>100.07</v>
      </c>
      <c r="N350" s="654"/>
      <c r="O350" s="633"/>
      <c r="P350" s="653"/>
      <c r="Q350" s="653"/>
      <c r="R350" s="633"/>
      <c r="S350" s="634"/>
    </row>
    <row r="351" spans="1:19" x14ac:dyDescent="0.25">
      <c r="A351" s="648" t="s">
        <v>722</v>
      </c>
      <c r="B351" s="675">
        <f>112/176</f>
        <v>0.63636363636363635</v>
      </c>
      <c r="C351" s="650">
        <v>3.36</v>
      </c>
      <c r="D351" s="650">
        <v>30</v>
      </c>
      <c r="E351" s="653">
        <f t="shared" si="238"/>
        <v>112.9</v>
      </c>
      <c r="F351" s="633">
        <f t="shared" si="231"/>
        <v>27.197610000000001</v>
      </c>
      <c r="G351" s="634">
        <f t="shared" si="232"/>
        <v>140.1</v>
      </c>
      <c r="H351" s="652">
        <v>0.98734177215189878</v>
      </c>
      <c r="I351" s="633">
        <v>3.36</v>
      </c>
      <c r="J351" s="653">
        <v>20</v>
      </c>
      <c r="K351" s="653">
        <f t="shared" si="235"/>
        <v>104.83</v>
      </c>
      <c r="L351" s="633">
        <f t="shared" si="236"/>
        <v>25.253547000000001</v>
      </c>
      <c r="M351" s="634">
        <f t="shared" si="237"/>
        <v>130.08000000000001</v>
      </c>
      <c r="N351" s="654"/>
      <c r="O351" s="633"/>
      <c r="P351" s="653"/>
      <c r="Q351" s="653"/>
      <c r="R351" s="633"/>
      <c r="S351" s="634"/>
    </row>
    <row r="352" spans="1:19" x14ac:dyDescent="0.25">
      <c r="A352" s="648" t="s">
        <v>722</v>
      </c>
      <c r="B352" s="675">
        <f>62/176</f>
        <v>0.35227272727272729</v>
      </c>
      <c r="C352" s="650">
        <v>3.36</v>
      </c>
      <c r="D352" s="650">
        <v>30</v>
      </c>
      <c r="E352" s="653">
        <f t="shared" si="238"/>
        <v>62.5</v>
      </c>
      <c r="F352" s="633">
        <f t="shared" si="231"/>
        <v>15.05625</v>
      </c>
      <c r="G352" s="634">
        <f t="shared" si="232"/>
        <v>77.56</v>
      </c>
      <c r="H352" s="652">
        <v>0.30379746835443039</v>
      </c>
      <c r="I352" s="633">
        <v>3.36</v>
      </c>
      <c r="J352" s="653">
        <v>20</v>
      </c>
      <c r="K352" s="653">
        <f t="shared" si="235"/>
        <v>32.26</v>
      </c>
      <c r="L352" s="633">
        <f t="shared" si="236"/>
        <v>7.7714339999999993</v>
      </c>
      <c r="M352" s="634">
        <f t="shared" si="237"/>
        <v>40.03</v>
      </c>
      <c r="N352" s="654"/>
      <c r="O352" s="633"/>
      <c r="P352" s="653"/>
      <c r="Q352" s="653"/>
      <c r="R352" s="633"/>
      <c r="S352" s="634"/>
    </row>
    <row r="353" spans="1:19" x14ac:dyDescent="0.25">
      <c r="A353" s="648" t="s">
        <v>722</v>
      </c>
      <c r="B353" s="675">
        <f>36/176</f>
        <v>0.20454545454545456</v>
      </c>
      <c r="C353" s="650">
        <v>3.36</v>
      </c>
      <c r="D353" s="650">
        <v>30</v>
      </c>
      <c r="E353" s="653">
        <f t="shared" si="238"/>
        <v>36.29</v>
      </c>
      <c r="F353" s="633">
        <f t="shared" si="231"/>
        <v>8.7422609999999992</v>
      </c>
      <c r="G353" s="634">
        <f t="shared" si="232"/>
        <v>45.03</v>
      </c>
      <c r="H353" s="652">
        <v>0.98734177215189878</v>
      </c>
      <c r="I353" s="633">
        <v>3.36</v>
      </c>
      <c r="J353" s="653">
        <v>20</v>
      </c>
      <c r="K353" s="653">
        <f t="shared" si="235"/>
        <v>104.83</v>
      </c>
      <c r="L353" s="633">
        <f t="shared" si="236"/>
        <v>25.253547000000001</v>
      </c>
      <c r="M353" s="634">
        <f t="shared" si="237"/>
        <v>130.08000000000001</v>
      </c>
      <c r="N353" s="654"/>
      <c r="O353" s="633"/>
      <c r="P353" s="653"/>
      <c r="Q353" s="653"/>
      <c r="R353" s="633"/>
      <c r="S353" s="634"/>
    </row>
    <row r="354" spans="1:19" x14ac:dyDescent="0.25">
      <c r="A354" s="648" t="s">
        <v>722</v>
      </c>
      <c r="B354" s="675">
        <f>50/176</f>
        <v>0.28409090909090912</v>
      </c>
      <c r="C354" s="650">
        <v>3.36</v>
      </c>
      <c r="D354" s="650">
        <v>30</v>
      </c>
      <c r="E354" s="653">
        <f t="shared" si="238"/>
        <v>50.4</v>
      </c>
      <c r="F354" s="633">
        <f t="shared" si="231"/>
        <v>12.141360000000001</v>
      </c>
      <c r="G354" s="634">
        <f t="shared" si="232"/>
        <v>62.54</v>
      </c>
      <c r="H354" s="652">
        <v>0.98734177215189878</v>
      </c>
      <c r="I354" s="633">
        <v>3.36</v>
      </c>
      <c r="J354" s="653">
        <v>20</v>
      </c>
      <c r="K354" s="653">
        <f t="shared" si="235"/>
        <v>104.83</v>
      </c>
      <c r="L354" s="633">
        <f t="shared" si="236"/>
        <v>25.253547000000001</v>
      </c>
      <c r="M354" s="634">
        <f t="shared" si="237"/>
        <v>130.08000000000001</v>
      </c>
      <c r="N354" s="654"/>
      <c r="O354" s="633"/>
      <c r="P354" s="653"/>
      <c r="Q354" s="653"/>
      <c r="R354" s="633"/>
      <c r="S354" s="634"/>
    </row>
    <row r="355" spans="1:19" x14ac:dyDescent="0.25">
      <c r="A355" s="648" t="s">
        <v>722</v>
      </c>
      <c r="B355" s="675">
        <f>72/176</f>
        <v>0.40909090909090912</v>
      </c>
      <c r="C355" s="650">
        <v>3.36</v>
      </c>
      <c r="D355" s="650">
        <v>30</v>
      </c>
      <c r="E355" s="653">
        <f t="shared" si="238"/>
        <v>72.58</v>
      </c>
      <c r="F355" s="633">
        <f t="shared" si="231"/>
        <v>17.484521999999998</v>
      </c>
      <c r="G355" s="634">
        <f t="shared" si="232"/>
        <v>90.06</v>
      </c>
      <c r="H355" s="652">
        <v>0.53164556962025311</v>
      </c>
      <c r="I355" s="633">
        <v>3.36</v>
      </c>
      <c r="J355" s="653">
        <v>20</v>
      </c>
      <c r="K355" s="653">
        <f t="shared" si="235"/>
        <v>56.45</v>
      </c>
      <c r="L355" s="633">
        <f t="shared" si="236"/>
        <v>13.598805</v>
      </c>
      <c r="M355" s="634">
        <f t="shared" si="237"/>
        <v>70.05</v>
      </c>
      <c r="N355" s="654"/>
      <c r="O355" s="633"/>
      <c r="P355" s="653"/>
      <c r="Q355" s="653"/>
      <c r="R355" s="633"/>
      <c r="S355" s="634"/>
    </row>
    <row r="356" spans="1:19" x14ac:dyDescent="0.25">
      <c r="A356" s="648" t="s">
        <v>722</v>
      </c>
      <c r="B356" s="649"/>
      <c r="C356" s="650"/>
      <c r="D356" s="650"/>
      <c r="E356" s="650"/>
      <c r="F356" s="650"/>
      <c r="G356" s="651"/>
      <c r="H356" s="652">
        <v>1.139240506329114</v>
      </c>
      <c r="I356" s="633">
        <v>3.36</v>
      </c>
      <c r="J356" s="653">
        <v>20</v>
      </c>
      <c r="K356" s="653">
        <f t="shared" si="235"/>
        <v>120.96</v>
      </c>
      <c r="L356" s="633">
        <f t="shared" si="236"/>
        <v>29.139263999999997</v>
      </c>
      <c r="M356" s="634">
        <f t="shared" si="237"/>
        <v>150.1</v>
      </c>
      <c r="N356" s="654"/>
      <c r="O356" s="633"/>
      <c r="P356" s="653"/>
      <c r="Q356" s="653"/>
      <c r="R356" s="633"/>
      <c r="S356" s="634"/>
    </row>
    <row r="357" spans="1:19" x14ac:dyDescent="0.25">
      <c r="A357" s="648" t="s">
        <v>723</v>
      </c>
      <c r="B357" s="675">
        <f>71/176</f>
        <v>0.40340909090909088</v>
      </c>
      <c r="C357" s="650">
        <v>3.75</v>
      </c>
      <c r="D357" s="650">
        <v>30</v>
      </c>
      <c r="E357" s="653">
        <f t="shared" si="238"/>
        <v>79.88</v>
      </c>
      <c r="F357" s="633">
        <f t="shared" ref="F357:F383" si="239">E357*0.2409</f>
        <v>19.243092000000001</v>
      </c>
      <c r="G357" s="634">
        <f t="shared" ref="G357:G383" si="240">ROUND(SUM(E357:F357),2)</f>
        <v>99.12</v>
      </c>
      <c r="H357" s="652">
        <v>1.3670886075949367</v>
      </c>
      <c r="I357" s="633">
        <v>3.75</v>
      </c>
      <c r="J357" s="653">
        <v>20</v>
      </c>
      <c r="K357" s="653">
        <f t="shared" si="235"/>
        <v>162</v>
      </c>
      <c r="L357" s="633">
        <f t="shared" si="236"/>
        <v>39.025800000000004</v>
      </c>
      <c r="M357" s="634">
        <f t="shared" si="237"/>
        <v>201.03</v>
      </c>
      <c r="N357" s="654"/>
      <c r="O357" s="633"/>
      <c r="P357" s="653"/>
      <c r="Q357" s="653"/>
      <c r="R357" s="633"/>
      <c r="S357" s="634"/>
    </row>
    <row r="358" spans="1:19" x14ac:dyDescent="0.25">
      <c r="A358" s="648" t="s">
        <v>723</v>
      </c>
      <c r="B358" s="675">
        <f>24/176</f>
        <v>0.13636363636363635</v>
      </c>
      <c r="C358" s="650">
        <v>3.77</v>
      </c>
      <c r="D358" s="650">
        <v>50</v>
      </c>
      <c r="E358" s="653">
        <f>ROUND(C358*176*B358*0.5,2)</f>
        <v>45.24</v>
      </c>
      <c r="F358" s="633">
        <f t="shared" si="239"/>
        <v>10.898316000000001</v>
      </c>
      <c r="G358" s="634">
        <f t="shared" si="240"/>
        <v>56.14</v>
      </c>
      <c r="H358" s="652">
        <v>1.0632911392405062</v>
      </c>
      <c r="I358" s="633">
        <v>3.75</v>
      </c>
      <c r="J358" s="653">
        <v>20</v>
      </c>
      <c r="K358" s="653">
        <f t="shared" si="235"/>
        <v>126</v>
      </c>
      <c r="L358" s="633">
        <f t="shared" si="236"/>
        <v>30.353400000000001</v>
      </c>
      <c r="M358" s="634">
        <f t="shared" si="237"/>
        <v>156.35</v>
      </c>
      <c r="N358" s="654"/>
      <c r="O358" s="633"/>
      <c r="P358" s="653"/>
      <c r="Q358" s="653"/>
      <c r="R358" s="633"/>
      <c r="S358" s="634"/>
    </row>
    <row r="359" spans="1:19" x14ac:dyDescent="0.25">
      <c r="A359" s="648" t="s">
        <v>723</v>
      </c>
      <c r="B359" s="675">
        <f>112/176</f>
        <v>0.63636363636363635</v>
      </c>
      <c r="C359" s="650">
        <v>3.75</v>
      </c>
      <c r="D359" s="650">
        <v>30</v>
      </c>
      <c r="E359" s="653">
        <f t="shared" si="238"/>
        <v>126</v>
      </c>
      <c r="F359" s="633">
        <f t="shared" si="239"/>
        <v>30.353400000000001</v>
      </c>
      <c r="G359" s="634">
        <f t="shared" si="240"/>
        <v>156.35</v>
      </c>
      <c r="H359" s="652">
        <v>1.1645569620253164</v>
      </c>
      <c r="I359" s="633">
        <v>3.75</v>
      </c>
      <c r="J359" s="653">
        <v>20</v>
      </c>
      <c r="K359" s="653">
        <f t="shared" si="235"/>
        <v>138</v>
      </c>
      <c r="L359" s="633">
        <f t="shared" si="236"/>
        <v>33.244199999999999</v>
      </c>
      <c r="M359" s="634">
        <f t="shared" si="237"/>
        <v>171.24</v>
      </c>
      <c r="N359" s="654"/>
      <c r="O359" s="633"/>
      <c r="P359" s="653"/>
      <c r="Q359" s="653"/>
      <c r="R359" s="633"/>
      <c r="S359" s="634"/>
    </row>
    <row r="360" spans="1:19" x14ac:dyDescent="0.25">
      <c r="A360" s="648" t="s">
        <v>723</v>
      </c>
      <c r="B360" s="675">
        <f>128/176</f>
        <v>0.72727272727272729</v>
      </c>
      <c r="C360" s="650">
        <v>3.75</v>
      </c>
      <c r="D360" s="650">
        <v>30</v>
      </c>
      <c r="E360" s="653">
        <f t="shared" si="238"/>
        <v>144</v>
      </c>
      <c r="F360" s="633">
        <f t="shared" si="239"/>
        <v>34.689599999999999</v>
      </c>
      <c r="G360" s="634">
        <f t="shared" si="240"/>
        <v>178.69</v>
      </c>
      <c r="H360" s="652">
        <v>0.60759493670886078</v>
      </c>
      <c r="I360" s="633">
        <v>3.75</v>
      </c>
      <c r="J360" s="653">
        <v>20</v>
      </c>
      <c r="K360" s="653">
        <f t="shared" si="235"/>
        <v>72</v>
      </c>
      <c r="L360" s="633">
        <f t="shared" si="236"/>
        <v>17.344799999999999</v>
      </c>
      <c r="M360" s="634">
        <f t="shared" si="237"/>
        <v>89.34</v>
      </c>
      <c r="N360" s="654"/>
      <c r="O360" s="633"/>
      <c r="P360" s="653"/>
      <c r="Q360" s="653"/>
      <c r="R360" s="633"/>
      <c r="S360" s="634"/>
    </row>
    <row r="361" spans="1:19" x14ac:dyDescent="0.25">
      <c r="A361" s="648" t="s">
        <v>723</v>
      </c>
      <c r="B361" s="675">
        <f>72/176</f>
        <v>0.40909090909090912</v>
      </c>
      <c r="C361" s="650">
        <v>3.75</v>
      </c>
      <c r="D361" s="650">
        <v>30</v>
      </c>
      <c r="E361" s="653">
        <f t="shared" si="238"/>
        <v>81</v>
      </c>
      <c r="F361" s="633">
        <f t="shared" si="239"/>
        <v>19.512900000000002</v>
      </c>
      <c r="G361" s="634">
        <f t="shared" si="240"/>
        <v>100.51</v>
      </c>
      <c r="H361" s="652">
        <v>1.0632911392405062</v>
      </c>
      <c r="I361" s="633">
        <v>3.75</v>
      </c>
      <c r="J361" s="653">
        <v>20</v>
      </c>
      <c r="K361" s="653">
        <f t="shared" si="235"/>
        <v>126</v>
      </c>
      <c r="L361" s="633">
        <f t="shared" si="236"/>
        <v>30.353400000000001</v>
      </c>
      <c r="M361" s="634">
        <f t="shared" si="237"/>
        <v>156.35</v>
      </c>
      <c r="N361" s="654"/>
      <c r="O361" s="633"/>
      <c r="P361" s="653"/>
      <c r="Q361" s="653"/>
      <c r="R361" s="633"/>
      <c r="S361" s="634"/>
    </row>
    <row r="362" spans="1:19" x14ac:dyDescent="0.25">
      <c r="A362" s="648" t="s">
        <v>723</v>
      </c>
      <c r="B362" s="675">
        <f>96/176</f>
        <v>0.54545454545454541</v>
      </c>
      <c r="C362" s="650">
        <v>3.75</v>
      </c>
      <c r="D362" s="650">
        <v>30</v>
      </c>
      <c r="E362" s="653">
        <f t="shared" si="238"/>
        <v>108</v>
      </c>
      <c r="F362" s="633">
        <f t="shared" si="239"/>
        <v>26.017199999999999</v>
      </c>
      <c r="G362" s="634">
        <f t="shared" si="240"/>
        <v>134.02000000000001</v>
      </c>
      <c r="H362" s="652">
        <v>1.2151898734177216</v>
      </c>
      <c r="I362" s="633">
        <v>3.75</v>
      </c>
      <c r="J362" s="653">
        <v>20</v>
      </c>
      <c r="K362" s="653">
        <f t="shared" si="235"/>
        <v>144</v>
      </c>
      <c r="L362" s="633">
        <f t="shared" si="236"/>
        <v>34.689599999999999</v>
      </c>
      <c r="M362" s="634">
        <f t="shared" si="237"/>
        <v>178.69</v>
      </c>
      <c r="N362" s="654"/>
      <c r="O362" s="633"/>
      <c r="P362" s="653"/>
      <c r="Q362" s="653"/>
      <c r="R362" s="633"/>
      <c r="S362" s="634"/>
    </row>
    <row r="363" spans="1:19" x14ac:dyDescent="0.25">
      <c r="A363" s="648" t="s">
        <v>723</v>
      </c>
      <c r="B363" s="675">
        <f>104/176</f>
        <v>0.59090909090909094</v>
      </c>
      <c r="C363" s="650">
        <v>3.75</v>
      </c>
      <c r="D363" s="650">
        <v>30</v>
      </c>
      <c r="E363" s="653">
        <f t="shared" si="238"/>
        <v>117</v>
      </c>
      <c r="F363" s="633">
        <f t="shared" si="239"/>
        <v>28.185300000000002</v>
      </c>
      <c r="G363" s="634">
        <f t="shared" si="240"/>
        <v>145.19</v>
      </c>
      <c r="H363" s="652">
        <v>0.759493670886076</v>
      </c>
      <c r="I363" s="633">
        <v>3.75</v>
      </c>
      <c r="J363" s="653">
        <v>20</v>
      </c>
      <c r="K363" s="653">
        <f t="shared" si="235"/>
        <v>90</v>
      </c>
      <c r="L363" s="633">
        <f t="shared" si="236"/>
        <v>21.681000000000001</v>
      </c>
      <c r="M363" s="634">
        <f t="shared" si="237"/>
        <v>111.68</v>
      </c>
      <c r="N363" s="654"/>
      <c r="O363" s="633"/>
      <c r="P363" s="653"/>
      <c r="Q363" s="653"/>
      <c r="R363" s="633"/>
      <c r="S363" s="634"/>
    </row>
    <row r="364" spans="1:19" x14ac:dyDescent="0.25">
      <c r="A364" s="648" t="s">
        <v>723</v>
      </c>
      <c r="B364" s="675">
        <f>144/176</f>
        <v>0.81818181818181823</v>
      </c>
      <c r="C364" s="650">
        <v>3.75</v>
      </c>
      <c r="D364" s="650">
        <v>30</v>
      </c>
      <c r="E364" s="653">
        <f t="shared" si="238"/>
        <v>162</v>
      </c>
      <c r="F364" s="633">
        <f t="shared" si="239"/>
        <v>39.025800000000004</v>
      </c>
      <c r="G364" s="634">
        <f t="shared" si="240"/>
        <v>201.03</v>
      </c>
      <c r="H364" s="652">
        <v>1.2151898734177216</v>
      </c>
      <c r="I364" s="633">
        <v>3.75</v>
      </c>
      <c r="J364" s="653">
        <v>20</v>
      </c>
      <c r="K364" s="653">
        <f t="shared" si="235"/>
        <v>144</v>
      </c>
      <c r="L364" s="633">
        <f t="shared" si="236"/>
        <v>34.689599999999999</v>
      </c>
      <c r="M364" s="634">
        <f t="shared" si="237"/>
        <v>178.69</v>
      </c>
      <c r="N364" s="654"/>
      <c r="O364" s="633"/>
      <c r="P364" s="653"/>
      <c r="Q364" s="653"/>
      <c r="R364" s="633"/>
      <c r="S364" s="634"/>
    </row>
    <row r="365" spans="1:19" x14ac:dyDescent="0.25">
      <c r="A365" s="648" t="s">
        <v>723</v>
      </c>
      <c r="B365" s="675">
        <f>24/176</f>
        <v>0.13636363636363635</v>
      </c>
      <c r="C365" s="650">
        <v>3.75</v>
      </c>
      <c r="D365" s="650">
        <v>50</v>
      </c>
      <c r="E365" s="653">
        <f>ROUND(C365*176*B365*0.5,2)</f>
        <v>45</v>
      </c>
      <c r="F365" s="633">
        <f t="shared" si="239"/>
        <v>10.8405</v>
      </c>
      <c r="G365" s="634">
        <f t="shared" si="240"/>
        <v>55.84</v>
      </c>
      <c r="H365" s="652">
        <v>1.0632911392405062</v>
      </c>
      <c r="I365" s="633">
        <v>3.75</v>
      </c>
      <c r="J365" s="653">
        <v>20</v>
      </c>
      <c r="K365" s="653">
        <f t="shared" si="235"/>
        <v>126</v>
      </c>
      <c r="L365" s="633">
        <f t="shared" si="236"/>
        <v>30.353400000000001</v>
      </c>
      <c r="M365" s="634">
        <f t="shared" si="237"/>
        <v>156.35</v>
      </c>
      <c r="N365" s="654"/>
      <c r="O365" s="633"/>
      <c r="P365" s="653"/>
      <c r="Q365" s="653"/>
      <c r="R365" s="633"/>
      <c r="S365" s="634"/>
    </row>
    <row r="366" spans="1:19" x14ac:dyDescent="0.25">
      <c r="A366" s="648" t="s">
        <v>723</v>
      </c>
      <c r="B366" s="675">
        <f>127/176</f>
        <v>0.72159090909090906</v>
      </c>
      <c r="C366" s="650">
        <v>3.75</v>
      </c>
      <c r="D366" s="650">
        <v>30</v>
      </c>
      <c r="E366" s="653">
        <f t="shared" si="238"/>
        <v>142.88</v>
      </c>
      <c r="F366" s="633">
        <f t="shared" si="239"/>
        <v>34.419792000000001</v>
      </c>
      <c r="G366" s="634">
        <f t="shared" si="240"/>
        <v>177.3</v>
      </c>
      <c r="H366" s="652">
        <v>0.91139240506329111</v>
      </c>
      <c r="I366" s="633">
        <v>3.75</v>
      </c>
      <c r="J366" s="653">
        <v>20</v>
      </c>
      <c r="K366" s="653">
        <f t="shared" si="235"/>
        <v>108</v>
      </c>
      <c r="L366" s="633">
        <f t="shared" si="236"/>
        <v>26.017199999999999</v>
      </c>
      <c r="M366" s="634">
        <f t="shared" si="237"/>
        <v>134.02000000000001</v>
      </c>
      <c r="N366" s="654"/>
      <c r="O366" s="633"/>
      <c r="P366" s="653"/>
      <c r="Q366" s="653"/>
      <c r="R366" s="633"/>
      <c r="S366" s="634"/>
    </row>
    <row r="367" spans="1:19" x14ac:dyDescent="0.25">
      <c r="A367" s="648" t="s">
        <v>723</v>
      </c>
      <c r="B367" s="675">
        <f>104/176</f>
        <v>0.59090909090909094</v>
      </c>
      <c r="C367" s="650">
        <v>3.75</v>
      </c>
      <c r="D367" s="650">
        <v>30</v>
      </c>
      <c r="E367" s="653">
        <f t="shared" si="238"/>
        <v>117</v>
      </c>
      <c r="F367" s="633">
        <f t="shared" si="239"/>
        <v>28.185300000000002</v>
      </c>
      <c r="G367" s="634">
        <f t="shared" si="240"/>
        <v>145.19</v>
      </c>
      <c r="H367" s="652">
        <v>1.2151898734177216</v>
      </c>
      <c r="I367" s="633">
        <v>3.75</v>
      </c>
      <c r="J367" s="653">
        <v>20</v>
      </c>
      <c r="K367" s="653">
        <f t="shared" si="235"/>
        <v>144</v>
      </c>
      <c r="L367" s="633">
        <f t="shared" si="236"/>
        <v>34.689599999999999</v>
      </c>
      <c r="M367" s="634">
        <f t="shared" si="237"/>
        <v>178.69</v>
      </c>
      <c r="N367" s="654"/>
      <c r="O367" s="633"/>
      <c r="P367" s="653"/>
      <c r="Q367" s="653"/>
      <c r="R367" s="633"/>
      <c r="S367" s="634"/>
    </row>
    <row r="368" spans="1:19" x14ac:dyDescent="0.25">
      <c r="A368" s="648" t="s">
        <v>723</v>
      </c>
      <c r="B368" s="675">
        <f>8/176</f>
        <v>4.5454545454545456E-2</v>
      </c>
      <c r="C368" s="650">
        <v>3.75</v>
      </c>
      <c r="D368" s="650">
        <v>30</v>
      </c>
      <c r="E368" s="653">
        <f t="shared" si="238"/>
        <v>9</v>
      </c>
      <c r="F368" s="633">
        <f t="shared" si="239"/>
        <v>2.1680999999999999</v>
      </c>
      <c r="G368" s="634">
        <f t="shared" si="240"/>
        <v>11.17</v>
      </c>
      <c r="H368" s="652">
        <v>1.3164556962025316</v>
      </c>
      <c r="I368" s="633">
        <v>3.75</v>
      </c>
      <c r="J368" s="653">
        <v>20</v>
      </c>
      <c r="K368" s="653">
        <f t="shared" si="235"/>
        <v>156</v>
      </c>
      <c r="L368" s="633">
        <f t="shared" si="236"/>
        <v>37.580399999999997</v>
      </c>
      <c r="M368" s="634">
        <f t="shared" si="237"/>
        <v>193.58</v>
      </c>
      <c r="N368" s="654"/>
      <c r="O368" s="633"/>
      <c r="P368" s="653"/>
      <c r="Q368" s="653"/>
      <c r="R368" s="633"/>
      <c r="S368" s="634"/>
    </row>
    <row r="369" spans="1:19" x14ac:dyDescent="0.25">
      <c r="A369" s="648" t="s">
        <v>723</v>
      </c>
      <c r="B369" s="675">
        <f>159/176</f>
        <v>0.90340909090909094</v>
      </c>
      <c r="C369" s="650">
        <v>3.75</v>
      </c>
      <c r="D369" s="650">
        <v>30</v>
      </c>
      <c r="E369" s="653">
        <f t="shared" si="238"/>
        <v>178.88</v>
      </c>
      <c r="F369" s="633">
        <f t="shared" si="239"/>
        <v>43.092191999999997</v>
      </c>
      <c r="G369" s="634">
        <f t="shared" si="240"/>
        <v>221.97</v>
      </c>
      <c r="H369" s="652">
        <v>0.96202531645569622</v>
      </c>
      <c r="I369" s="633">
        <v>3.75</v>
      </c>
      <c r="J369" s="653">
        <v>20</v>
      </c>
      <c r="K369" s="653">
        <f t="shared" si="235"/>
        <v>114</v>
      </c>
      <c r="L369" s="633">
        <f t="shared" si="236"/>
        <v>27.462600000000002</v>
      </c>
      <c r="M369" s="634">
        <f t="shared" si="237"/>
        <v>141.46</v>
      </c>
      <c r="N369" s="654"/>
      <c r="O369" s="633"/>
      <c r="P369" s="653"/>
      <c r="Q369" s="653"/>
      <c r="R369" s="633"/>
      <c r="S369" s="634"/>
    </row>
    <row r="370" spans="1:19" x14ac:dyDescent="0.25">
      <c r="A370" s="648" t="s">
        <v>723</v>
      </c>
      <c r="B370" s="675">
        <f>120/176</f>
        <v>0.68181818181818177</v>
      </c>
      <c r="C370" s="650">
        <v>3.75</v>
      </c>
      <c r="D370" s="650">
        <v>30</v>
      </c>
      <c r="E370" s="653">
        <f t="shared" si="238"/>
        <v>135</v>
      </c>
      <c r="F370" s="633">
        <f t="shared" si="239"/>
        <v>32.521500000000003</v>
      </c>
      <c r="G370" s="634">
        <f t="shared" si="240"/>
        <v>167.52</v>
      </c>
      <c r="H370" s="652">
        <v>0.45569620253164556</v>
      </c>
      <c r="I370" s="633">
        <v>3.75</v>
      </c>
      <c r="J370" s="653">
        <v>20</v>
      </c>
      <c r="K370" s="653">
        <f t="shared" si="235"/>
        <v>54</v>
      </c>
      <c r="L370" s="633">
        <f t="shared" si="236"/>
        <v>13.008599999999999</v>
      </c>
      <c r="M370" s="634">
        <f t="shared" si="237"/>
        <v>67.010000000000005</v>
      </c>
      <c r="N370" s="654"/>
      <c r="O370" s="633"/>
      <c r="P370" s="653"/>
      <c r="Q370" s="653"/>
      <c r="R370" s="633"/>
      <c r="S370" s="634"/>
    </row>
    <row r="371" spans="1:19" x14ac:dyDescent="0.25">
      <c r="A371" s="648" t="s">
        <v>723</v>
      </c>
      <c r="B371" s="675">
        <f>24/176</f>
        <v>0.13636363636363635</v>
      </c>
      <c r="C371" s="650">
        <v>3.75</v>
      </c>
      <c r="D371" s="650">
        <v>50</v>
      </c>
      <c r="E371" s="653">
        <f>ROUND(C371*176*B371*0.5,2)</f>
        <v>45</v>
      </c>
      <c r="F371" s="633">
        <f t="shared" si="239"/>
        <v>10.8405</v>
      </c>
      <c r="G371" s="634">
        <f t="shared" si="240"/>
        <v>55.84</v>
      </c>
      <c r="H371" s="652">
        <v>0.60759493670886078</v>
      </c>
      <c r="I371" s="633">
        <v>3.75</v>
      </c>
      <c r="J371" s="653">
        <v>20</v>
      </c>
      <c r="K371" s="653">
        <f t="shared" si="235"/>
        <v>72</v>
      </c>
      <c r="L371" s="633">
        <f t="shared" si="236"/>
        <v>17.344799999999999</v>
      </c>
      <c r="M371" s="634">
        <f t="shared" si="237"/>
        <v>89.34</v>
      </c>
      <c r="N371" s="654"/>
      <c r="O371" s="633"/>
      <c r="P371" s="653"/>
      <c r="Q371" s="653"/>
      <c r="R371" s="633"/>
      <c r="S371" s="634"/>
    </row>
    <row r="372" spans="1:19" x14ac:dyDescent="0.25">
      <c r="A372" s="648" t="s">
        <v>723</v>
      </c>
      <c r="B372" s="675">
        <f>144/176</f>
        <v>0.81818181818181823</v>
      </c>
      <c r="C372" s="650">
        <v>3.75</v>
      </c>
      <c r="D372" s="650">
        <v>30</v>
      </c>
      <c r="E372" s="653">
        <f t="shared" si="238"/>
        <v>162</v>
      </c>
      <c r="F372" s="633">
        <f t="shared" si="239"/>
        <v>39.025800000000004</v>
      </c>
      <c r="G372" s="634">
        <f t="shared" si="240"/>
        <v>201.03</v>
      </c>
      <c r="H372" s="652">
        <v>1.4177215189873418</v>
      </c>
      <c r="I372" s="633">
        <v>3.75</v>
      </c>
      <c r="J372" s="653">
        <v>20</v>
      </c>
      <c r="K372" s="653">
        <f t="shared" si="235"/>
        <v>168</v>
      </c>
      <c r="L372" s="633">
        <f t="shared" si="236"/>
        <v>40.471200000000003</v>
      </c>
      <c r="M372" s="634">
        <f t="shared" si="237"/>
        <v>208.47</v>
      </c>
      <c r="N372" s="654"/>
      <c r="O372" s="633"/>
      <c r="P372" s="653"/>
      <c r="Q372" s="653"/>
      <c r="R372" s="633"/>
      <c r="S372" s="634"/>
    </row>
    <row r="373" spans="1:19" x14ac:dyDescent="0.25">
      <c r="A373" s="648" t="s">
        <v>723</v>
      </c>
      <c r="B373" s="675">
        <f>24/176</f>
        <v>0.13636363636363635</v>
      </c>
      <c r="C373" s="650">
        <v>3.75</v>
      </c>
      <c r="D373" s="650">
        <v>50</v>
      </c>
      <c r="E373" s="653">
        <f>ROUND(C373*176*B373*0.5,2)</f>
        <v>45</v>
      </c>
      <c r="F373" s="633">
        <f t="shared" si="239"/>
        <v>10.8405</v>
      </c>
      <c r="G373" s="634">
        <f t="shared" si="240"/>
        <v>55.84</v>
      </c>
      <c r="H373" s="652">
        <v>0.45569620253164556</v>
      </c>
      <c r="I373" s="633">
        <v>3.75</v>
      </c>
      <c r="J373" s="653">
        <v>20</v>
      </c>
      <c r="K373" s="653">
        <f t="shared" si="235"/>
        <v>54</v>
      </c>
      <c r="L373" s="633">
        <f t="shared" si="236"/>
        <v>13.008599999999999</v>
      </c>
      <c r="M373" s="634">
        <f t="shared" si="237"/>
        <v>67.010000000000005</v>
      </c>
      <c r="N373" s="654"/>
      <c r="O373" s="633"/>
      <c r="P373" s="653"/>
      <c r="Q373" s="653"/>
      <c r="R373" s="633"/>
      <c r="S373" s="634"/>
    </row>
    <row r="374" spans="1:19" x14ac:dyDescent="0.25">
      <c r="A374" s="648" t="s">
        <v>723</v>
      </c>
      <c r="B374" s="675">
        <f>120/176</f>
        <v>0.68181818181818177</v>
      </c>
      <c r="C374" s="650">
        <v>3.75</v>
      </c>
      <c r="D374" s="650">
        <v>30</v>
      </c>
      <c r="E374" s="653">
        <f t="shared" si="238"/>
        <v>135</v>
      </c>
      <c r="F374" s="633">
        <f t="shared" si="239"/>
        <v>32.521500000000003</v>
      </c>
      <c r="G374" s="634">
        <f t="shared" si="240"/>
        <v>167.52</v>
      </c>
      <c r="H374" s="652">
        <v>0.60759493670886078</v>
      </c>
      <c r="I374" s="633">
        <v>3.75</v>
      </c>
      <c r="J374" s="653">
        <v>20</v>
      </c>
      <c r="K374" s="653">
        <f t="shared" si="235"/>
        <v>72</v>
      </c>
      <c r="L374" s="633">
        <f t="shared" si="236"/>
        <v>17.344799999999999</v>
      </c>
      <c r="M374" s="634">
        <f t="shared" si="237"/>
        <v>89.34</v>
      </c>
      <c r="N374" s="654"/>
      <c r="O374" s="633"/>
      <c r="P374" s="653"/>
      <c r="Q374" s="653"/>
      <c r="R374" s="633"/>
      <c r="S374" s="634"/>
    </row>
    <row r="375" spans="1:19" x14ac:dyDescent="0.25">
      <c r="A375" s="648" t="s">
        <v>723</v>
      </c>
      <c r="B375" s="675">
        <f>112/176</f>
        <v>0.63636363636363635</v>
      </c>
      <c r="C375" s="650">
        <v>3.75</v>
      </c>
      <c r="D375" s="650">
        <v>30</v>
      </c>
      <c r="E375" s="653">
        <f t="shared" si="238"/>
        <v>126</v>
      </c>
      <c r="F375" s="633">
        <f t="shared" si="239"/>
        <v>30.353400000000001</v>
      </c>
      <c r="G375" s="634">
        <f t="shared" si="240"/>
        <v>156.35</v>
      </c>
      <c r="H375" s="652">
        <v>0.759493670886076</v>
      </c>
      <c r="I375" s="633">
        <v>3.75</v>
      </c>
      <c r="J375" s="653">
        <v>20</v>
      </c>
      <c r="K375" s="653">
        <f t="shared" si="235"/>
        <v>90</v>
      </c>
      <c r="L375" s="633">
        <f t="shared" si="236"/>
        <v>21.681000000000001</v>
      </c>
      <c r="M375" s="634">
        <f t="shared" si="237"/>
        <v>111.68</v>
      </c>
      <c r="N375" s="654"/>
      <c r="O375" s="633"/>
      <c r="P375" s="653"/>
      <c r="Q375" s="653"/>
      <c r="R375" s="633"/>
      <c r="S375" s="634"/>
    </row>
    <row r="376" spans="1:19" x14ac:dyDescent="0.25">
      <c r="A376" s="648" t="s">
        <v>723</v>
      </c>
      <c r="B376" s="675">
        <f>72/176</f>
        <v>0.40909090909090912</v>
      </c>
      <c r="C376" s="650">
        <v>3.75</v>
      </c>
      <c r="D376" s="650">
        <v>30</v>
      </c>
      <c r="E376" s="653">
        <f t="shared" si="238"/>
        <v>81</v>
      </c>
      <c r="F376" s="633">
        <f t="shared" si="239"/>
        <v>19.512900000000002</v>
      </c>
      <c r="G376" s="634">
        <f t="shared" si="240"/>
        <v>100.51</v>
      </c>
      <c r="H376" s="652">
        <v>0.91139240506329111</v>
      </c>
      <c r="I376" s="633">
        <v>3.75</v>
      </c>
      <c r="J376" s="653">
        <v>20</v>
      </c>
      <c r="K376" s="653">
        <f t="shared" si="235"/>
        <v>108</v>
      </c>
      <c r="L376" s="633">
        <f t="shared" si="236"/>
        <v>26.017199999999999</v>
      </c>
      <c r="M376" s="634">
        <f t="shared" si="237"/>
        <v>134.02000000000001</v>
      </c>
      <c r="N376" s="654"/>
      <c r="O376" s="633"/>
      <c r="P376" s="653"/>
      <c r="Q376" s="653"/>
      <c r="R376" s="633"/>
      <c r="S376" s="634"/>
    </row>
    <row r="377" spans="1:19" x14ac:dyDescent="0.25">
      <c r="A377" s="648" t="s">
        <v>723</v>
      </c>
      <c r="B377" s="675">
        <f>16/176</f>
        <v>9.0909090909090912E-2</v>
      </c>
      <c r="C377" s="650">
        <v>3.75</v>
      </c>
      <c r="D377" s="650">
        <v>30</v>
      </c>
      <c r="E377" s="653">
        <f t="shared" si="238"/>
        <v>18</v>
      </c>
      <c r="F377" s="633">
        <f t="shared" si="239"/>
        <v>4.3361999999999998</v>
      </c>
      <c r="G377" s="634">
        <f t="shared" si="240"/>
        <v>22.34</v>
      </c>
      <c r="H377" s="652">
        <v>1.3670886075949367</v>
      </c>
      <c r="I377" s="633">
        <v>3.75</v>
      </c>
      <c r="J377" s="653">
        <v>20</v>
      </c>
      <c r="K377" s="653">
        <f t="shared" si="235"/>
        <v>162</v>
      </c>
      <c r="L377" s="633">
        <f t="shared" si="236"/>
        <v>39.025800000000004</v>
      </c>
      <c r="M377" s="634">
        <f t="shared" si="237"/>
        <v>201.03</v>
      </c>
      <c r="N377" s="654"/>
      <c r="O377" s="633"/>
      <c r="P377" s="653"/>
      <c r="Q377" s="653"/>
      <c r="R377" s="633"/>
      <c r="S377" s="634"/>
    </row>
    <row r="378" spans="1:19" x14ac:dyDescent="0.25">
      <c r="A378" s="648" t="s">
        <v>723</v>
      </c>
      <c r="B378" s="675">
        <f>119/176</f>
        <v>0.67613636363636365</v>
      </c>
      <c r="C378" s="650">
        <v>3.75</v>
      </c>
      <c r="D378" s="650">
        <v>30</v>
      </c>
      <c r="E378" s="653">
        <f t="shared" si="238"/>
        <v>133.88</v>
      </c>
      <c r="F378" s="633">
        <f t="shared" si="239"/>
        <v>32.251691999999998</v>
      </c>
      <c r="G378" s="634">
        <f t="shared" si="240"/>
        <v>166.13</v>
      </c>
      <c r="H378" s="652">
        <v>1.0126582278481013</v>
      </c>
      <c r="I378" s="633">
        <v>3.75</v>
      </c>
      <c r="J378" s="653">
        <v>20</v>
      </c>
      <c r="K378" s="653">
        <f t="shared" si="235"/>
        <v>120</v>
      </c>
      <c r="L378" s="633">
        <f t="shared" si="236"/>
        <v>28.908000000000001</v>
      </c>
      <c r="M378" s="634">
        <f t="shared" si="237"/>
        <v>148.91</v>
      </c>
      <c r="N378" s="654"/>
      <c r="O378" s="633"/>
      <c r="P378" s="653"/>
      <c r="Q378" s="653"/>
      <c r="R378" s="633"/>
      <c r="S378" s="634"/>
    </row>
    <row r="379" spans="1:19" x14ac:dyDescent="0.25">
      <c r="A379" s="648" t="s">
        <v>723</v>
      </c>
      <c r="B379" s="675">
        <f>136/176</f>
        <v>0.77272727272727271</v>
      </c>
      <c r="C379" s="650">
        <v>3.75</v>
      </c>
      <c r="D379" s="650">
        <v>30</v>
      </c>
      <c r="E379" s="653">
        <f t="shared" si="238"/>
        <v>153</v>
      </c>
      <c r="F379" s="633">
        <f t="shared" si="239"/>
        <v>36.857700000000001</v>
      </c>
      <c r="G379" s="634">
        <f t="shared" si="240"/>
        <v>189.86</v>
      </c>
      <c r="H379" s="652">
        <v>1.0632911392405062</v>
      </c>
      <c r="I379" s="633">
        <v>3.75</v>
      </c>
      <c r="J379" s="653">
        <v>20</v>
      </c>
      <c r="K379" s="653">
        <f t="shared" si="235"/>
        <v>126</v>
      </c>
      <c r="L379" s="633">
        <f t="shared" si="236"/>
        <v>30.353400000000001</v>
      </c>
      <c r="M379" s="634">
        <f t="shared" si="237"/>
        <v>156.35</v>
      </c>
      <c r="N379" s="654"/>
      <c r="O379" s="633"/>
      <c r="P379" s="653"/>
      <c r="Q379" s="653"/>
      <c r="R379" s="633"/>
      <c r="S379" s="634"/>
    </row>
    <row r="380" spans="1:19" x14ac:dyDescent="0.25">
      <c r="A380" s="648" t="s">
        <v>723</v>
      </c>
      <c r="B380" s="675">
        <f>120/176</f>
        <v>0.68181818181818177</v>
      </c>
      <c r="C380" s="650">
        <v>3.75</v>
      </c>
      <c r="D380" s="650">
        <v>30</v>
      </c>
      <c r="E380" s="653">
        <f t="shared" si="238"/>
        <v>135</v>
      </c>
      <c r="F380" s="633">
        <f t="shared" si="239"/>
        <v>32.521500000000003</v>
      </c>
      <c r="G380" s="634">
        <f t="shared" si="240"/>
        <v>167.52</v>
      </c>
      <c r="H380" s="654"/>
      <c r="I380" s="633"/>
      <c r="J380" s="653"/>
      <c r="K380" s="653"/>
      <c r="L380" s="633"/>
      <c r="M380" s="634"/>
      <c r="N380" s="654"/>
      <c r="O380" s="633"/>
      <c r="P380" s="653"/>
      <c r="Q380" s="653"/>
      <c r="R380" s="633"/>
      <c r="S380" s="634"/>
    </row>
    <row r="381" spans="1:19" x14ac:dyDescent="0.25">
      <c r="A381" s="648" t="s">
        <v>723</v>
      </c>
      <c r="B381" s="675">
        <f>23/176</f>
        <v>0.13068181818181818</v>
      </c>
      <c r="C381" s="650">
        <v>3.75</v>
      </c>
      <c r="D381" s="650">
        <v>30</v>
      </c>
      <c r="E381" s="653">
        <f t="shared" si="238"/>
        <v>25.88</v>
      </c>
      <c r="F381" s="633">
        <f t="shared" si="239"/>
        <v>6.2344919999999995</v>
      </c>
      <c r="G381" s="634">
        <f t="shared" si="240"/>
        <v>32.11</v>
      </c>
      <c r="H381" s="654"/>
      <c r="I381" s="633"/>
      <c r="J381" s="653"/>
      <c r="K381" s="653"/>
      <c r="L381" s="633"/>
      <c r="M381" s="634"/>
      <c r="N381" s="654"/>
      <c r="O381" s="633"/>
      <c r="P381" s="653"/>
      <c r="Q381" s="653"/>
      <c r="R381" s="633"/>
      <c r="S381" s="634"/>
    </row>
    <row r="382" spans="1:19" x14ac:dyDescent="0.25">
      <c r="A382" s="648" t="s">
        <v>723</v>
      </c>
      <c r="B382" s="675">
        <f>152/176</f>
        <v>0.86363636363636365</v>
      </c>
      <c r="C382" s="650">
        <v>3.75</v>
      </c>
      <c r="D382" s="650">
        <v>30</v>
      </c>
      <c r="E382" s="653">
        <f t="shared" si="238"/>
        <v>171</v>
      </c>
      <c r="F382" s="633">
        <f t="shared" si="239"/>
        <v>41.193899999999999</v>
      </c>
      <c r="G382" s="634">
        <f t="shared" si="240"/>
        <v>212.19</v>
      </c>
      <c r="H382" s="654"/>
      <c r="I382" s="633"/>
      <c r="J382" s="653"/>
      <c r="K382" s="653"/>
      <c r="L382" s="633"/>
      <c r="M382" s="634"/>
      <c r="N382" s="654"/>
      <c r="O382" s="633"/>
      <c r="P382" s="653"/>
      <c r="Q382" s="653"/>
      <c r="R382" s="633"/>
      <c r="S382" s="634"/>
    </row>
    <row r="383" spans="1:19" ht="15.75" thickBot="1" x14ac:dyDescent="0.3">
      <c r="A383" s="666" t="s">
        <v>725</v>
      </c>
      <c r="B383" s="630">
        <v>0.59048</v>
      </c>
      <c r="C383" s="631">
        <v>900</v>
      </c>
      <c r="D383" s="631">
        <v>30</v>
      </c>
      <c r="E383" s="633">
        <f>ROUND(B383*C383*0.3,2)</f>
        <v>159.43</v>
      </c>
      <c r="F383" s="633">
        <f t="shared" si="239"/>
        <v>38.406687000000005</v>
      </c>
      <c r="G383" s="634">
        <f t="shared" si="240"/>
        <v>197.84</v>
      </c>
      <c r="H383" s="658">
        <f>134/158</f>
        <v>0.84810126582278478</v>
      </c>
      <c r="I383" s="632">
        <v>900</v>
      </c>
      <c r="J383" s="636">
        <v>20</v>
      </c>
      <c r="K383" s="636">
        <f>ROUND(H383*I383*0.2,2)</f>
        <v>152.66</v>
      </c>
      <c r="L383" s="632">
        <f t="shared" ref="L383" si="241">K383*0.2409</f>
        <v>36.775793999999998</v>
      </c>
      <c r="M383" s="637">
        <f t="shared" ref="M383" si="242">ROUND(SUM(K383:L383),2)</f>
        <v>189.44</v>
      </c>
      <c r="N383" s="635"/>
      <c r="O383" s="632"/>
      <c r="P383" s="636"/>
      <c r="Q383" s="636"/>
      <c r="R383" s="632"/>
      <c r="S383" s="637"/>
    </row>
    <row r="384" spans="1:19" ht="15.75" thickBot="1" x14ac:dyDescent="0.3">
      <c r="A384" s="682" t="s">
        <v>726</v>
      </c>
      <c r="B384" s="661">
        <f>B385</f>
        <v>0</v>
      </c>
      <c r="C384" s="659"/>
      <c r="D384" s="659"/>
      <c r="E384" s="659">
        <f>E385</f>
        <v>0</v>
      </c>
      <c r="F384" s="659">
        <f t="shared" ref="F384:G385" si="243">F385</f>
        <v>0</v>
      </c>
      <c r="G384" s="659">
        <f t="shared" si="243"/>
        <v>0</v>
      </c>
      <c r="H384" s="661">
        <f>H385</f>
        <v>5.0632911392405063E-2</v>
      </c>
      <c r="I384" s="659"/>
      <c r="J384" s="659"/>
      <c r="K384" s="659">
        <f>K385</f>
        <v>12.64</v>
      </c>
      <c r="L384" s="659">
        <f t="shared" ref="L384:M385" si="244">L385</f>
        <v>3.0449760000000001</v>
      </c>
      <c r="M384" s="659">
        <f t="shared" si="244"/>
        <v>15.68</v>
      </c>
      <c r="N384" s="661"/>
      <c r="O384" s="659"/>
      <c r="P384" s="659"/>
      <c r="Q384" s="659"/>
      <c r="R384" s="659"/>
      <c r="S384" s="662"/>
    </row>
    <row r="385" spans="1:19" ht="38.25" x14ac:dyDescent="0.25">
      <c r="A385" s="663" t="s">
        <v>12</v>
      </c>
      <c r="B385" s="625">
        <f>B386</f>
        <v>0</v>
      </c>
      <c r="C385" s="626"/>
      <c r="D385" s="626"/>
      <c r="E385" s="626">
        <f>E386</f>
        <v>0</v>
      </c>
      <c r="F385" s="626">
        <f t="shared" si="243"/>
        <v>0</v>
      </c>
      <c r="G385" s="626">
        <f t="shared" si="243"/>
        <v>0</v>
      </c>
      <c r="H385" s="625">
        <f>H386</f>
        <v>5.0632911392405063E-2</v>
      </c>
      <c r="I385" s="626"/>
      <c r="J385" s="626"/>
      <c r="K385" s="626">
        <f>K386</f>
        <v>12.64</v>
      </c>
      <c r="L385" s="626">
        <f t="shared" si="244"/>
        <v>3.0449760000000001</v>
      </c>
      <c r="M385" s="626">
        <f t="shared" si="244"/>
        <v>15.68</v>
      </c>
      <c r="N385" s="625"/>
      <c r="O385" s="626"/>
      <c r="P385" s="626"/>
      <c r="Q385" s="626"/>
      <c r="R385" s="626"/>
      <c r="S385" s="627"/>
    </row>
    <row r="386" spans="1:19" ht="15.75" thickBot="1" x14ac:dyDescent="0.3">
      <c r="A386" s="666" t="s">
        <v>727</v>
      </c>
      <c r="B386" s="656"/>
      <c r="C386" s="631"/>
      <c r="D386" s="631"/>
      <c r="E386" s="631"/>
      <c r="F386" s="631"/>
      <c r="G386" s="657"/>
      <c r="H386" s="658">
        <f>8/158</f>
        <v>5.0632911392405063E-2</v>
      </c>
      <c r="I386" s="632">
        <v>1248</v>
      </c>
      <c r="J386" s="636">
        <v>20</v>
      </c>
      <c r="K386" s="636">
        <f>ROUND(H386*I386*0.2,2)</f>
        <v>12.64</v>
      </c>
      <c r="L386" s="632">
        <f t="shared" ref="L386" si="245">K386*0.2409</f>
        <v>3.0449760000000001</v>
      </c>
      <c r="M386" s="637">
        <f t="shared" ref="M386" si="246">ROUND(SUM(K386:L386),2)</f>
        <v>15.68</v>
      </c>
      <c r="N386" s="635"/>
      <c r="O386" s="632"/>
      <c r="P386" s="636"/>
      <c r="Q386" s="636"/>
      <c r="R386" s="632"/>
      <c r="S386" s="637"/>
    </row>
    <row r="387" spans="1:19" ht="15.75" thickBot="1" x14ac:dyDescent="0.3">
      <c r="A387" s="682" t="s">
        <v>728</v>
      </c>
      <c r="B387" s="661">
        <f>B388</f>
        <v>5.579545454545455</v>
      </c>
      <c r="C387" s="659"/>
      <c r="D387" s="659"/>
      <c r="E387" s="659">
        <f>E388</f>
        <v>2189.38</v>
      </c>
      <c r="F387" s="659">
        <f t="shared" ref="F387:G387" si="247">F388</f>
        <v>527.42164199999991</v>
      </c>
      <c r="G387" s="659">
        <f t="shared" si="247"/>
        <v>2716.79</v>
      </c>
      <c r="H387" s="661">
        <f>H388</f>
        <v>24.037974683544306</v>
      </c>
      <c r="I387" s="659"/>
      <c r="J387" s="659"/>
      <c r="K387" s="659">
        <f>K388</f>
        <v>5499.4</v>
      </c>
      <c r="L387" s="659">
        <f t="shared" ref="L387:M387" si="248">L388</f>
        <v>1324.8054599999998</v>
      </c>
      <c r="M387" s="659">
        <f t="shared" si="248"/>
        <v>6824.2400000000007</v>
      </c>
      <c r="N387" s="661"/>
      <c r="O387" s="659"/>
      <c r="P387" s="659"/>
      <c r="Q387" s="659"/>
      <c r="R387" s="659"/>
      <c r="S387" s="662"/>
    </row>
    <row r="388" spans="1:19" ht="25.5" x14ac:dyDescent="0.25">
      <c r="A388" s="663" t="s">
        <v>676</v>
      </c>
      <c r="B388" s="625">
        <f>SUM(B389:B434)</f>
        <v>5.579545454545455</v>
      </c>
      <c r="C388" s="626"/>
      <c r="D388" s="626"/>
      <c r="E388" s="626">
        <f>SUM(E389:E434)</f>
        <v>2189.38</v>
      </c>
      <c r="F388" s="626">
        <f t="shared" ref="F388:G388" si="249">SUM(F389:F434)</f>
        <v>527.42164199999991</v>
      </c>
      <c r="G388" s="626">
        <f t="shared" si="249"/>
        <v>2716.79</v>
      </c>
      <c r="H388" s="625">
        <f>SUM(H389:H434)</f>
        <v>24.037974683544306</v>
      </c>
      <c r="I388" s="626"/>
      <c r="J388" s="626"/>
      <c r="K388" s="626">
        <f>SUM(K389:K434)</f>
        <v>5499.4</v>
      </c>
      <c r="L388" s="626">
        <f t="shared" ref="L388:M388" si="250">SUM(L389:L434)</f>
        <v>1324.8054599999998</v>
      </c>
      <c r="M388" s="626">
        <f t="shared" si="250"/>
        <v>6824.2400000000007</v>
      </c>
      <c r="N388" s="625"/>
      <c r="O388" s="626"/>
      <c r="P388" s="626"/>
      <c r="Q388" s="626"/>
      <c r="R388" s="626"/>
      <c r="S388" s="627"/>
    </row>
    <row r="389" spans="1:19" x14ac:dyDescent="0.25">
      <c r="A389" s="648" t="s">
        <v>22</v>
      </c>
      <c r="B389" s="675">
        <f>16/176</f>
        <v>9.0909090909090912E-2</v>
      </c>
      <c r="C389" s="650">
        <v>7.52</v>
      </c>
      <c r="D389" s="650">
        <v>50</v>
      </c>
      <c r="E389" s="653">
        <f>ROUND(C389*176*B389*0.5,2)</f>
        <v>60.16</v>
      </c>
      <c r="F389" s="633">
        <f t="shared" ref="F389:F412" si="251">E389*0.2409</f>
        <v>14.492543999999999</v>
      </c>
      <c r="G389" s="634">
        <f t="shared" ref="G389" si="252">ROUND(SUM(E389:F389),2)</f>
        <v>74.650000000000006</v>
      </c>
      <c r="H389" s="652">
        <v>0.60126582278481011</v>
      </c>
      <c r="I389" s="633">
        <v>7.52</v>
      </c>
      <c r="J389" s="653">
        <v>20</v>
      </c>
      <c r="K389" s="653">
        <f t="shared" ref="K389:K434" si="253">ROUND(I389*158*H389*0.2,2)</f>
        <v>142.88</v>
      </c>
      <c r="L389" s="633">
        <f t="shared" ref="L389:L434" si="254">K389*0.2409</f>
        <v>34.419792000000001</v>
      </c>
      <c r="M389" s="634">
        <f t="shared" ref="M389:M434" si="255">ROUND(SUM(K389:L389),2)</f>
        <v>177.3</v>
      </c>
      <c r="N389" s="654"/>
      <c r="O389" s="633"/>
      <c r="P389" s="653"/>
      <c r="Q389" s="653"/>
      <c r="R389" s="633"/>
      <c r="S389" s="634"/>
    </row>
    <row r="390" spans="1:19" x14ac:dyDescent="0.25">
      <c r="A390" s="648" t="s">
        <v>22</v>
      </c>
      <c r="B390" s="675">
        <f>28/176</f>
        <v>0.15909090909090909</v>
      </c>
      <c r="C390" s="650">
        <v>6.83</v>
      </c>
      <c r="D390" s="650">
        <v>30</v>
      </c>
      <c r="E390" s="653">
        <f t="shared" ref="E390:E412" si="256">ROUND(C390*176*B390*0.3,2)</f>
        <v>57.37</v>
      </c>
      <c r="F390" s="633">
        <f t="shared" si="251"/>
        <v>13.820433</v>
      </c>
      <c r="G390" s="634">
        <f t="shared" ref="G390:G412" si="257">ROUND(SUM(E390:F390),2)</f>
        <v>71.19</v>
      </c>
      <c r="H390" s="652">
        <v>0.96202531645569622</v>
      </c>
      <c r="I390" s="633">
        <v>6.83</v>
      </c>
      <c r="J390" s="653">
        <v>20</v>
      </c>
      <c r="K390" s="653">
        <f t="shared" si="253"/>
        <v>207.63</v>
      </c>
      <c r="L390" s="633">
        <f t="shared" si="254"/>
        <v>50.018067000000002</v>
      </c>
      <c r="M390" s="634">
        <f t="shared" si="255"/>
        <v>257.64999999999998</v>
      </c>
      <c r="N390" s="654"/>
      <c r="O390" s="633"/>
      <c r="P390" s="653"/>
      <c r="Q390" s="653"/>
      <c r="R390" s="633"/>
      <c r="S390" s="634"/>
    </row>
    <row r="391" spans="1:19" x14ac:dyDescent="0.25">
      <c r="A391" s="648" t="s">
        <v>22</v>
      </c>
      <c r="B391" s="675">
        <f>12/176</f>
        <v>6.8181818181818177E-2</v>
      </c>
      <c r="C391" s="650">
        <v>7.52</v>
      </c>
      <c r="D391" s="650">
        <v>30</v>
      </c>
      <c r="E391" s="653">
        <f t="shared" si="256"/>
        <v>27.07</v>
      </c>
      <c r="F391" s="633">
        <f t="shared" si="251"/>
        <v>6.5211630000000005</v>
      </c>
      <c r="G391" s="634">
        <f t="shared" si="257"/>
        <v>33.590000000000003</v>
      </c>
      <c r="H391" s="652">
        <v>1.0696202531645569</v>
      </c>
      <c r="I391" s="633">
        <v>7.52</v>
      </c>
      <c r="J391" s="653">
        <v>20</v>
      </c>
      <c r="K391" s="653">
        <f t="shared" si="253"/>
        <v>254.18</v>
      </c>
      <c r="L391" s="633">
        <f t="shared" si="254"/>
        <v>61.231962000000003</v>
      </c>
      <c r="M391" s="634">
        <f t="shared" si="255"/>
        <v>315.41000000000003</v>
      </c>
      <c r="N391" s="654"/>
      <c r="O391" s="633"/>
      <c r="P391" s="653"/>
      <c r="Q391" s="653"/>
      <c r="R391" s="633"/>
      <c r="S391" s="634"/>
    </row>
    <row r="392" spans="1:19" x14ac:dyDescent="0.25">
      <c r="A392" s="648" t="s">
        <v>22</v>
      </c>
      <c r="B392" s="675">
        <f>24/176</f>
        <v>0.13636363636363635</v>
      </c>
      <c r="C392" s="650">
        <v>7.52</v>
      </c>
      <c r="D392" s="650">
        <v>30</v>
      </c>
      <c r="E392" s="653">
        <f t="shared" si="256"/>
        <v>54.14</v>
      </c>
      <c r="F392" s="633">
        <f t="shared" si="251"/>
        <v>13.042326000000001</v>
      </c>
      <c r="G392" s="634">
        <f t="shared" si="257"/>
        <v>67.180000000000007</v>
      </c>
      <c r="H392" s="652">
        <v>0.52531645569620256</v>
      </c>
      <c r="I392" s="633">
        <v>7.52</v>
      </c>
      <c r="J392" s="653">
        <v>20</v>
      </c>
      <c r="K392" s="653">
        <f t="shared" si="253"/>
        <v>124.83</v>
      </c>
      <c r="L392" s="633">
        <f t="shared" si="254"/>
        <v>30.071546999999999</v>
      </c>
      <c r="M392" s="634">
        <f t="shared" si="255"/>
        <v>154.9</v>
      </c>
      <c r="N392" s="654"/>
      <c r="O392" s="633"/>
      <c r="P392" s="653"/>
      <c r="Q392" s="653"/>
      <c r="R392" s="633"/>
      <c r="S392" s="634"/>
    </row>
    <row r="393" spans="1:19" x14ac:dyDescent="0.25">
      <c r="A393" s="648" t="s">
        <v>22</v>
      </c>
      <c r="B393" s="675">
        <f>67/176</f>
        <v>0.38068181818181818</v>
      </c>
      <c r="C393" s="650">
        <v>7.52</v>
      </c>
      <c r="D393" s="650">
        <v>30</v>
      </c>
      <c r="E393" s="653">
        <f t="shared" si="256"/>
        <v>151.15</v>
      </c>
      <c r="F393" s="633">
        <f t="shared" si="251"/>
        <v>36.412035000000003</v>
      </c>
      <c r="G393" s="634">
        <f t="shared" si="257"/>
        <v>187.56</v>
      </c>
      <c r="H393" s="652">
        <v>0.35443037974683544</v>
      </c>
      <c r="I393" s="633">
        <v>7.52</v>
      </c>
      <c r="J393" s="653">
        <v>20</v>
      </c>
      <c r="K393" s="653">
        <f t="shared" si="253"/>
        <v>84.22</v>
      </c>
      <c r="L393" s="633">
        <f t="shared" si="254"/>
        <v>20.288598</v>
      </c>
      <c r="M393" s="634">
        <f t="shared" si="255"/>
        <v>104.51</v>
      </c>
      <c r="N393" s="654"/>
      <c r="O393" s="633"/>
      <c r="P393" s="653"/>
      <c r="Q393" s="653"/>
      <c r="R393" s="633"/>
      <c r="S393" s="634"/>
    </row>
    <row r="394" spans="1:19" x14ac:dyDescent="0.25">
      <c r="A394" s="648" t="s">
        <v>22</v>
      </c>
      <c r="B394" s="675">
        <f>50/176</f>
        <v>0.28409090909090912</v>
      </c>
      <c r="C394" s="650">
        <v>6.83</v>
      </c>
      <c r="D394" s="650">
        <v>30</v>
      </c>
      <c r="E394" s="653">
        <f t="shared" si="256"/>
        <v>102.45</v>
      </c>
      <c r="F394" s="633">
        <f t="shared" si="251"/>
        <v>24.680205000000001</v>
      </c>
      <c r="G394" s="634">
        <f t="shared" si="257"/>
        <v>127.13</v>
      </c>
      <c r="H394" s="697">
        <v>1</v>
      </c>
      <c r="I394" s="633">
        <v>7.52</v>
      </c>
      <c r="J394" s="653">
        <v>20</v>
      </c>
      <c r="K394" s="653">
        <f t="shared" si="253"/>
        <v>237.63</v>
      </c>
      <c r="L394" s="633">
        <f t="shared" si="254"/>
        <v>57.245066999999999</v>
      </c>
      <c r="M394" s="634">
        <f t="shared" si="255"/>
        <v>294.88</v>
      </c>
      <c r="N394" s="654"/>
      <c r="O394" s="633"/>
      <c r="P394" s="653"/>
      <c r="Q394" s="653"/>
      <c r="R394" s="633"/>
      <c r="S394" s="634"/>
    </row>
    <row r="395" spans="1:19" x14ac:dyDescent="0.25">
      <c r="A395" s="648" t="s">
        <v>22</v>
      </c>
      <c r="B395" s="675">
        <f>36/176</f>
        <v>0.20454545454545456</v>
      </c>
      <c r="C395" s="650">
        <v>7.52</v>
      </c>
      <c r="D395" s="650">
        <v>30</v>
      </c>
      <c r="E395" s="653">
        <f t="shared" si="256"/>
        <v>81.22</v>
      </c>
      <c r="F395" s="633">
        <f t="shared" si="251"/>
        <v>19.565898000000001</v>
      </c>
      <c r="G395" s="634">
        <f t="shared" si="257"/>
        <v>100.79</v>
      </c>
      <c r="H395" s="652">
        <v>1.3227848101265822</v>
      </c>
      <c r="I395" s="633">
        <v>7.52</v>
      </c>
      <c r="J395" s="653">
        <v>20</v>
      </c>
      <c r="K395" s="653">
        <f t="shared" si="253"/>
        <v>314.33999999999997</v>
      </c>
      <c r="L395" s="633">
        <f t="shared" si="254"/>
        <v>75.724505999999991</v>
      </c>
      <c r="M395" s="634">
        <f t="shared" si="255"/>
        <v>390.06</v>
      </c>
      <c r="N395" s="654"/>
      <c r="O395" s="633"/>
      <c r="P395" s="653"/>
      <c r="Q395" s="653"/>
      <c r="R395" s="633"/>
      <c r="S395" s="634"/>
    </row>
    <row r="396" spans="1:19" x14ac:dyDescent="0.25">
      <c r="A396" s="648" t="s">
        <v>22</v>
      </c>
      <c r="B396" s="675">
        <f>24/176</f>
        <v>0.13636363636363635</v>
      </c>
      <c r="C396" s="650">
        <v>7.52</v>
      </c>
      <c r="D396" s="650">
        <v>30</v>
      </c>
      <c r="E396" s="653">
        <f t="shared" si="256"/>
        <v>54.14</v>
      </c>
      <c r="F396" s="633">
        <f t="shared" si="251"/>
        <v>13.042326000000001</v>
      </c>
      <c r="G396" s="634">
        <f t="shared" si="257"/>
        <v>67.180000000000007</v>
      </c>
      <c r="H396" s="652">
        <v>0.35443037974683544</v>
      </c>
      <c r="I396" s="633">
        <v>7.52</v>
      </c>
      <c r="J396" s="653">
        <v>20</v>
      </c>
      <c r="K396" s="653">
        <f t="shared" si="253"/>
        <v>84.22</v>
      </c>
      <c r="L396" s="633">
        <f t="shared" si="254"/>
        <v>20.288598</v>
      </c>
      <c r="M396" s="634">
        <f t="shared" si="255"/>
        <v>104.51</v>
      </c>
      <c r="N396" s="654"/>
      <c r="O396" s="633"/>
      <c r="P396" s="653"/>
      <c r="Q396" s="653"/>
      <c r="R396" s="633"/>
      <c r="S396" s="634"/>
    </row>
    <row r="397" spans="1:19" x14ac:dyDescent="0.25">
      <c r="A397" s="648" t="s">
        <v>22</v>
      </c>
      <c r="B397" s="675">
        <f>36/176</f>
        <v>0.20454545454545456</v>
      </c>
      <c r="C397" s="650">
        <v>7.52</v>
      </c>
      <c r="D397" s="650">
        <v>30</v>
      </c>
      <c r="E397" s="653">
        <f t="shared" si="256"/>
        <v>81.22</v>
      </c>
      <c r="F397" s="633">
        <f t="shared" si="251"/>
        <v>19.565898000000001</v>
      </c>
      <c r="G397" s="634">
        <f t="shared" si="257"/>
        <v>100.79</v>
      </c>
      <c r="H397" s="652">
        <v>0.39873417721518989</v>
      </c>
      <c r="I397" s="633">
        <v>6.83</v>
      </c>
      <c r="J397" s="653">
        <v>20</v>
      </c>
      <c r="K397" s="653">
        <f t="shared" si="253"/>
        <v>86.06</v>
      </c>
      <c r="L397" s="633">
        <f t="shared" si="254"/>
        <v>20.731854000000002</v>
      </c>
      <c r="M397" s="634">
        <f t="shared" si="255"/>
        <v>106.79</v>
      </c>
      <c r="N397" s="654"/>
      <c r="O397" s="633"/>
      <c r="P397" s="653"/>
      <c r="Q397" s="653"/>
      <c r="R397" s="633"/>
      <c r="S397" s="634"/>
    </row>
    <row r="398" spans="1:19" x14ac:dyDescent="0.25">
      <c r="A398" s="648" t="s">
        <v>22</v>
      </c>
      <c r="B398" s="675">
        <f>48/176</f>
        <v>0.27272727272727271</v>
      </c>
      <c r="C398" s="650">
        <v>7.52</v>
      </c>
      <c r="D398" s="650">
        <v>30</v>
      </c>
      <c r="E398" s="653">
        <f t="shared" si="256"/>
        <v>108.29</v>
      </c>
      <c r="F398" s="633">
        <f t="shared" si="251"/>
        <v>26.087061000000002</v>
      </c>
      <c r="G398" s="634">
        <f t="shared" si="257"/>
        <v>134.38</v>
      </c>
      <c r="H398" s="652">
        <v>0.37341772151898733</v>
      </c>
      <c r="I398" s="633">
        <v>7.52</v>
      </c>
      <c r="J398" s="653">
        <v>20</v>
      </c>
      <c r="K398" s="653">
        <f t="shared" si="253"/>
        <v>88.74</v>
      </c>
      <c r="L398" s="633">
        <f t="shared" si="254"/>
        <v>21.377465999999998</v>
      </c>
      <c r="M398" s="634">
        <f t="shared" si="255"/>
        <v>110.12</v>
      </c>
      <c r="N398" s="654"/>
      <c r="O398" s="633"/>
      <c r="P398" s="653"/>
      <c r="Q398" s="653"/>
      <c r="R398" s="633"/>
      <c r="S398" s="634"/>
    </row>
    <row r="399" spans="1:19" x14ac:dyDescent="0.25">
      <c r="A399" s="648" t="s">
        <v>22</v>
      </c>
      <c r="B399" s="675">
        <f>76/176</f>
        <v>0.43181818181818182</v>
      </c>
      <c r="C399" s="650">
        <v>7.52</v>
      </c>
      <c r="D399" s="650">
        <v>30</v>
      </c>
      <c r="E399" s="653">
        <f t="shared" si="256"/>
        <v>171.46</v>
      </c>
      <c r="F399" s="633">
        <f t="shared" si="251"/>
        <v>41.304714000000004</v>
      </c>
      <c r="G399" s="634">
        <f t="shared" si="257"/>
        <v>212.76</v>
      </c>
      <c r="H399" s="652">
        <v>1.3227848101265822</v>
      </c>
      <c r="I399" s="633">
        <v>7.52</v>
      </c>
      <c r="J399" s="653">
        <v>20</v>
      </c>
      <c r="K399" s="653">
        <f t="shared" si="253"/>
        <v>314.33999999999997</v>
      </c>
      <c r="L399" s="633">
        <f t="shared" si="254"/>
        <v>75.724505999999991</v>
      </c>
      <c r="M399" s="634">
        <f t="shared" si="255"/>
        <v>390.06</v>
      </c>
      <c r="N399" s="654"/>
      <c r="O399" s="633"/>
      <c r="P399" s="653"/>
      <c r="Q399" s="653"/>
      <c r="R399" s="633"/>
      <c r="S399" s="634"/>
    </row>
    <row r="400" spans="1:19" x14ac:dyDescent="0.25">
      <c r="A400" s="648" t="s">
        <v>22</v>
      </c>
      <c r="B400" s="675">
        <f>24/176</f>
        <v>0.13636363636363635</v>
      </c>
      <c r="C400" s="650">
        <v>7.52</v>
      </c>
      <c r="D400" s="650">
        <v>30</v>
      </c>
      <c r="E400" s="653">
        <f t="shared" si="256"/>
        <v>54.14</v>
      </c>
      <c r="F400" s="633">
        <f t="shared" si="251"/>
        <v>13.042326000000001</v>
      </c>
      <c r="G400" s="634">
        <f t="shared" si="257"/>
        <v>67.180000000000007</v>
      </c>
      <c r="H400" s="652">
        <v>0.19620253164556961</v>
      </c>
      <c r="I400" s="633">
        <v>7.52</v>
      </c>
      <c r="J400" s="653">
        <v>20</v>
      </c>
      <c r="K400" s="653">
        <f t="shared" si="253"/>
        <v>46.62</v>
      </c>
      <c r="L400" s="633">
        <f t="shared" si="254"/>
        <v>11.230758</v>
      </c>
      <c r="M400" s="634">
        <f t="shared" si="255"/>
        <v>57.85</v>
      </c>
      <c r="N400" s="654"/>
      <c r="O400" s="633"/>
      <c r="P400" s="653"/>
      <c r="Q400" s="653"/>
      <c r="R400" s="633"/>
      <c r="S400" s="634"/>
    </row>
    <row r="401" spans="1:19" x14ac:dyDescent="0.25">
      <c r="A401" s="648" t="s">
        <v>22</v>
      </c>
      <c r="B401" s="675">
        <f>48/176</f>
        <v>0.27272727272727271</v>
      </c>
      <c r="C401" s="650">
        <v>7.52</v>
      </c>
      <c r="D401" s="650">
        <v>30</v>
      </c>
      <c r="E401" s="653">
        <f t="shared" si="256"/>
        <v>108.29</v>
      </c>
      <c r="F401" s="633">
        <f t="shared" si="251"/>
        <v>26.087061000000002</v>
      </c>
      <c r="G401" s="634">
        <f t="shared" si="257"/>
        <v>134.38</v>
      </c>
      <c r="H401" s="652">
        <v>0.15189873417721519</v>
      </c>
      <c r="I401" s="633">
        <v>7.52</v>
      </c>
      <c r="J401" s="653">
        <v>20</v>
      </c>
      <c r="K401" s="653">
        <f t="shared" si="253"/>
        <v>36.1</v>
      </c>
      <c r="L401" s="633">
        <f t="shared" si="254"/>
        <v>8.6964900000000007</v>
      </c>
      <c r="M401" s="634">
        <f t="shared" si="255"/>
        <v>44.8</v>
      </c>
      <c r="N401" s="654"/>
      <c r="O401" s="633"/>
      <c r="P401" s="653"/>
      <c r="Q401" s="653"/>
      <c r="R401" s="633"/>
      <c r="S401" s="634"/>
    </row>
    <row r="402" spans="1:19" x14ac:dyDescent="0.25">
      <c r="A402" s="648" t="s">
        <v>22</v>
      </c>
      <c r="B402" s="675">
        <f>12/176</f>
        <v>6.8181818181818177E-2</v>
      </c>
      <c r="C402" s="650">
        <v>6.83</v>
      </c>
      <c r="D402" s="650">
        <v>30</v>
      </c>
      <c r="E402" s="653">
        <f t="shared" si="256"/>
        <v>24.59</v>
      </c>
      <c r="F402" s="633">
        <f t="shared" si="251"/>
        <v>5.9237310000000001</v>
      </c>
      <c r="G402" s="634">
        <f t="shared" si="257"/>
        <v>30.51</v>
      </c>
      <c r="H402" s="652">
        <v>0.37341772151898733</v>
      </c>
      <c r="I402" s="633">
        <v>7.52</v>
      </c>
      <c r="J402" s="653">
        <v>20</v>
      </c>
      <c r="K402" s="653">
        <f t="shared" si="253"/>
        <v>88.74</v>
      </c>
      <c r="L402" s="633">
        <f t="shared" si="254"/>
        <v>21.377465999999998</v>
      </c>
      <c r="M402" s="634">
        <f t="shared" si="255"/>
        <v>110.12</v>
      </c>
      <c r="N402" s="654"/>
      <c r="O402" s="633"/>
      <c r="P402" s="653"/>
      <c r="Q402" s="653"/>
      <c r="R402" s="633"/>
      <c r="S402" s="634"/>
    </row>
    <row r="403" spans="1:19" x14ac:dyDescent="0.25">
      <c r="A403" s="648" t="s">
        <v>22</v>
      </c>
      <c r="B403" s="675">
        <f>35/176</f>
        <v>0.19886363636363635</v>
      </c>
      <c r="C403" s="650">
        <v>7.52</v>
      </c>
      <c r="D403" s="650">
        <v>30</v>
      </c>
      <c r="E403" s="653">
        <f t="shared" si="256"/>
        <v>78.959999999999994</v>
      </c>
      <c r="F403" s="633">
        <f t="shared" si="251"/>
        <v>19.021463999999998</v>
      </c>
      <c r="G403" s="634">
        <f t="shared" si="257"/>
        <v>97.98</v>
      </c>
      <c r="H403" s="652">
        <v>1.0696202531645569</v>
      </c>
      <c r="I403" s="633">
        <v>7.52</v>
      </c>
      <c r="J403" s="653">
        <v>20</v>
      </c>
      <c r="K403" s="653">
        <f t="shared" si="253"/>
        <v>254.18</v>
      </c>
      <c r="L403" s="633">
        <f t="shared" si="254"/>
        <v>61.231962000000003</v>
      </c>
      <c r="M403" s="634">
        <f t="shared" si="255"/>
        <v>315.41000000000003</v>
      </c>
      <c r="N403" s="654"/>
      <c r="O403" s="633"/>
      <c r="P403" s="653"/>
      <c r="Q403" s="653"/>
      <c r="R403" s="633"/>
      <c r="S403" s="634"/>
    </row>
    <row r="404" spans="1:19" x14ac:dyDescent="0.25">
      <c r="A404" s="648" t="s">
        <v>22</v>
      </c>
      <c r="B404" s="675">
        <f>71/176</f>
        <v>0.40340909090909088</v>
      </c>
      <c r="C404" s="650">
        <v>7.52</v>
      </c>
      <c r="D404" s="650">
        <v>30</v>
      </c>
      <c r="E404" s="653">
        <f t="shared" si="256"/>
        <v>160.18</v>
      </c>
      <c r="F404" s="633">
        <f t="shared" si="251"/>
        <v>38.587361999999999</v>
      </c>
      <c r="G404" s="634">
        <f t="shared" si="257"/>
        <v>198.77</v>
      </c>
      <c r="H404" s="652">
        <v>0.20253164556962025</v>
      </c>
      <c r="I404" s="633">
        <v>6.83</v>
      </c>
      <c r="J404" s="653">
        <v>20</v>
      </c>
      <c r="K404" s="653">
        <f t="shared" si="253"/>
        <v>43.71</v>
      </c>
      <c r="L404" s="633">
        <f t="shared" si="254"/>
        <v>10.529739000000001</v>
      </c>
      <c r="M404" s="634">
        <f t="shared" si="255"/>
        <v>54.24</v>
      </c>
      <c r="N404" s="654"/>
      <c r="O404" s="633"/>
      <c r="P404" s="653"/>
      <c r="Q404" s="653"/>
      <c r="R404" s="633"/>
      <c r="S404" s="634"/>
    </row>
    <row r="405" spans="1:19" x14ac:dyDescent="0.25">
      <c r="A405" s="648" t="s">
        <v>22</v>
      </c>
      <c r="B405" s="675">
        <f>47/176</f>
        <v>0.26704545454545453</v>
      </c>
      <c r="C405" s="650">
        <v>7.52</v>
      </c>
      <c r="D405" s="650">
        <v>30</v>
      </c>
      <c r="E405" s="653">
        <f t="shared" si="256"/>
        <v>106.03</v>
      </c>
      <c r="F405" s="633">
        <f t="shared" si="251"/>
        <v>25.542627</v>
      </c>
      <c r="G405" s="634">
        <f t="shared" si="257"/>
        <v>131.57</v>
      </c>
      <c r="H405" s="652">
        <v>0.71518987341772156</v>
      </c>
      <c r="I405" s="633">
        <v>7.52</v>
      </c>
      <c r="J405" s="653">
        <v>20</v>
      </c>
      <c r="K405" s="653">
        <f t="shared" si="253"/>
        <v>169.95</v>
      </c>
      <c r="L405" s="633">
        <f t="shared" si="254"/>
        <v>40.940954999999995</v>
      </c>
      <c r="M405" s="634">
        <f t="shared" si="255"/>
        <v>210.89</v>
      </c>
      <c r="N405" s="654"/>
      <c r="O405" s="633"/>
      <c r="P405" s="653"/>
      <c r="Q405" s="653"/>
      <c r="R405" s="633"/>
      <c r="S405" s="634"/>
    </row>
    <row r="406" spans="1:19" x14ac:dyDescent="0.25">
      <c r="A406" s="648" t="s">
        <v>22</v>
      </c>
      <c r="B406" s="675">
        <f>94/176</f>
        <v>0.53409090909090906</v>
      </c>
      <c r="C406" s="650">
        <v>6.83</v>
      </c>
      <c r="D406" s="650">
        <v>30</v>
      </c>
      <c r="E406" s="653">
        <f t="shared" si="256"/>
        <v>192.61</v>
      </c>
      <c r="F406" s="633">
        <f t="shared" si="251"/>
        <v>46.399749000000007</v>
      </c>
      <c r="G406" s="634">
        <f t="shared" si="257"/>
        <v>239.01</v>
      </c>
      <c r="H406" s="652">
        <v>0.39873417721518989</v>
      </c>
      <c r="I406" s="633">
        <v>7.52</v>
      </c>
      <c r="J406" s="653">
        <v>20</v>
      </c>
      <c r="K406" s="653">
        <f t="shared" si="253"/>
        <v>94.75</v>
      </c>
      <c r="L406" s="633">
        <f t="shared" si="254"/>
        <v>22.825275000000001</v>
      </c>
      <c r="M406" s="634">
        <f t="shared" si="255"/>
        <v>117.58</v>
      </c>
      <c r="N406" s="654"/>
      <c r="O406" s="633"/>
      <c r="P406" s="653"/>
      <c r="Q406" s="653"/>
      <c r="R406" s="633"/>
      <c r="S406" s="634"/>
    </row>
    <row r="407" spans="1:19" x14ac:dyDescent="0.25">
      <c r="A407" s="648" t="s">
        <v>22</v>
      </c>
      <c r="B407" s="675">
        <f>35/176</f>
        <v>0.19886363636363635</v>
      </c>
      <c r="C407" s="650">
        <v>7.52</v>
      </c>
      <c r="D407" s="650">
        <v>30</v>
      </c>
      <c r="E407" s="653">
        <f t="shared" si="256"/>
        <v>78.959999999999994</v>
      </c>
      <c r="F407" s="633">
        <f t="shared" si="251"/>
        <v>19.021463999999998</v>
      </c>
      <c r="G407" s="634">
        <f t="shared" si="257"/>
        <v>97.98</v>
      </c>
      <c r="H407" s="652">
        <v>0.37341772151898733</v>
      </c>
      <c r="I407" s="633">
        <v>7.52</v>
      </c>
      <c r="J407" s="653">
        <v>20</v>
      </c>
      <c r="K407" s="653">
        <f t="shared" si="253"/>
        <v>88.74</v>
      </c>
      <c r="L407" s="633">
        <f t="shared" si="254"/>
        <v>21.377465999999998</v>
      </c>
      <c r="M407" s="634">
        <f t="shared" si="255"/>
        <v>110.12</v>
      </c>
      <c r="N407" s="654"/>
      <c r="O407" s="633"/>
      <c r="P407" s="653"/>
      <c r="Q407" s="653"/>
      <c r="R407" s="633"/>
      <c r="S407" s="634"/>
    </row>
    <row r="408" spans="1:19" x14ac:dyDescent="0.25">
      <c r="A408" s="648" t="s">
        <v>22</v>
      </c>
      <c r="B408" s="675">
        <f>35/176</f>
        <v>0.19886363636363635</v>
      </c>
      <c r="C408" s="650">
        <v>6.83</v>
      </c>
      <c r="D408" s="650">
        <v>30</v>
      </c>
      <c r="E408" s="653">
        <f t="shared" si="256"/>
        <v>71.72</v>
      </c>
      <c r="F408" s="633">
        <f t="shared" si="251"/>
        <v>17.277348</v>
      </c>
      <c r="G408" s="634">
        <f t="shared" si="257"/>
        <v>89</v>
      </c>
      <c r="H408" s="652">
        <v>0.37341772151898733</v>
      </c>
      <c r="I408" s="633">
        <v>7.52</v>
      </c>
      <c r="J408" s="653">
        <v>20</v>
      </c>
      <c r="K408" s="653">
        <f t="shared" si="253"/>
        <v>88.74</v>
      </c>
      <c r="L408" s="633">
        <f t="shared" si="254"/>
        <v>21.377465999999998</v>
      </c>
      <c r="M408" s="634">
        <f t="shared" si="255"/>
        <v>110.12</v>
      </c>
      <c r="N408" s="654"/>
      <c r="O408" s="633"/>
      <c r="P408" s="653"/>
      <c r="Q408" s="653"/>
      <c r="R408" s="633"/>
      <c r="S408" s="634"/>
    </row>
    <row r="409" spans="1:19" x14ac:dyDescent="0.25">
      <c r="A409" s="648" t="s">
        <v>22</v>
      </c>
      <c r="B409" s="675">
        <f>23/176</f>
        <v>0.13068181818181818</v>
      </c>
      <c r="C409" s="650">
        <v>6.83</v>
      </c>
      <c r="D409" s="650">
        <v>30</v>
      </c>
      <c r="E409" s="653">
        <f t="shared" si="256"/>
        <v>47.13</v>
      </c>
      <c r="F409" s="633">
        <f t="shared" si="251"/>
        <v>11.353617000000002</v>
      </c>
      <c r="G409" s="634">
        <f t="shared" si="257"/>
        <v>58.48</v>
      </c>
      <c r="H409" s="652">
        <v>0.32278481012658228</v>
      </c>
      <c r="I409" s="633">
        <v>7.52</v>
      </c>
      <c r="J409" s="653">
        <v>20</v>
      </c>
      <c r="K409" s="653">
        <f t="shared" si="253"/>
        <v>76.7</v>
      </c>
      <c r="L409" s="633">
        <f t="shared" si="254"/>
        <v>18.477029999999999</v>
      </c>
      <c r="M409" s="634">
        <f t="shared" si="255"/>
        <v>95.18</v>
      </c>
      <c r="N409" s="654"/>
      <c r="O409" s="633"/>
      <c r="P409" s="653"/>
      <c r="Q409" s="653"/>
      <c r="R409" s="633"/>
      <c r="S409" s="634"/>
    </row>
    <row r="410" spans="1:19" x14ac:dyDescent="0.25">
      <c r="A410" s="648" t="s">
        <v>22</v>
      </c>
      <c r="B410" s="675">
        <f>16/176</f>
        <v>9.0909090909090912E-2</v>
      </c>
      <c r="C410" s="650">
        <v>7.52</v>
      </c>
      <c r="D410" s="650">
        <v>30</v>
      </c>
      <c r="E410" s="653">
        <f t="shared" si="256"/>
        <v>36.1</v>
      </c>
      <c r="F410" s="633">
        <f t="shared" si="251"/>
        <v>8.6964900000000007</v>
      </c>
      <c r="G410" s="634">
        <f t="shared" si="257"/>
        <v>44.8</v>
      </c>
      <c r="H410" s="652">
        <v>0.44936708860759494</v>
      </c>
      <c r="I410" s="633">
        <v>7.52</v>
      </c>
      <c r="J410" s="653">
        <v>20</v>
      </c>
      <c r="K410" s="653">
        <f t="shared" si="253"/>
        <v>106.78</v>
      </c>
      <c r="L410" s="633">
        <f t="shared" si="254"/>
        <v>25.723302</v>
      </c>
      <c r="M410" s="634">
        <f t="shared" si="255"/>
        <v>132.5</v>
      </c>
      <c r="N410" s="654"/>
      <c r="O410" s="633"/>
      <c r="P410" s="653"/>
      <c r="Q410" s="653"/>
      <c r="R410" s="633"/>
      <c r="S410" s="634"/>
    </row>
    <row r="411" spans="1:19" x14ac:dyDescent="0.25">
      <c r="A411" s="648" t="s">
        <v>22</v>
      </c>
      <c r="B411" s="675">
        <f>78/176</f>
        <v>0.44318181818181818</v>
      </c>
      <c r="C411" s="650">
        <v>7.52</v>
      </c>
      <c r="D411" s="650">
        <v>30</v>
      </c>
      <c r="E411" s="653">
        <f t="shared" si="256"/>
        <v>175.97</v>
      </c>
      <c r="F411" s="633">
        <f t="shared" si="251"/>
        <v>42.391173000000002</v>
      </c>
      <c r="G411" s="634">
        <f t="shared" si="257"/>
        <v>218.36</v>
      </c>
      <c r="H411" s="652">
        <v>0.37341772151898733</v>
      </c>
      <c r="I411" s="633">
        <v>7.52</v>
      </c>
      <c r="J411" s="653">
        <v>20</v>
      </c>
      <c r="K411" s="653">
        <f t="shared" si="253"/>
        <v>88.74</v>
      </c>
      <c r="L411" s="633">
        <f t="shared" si="254"/>
        <v>21.377465999999998</v>
      </c>
      <c r="M411" s="634">
        <f t="shared" si="255"/>
        <v>110.12</v>
      </c>
      <c r="N411" s="654"/>
      <c r="O411" s="633"/>
      <c r="P411" s="653"/>
      <c r="Q411" s="653"/>
      <c r="R411" s="633"/>
      <c r="S411" s="634"/>
    </row>
    <row r="412" spans="1:19" x14ac:dyDescent="0.25">
      <c r="A412" s="648" t="s">
        <v>22</v>
      </c>
      <c r="B412" s="675">
        <f>47/176</f>
        <v>0.26704545454545453</v>
      </c>
      <c r="C412" s="650">
        <v>7.52</v>
      </c>
      <c r="D412" s="650">
        <v>30</v>
      </c>
      <c r="E412" s="653">
        <f t="shared" si="256"/>
        <v>106.03</v>
      </c>
      <c r="F412" s="633">
        <f t="shared" si="251"/>
        <v>25.542627</v>
      </c>
      <c r="G412" s="634">
        <f t="shared" si="257"/>
        <v>131.57</v>
      </c>
      <c r="H412" s="697">
        <v>1</v>
      </c>
      <c r="I412" s="633">
        <v>7.52</v>
      </c>
      <c r="J412" s="653">
        <v>20</v>
      </c>
      <c r="K412" s="653">
        <f t="shared" si="253"/>
        <v>237.63</v>
      </c>
      <c r="L412" s="633">
        <f t="shared" si="254"/>
        <v>57.245066999999999</v>
      </c>
      <c r="M412" s="634">
        <f t="shared" si="255"/>
        <v>294.88</v>
      </c>
      <c r="N412" s="654"/>
      <c r="O412" s="633"/>
      <c r="P412" s="653"/>
      <c r="Q412" s="653"/>
      <c r="R412" s="633"/>
      <c r="S412" s="634"/>
    </row>
    <row r="413" spans="1:19" x14ac:dyDescent="0.25">
      <c r="A413" s="648" t="s">
        <v>22</v>
      </c>
      <c r="B413" s="649"/>
      <c r="C413" s="650"/>
      <c r="D413" s="650"/>
      <c r="E413" s="650"/>
      <c r="F413" s="650"/>
      <c r="G413" s="651"/>
      <c r="H413" s="652">
        <v>0.45569620253164556</v>
      </c>
      <c r="I413" s="633">
        <v>7.52</v>
      </c>
      <c r="J413" s="653">
        <v>20</v>
      </c>
      <c r="K413" s="653">
        <f t="shared" si="253"/>
        <v>108.29</v>
      </c>
      <c r="L413" s="633">
        <f t="shared" si="254"/>
        <v>26.087061000000002</v>
      </c>
      <c r="M413" s="634">
        <f t="shared" si="255"/>
        <v>134.38</v>
      </c>
      <c r="N413" s="654"/>
      <c r="O413" s="633"/>
      <c r="P413" s="653"/>
      <c r="Q413" s="653"/>
      <c r="R413" s="633"/>
      <c r="S413" s="634"/>
    </row>
    <row r="414" spans="1:19" x14ac:dyDescent="0.25">
      <c r="A414" s="648" t="s">
        <v>22</v>
      </c>
      <c r="B414" s="649"/>
      <c r="C414" s="650"/>
      <c r="D414" s="650"/>
      <c r="E414" s="650"/>
      <c r="F414" s="650"/>
      <c r="G414" s="651"/>
      <c r="H414" s="652">
        <v>0.62658227848101267</v>
      </c>
      <c r="I414" s="633">
        <v>7.52</v>
      </c>
      <c r="J414" s="653">
        <v>20</v>
      </c>
      <c r="K414" s="653">
        <f t="shared" si="253"/>
        <v>148.9</v>
      </c>
      <c r="L414" s="633">
        <f t="shared" si="254"/>
        <v>35.870010000000001</v>
      </c>
      <c r="M414" s="634">
        <f t="shared" si="255"/>
        <v>184.77</v>
      </c>
      <c r="N414" s="654"/>
      <c r="O414" s="633"/>
      <c r="P414" s="653"/>
      <c r="Q414" s="653"/>
      <c r="R414" s="633"/>
      <c r="S414" s="634"/>
    </row>
    <row r="415" spans="1:19" x14ac:dyDescent="0.25">
      <c r="A415" s="648" t="s">
        <v>22</v>
      </c>
      <c r="B415" s="649"/>
      <c r="C415" s="650"/>
      <c r="D415" s="650"/>
      <c r="E415" s="650"/>
      <c r="F415" s="650"/>
      <c r="G415" s="651"/>
      <c r="H415" s="652">
        <v>0.15189873417721519</v>
      </c>
      <c r="I415" s="633">
        <v>7.52</v>
      </c>
      <c r="J415" s="653">
        <v>20</v>
      </c>
      <c r="K415" s="653">
        <f t="shared" si="253"/>
        <v>36.1</v>
      </c>
      <c r="L415" s="633">
        <f t="shared" si="254"/>
        <v>8.6964900000000007</v>
      </c>
      <c r="M415" s="634">
        <f t="shared" si="255"/>
        <v>44.8</v>
      </c>
      <c r="N415" s="654"/>
      <c r="O415" s="633"/>
      <c r="P415" s="653"/>
      <c r="Q415" s="653"/>
      <c r="R415" s="633"/>
      <c r="S415" s="634"/>
    </row>
    <row r="416" spans="1:19" x14ac:dyDescent="0.25">
      <c r="A416" s="648" t="s">
        <v>22</v>
      </c>
      <c r="B416" s="649"/>
      <c r="C416" s="650"/>
      <c r="D416" s="650"/>
      <c r="E416" s="650"/>
      <c r="F416" s="650"/>
      <c r="G416" s="651"/>
      <c r="H416" s="652">
        <v>0.4050632911392405</v>
      </c>
      <c r="I416" s="633">
        <v>6.83</v>
      </c>
      <c r="J416" s="653">
        <v>20</v>
      </c>
      <c r="K416" s="653">
        <f t="shared" si="253"/>
        <v>87.42</v>
      </c>
      <c r="L416" s="633">
        <f t="shared" si="254"/>
        <v>21.059478000000002</v>
      </c>
      <c r="M416" s="634">
        <f t="shared" si="255"/>
        <v>108.48</v>
      </c>
      <c r="N416" s="654"/>
      <c r="O416" s="633"/>
      <c r="P416" s="653"/>
      <c r="Q416" s="653"/>
      <c r="R416" s="633"/>
      <c r="S416" s="634"/>
    </row>
    <row r="417" spans="1:19" x14ac:dyDescent="0.25">
      <c r="A417" s="648" t="s">
        <v>22</v>
      </c>
      <c r="B417" s="649"/>
      <c r="C417" s="650"/>
      <c r="D417" s="650"/>
      <c r="E417" s="650"/>
      <c r="F417" s="650"/>
      <c r="G417" s="651"/>
      <c r="H417" s="652">
        <v>0.55063291139240511</v>
      </c>
      <c r="I417" s="633">
        <v>6.83</v>
      </c>
      <c r="J417" s="653">
        <v>20</v>
      </c>
      <c r="K417" s="653">
        <f t="shared" si="253"/>
        <v>118.84</v>
      </c>
      <c r="L417" s="633">
        <f t="shared" si="254"/>
        <v>28.628556</v>
      </c>
      <c r="M417" s="634">
        <f t="shared" si="255"/>
        <v>147.47</v>
      </c>
      <c r="N417" s="654"/>
      <c r="O417" s="633"/>
      <c r="P417" s="653"/>
      <c r="Q417" s="653"/>
      <c r="R417" s="633"/>
      <c r="S417" s="634"/>
    </row>
    <row r="418" spans="1:19" x14ac:dyDescent="0.25">
      <c r="A418" s="648" t="s">
        <v>22</v>
      </c>
      <c r="B418" s="649"/>
      <c r="C418" s="650"/>
      <c r="D418" s="650"/>
      <c r="E418" s="650"/>
      <c r="F418" s="650"/>
      <c r="G418" s="651"/>
      <c r="H418" s="652">
        <v>0.30379746835443039</v>
      </c>
      <c r="I418" s="633">
        <v>6.83</v>
      </c>
      <c r="J418" s="653">
        <v>20</v>
      </c>
      <c r="K418" s="653">
        <f t="shared" si="253"/>
        <v>65.569999999999993</v>
      </c>
      <c r="L418" s="633">
        <f t="shared" si="254"/>
        <v>15.795812999999999</v>
      </c>
      <c r="M418" s="634">
        <f t="shared" si="255"/>
        <v>81.37</v>
      </c>
      <c r="N418" s="654"/>
      <c r="O418" s="633"/>
      <c r="P418" s="653"/>
      <c r="Q418" s="653"/>
      <c r="R418" s="633"/>
      <c r="S418" s="634"/>
    </row>
    <row r="419" spans="1:19" x14ac:dyDescent="0.25">
      <c r="A419" s="648" t="s">
        <v>22</v>
      </c>
      <c r="B419" s="649"/>
      <c r="C419" s="650"/>
      <c r="D419" s="650"/>
      <c r="E419" s="650"/>
      <c r="F419" s="650"/>
      <c r="G419" s="651"/>
      <c r="H419" s="652">
        <v>0.55696202531645567</v>
      </c>
      <c r="I419" s="633">
        <v>6.83</v>
      </c>
      <c r="J419" s="653">
        <v>20</v>
      </c>
      <c r="K419" s="653">
        <f t="shared" si="253"/>
        <v>120.21</v>
      </c>
      <c r="L419" s="633">
        <f t="shared" si="254"/>
        <v>28.958589</v>
      </c>
      <c r="M419" s="634">
        <f t="shared" si="255"/>
        <v>149.16999999999999</v>
      </c>
      <c r="N419" s="654"/>
      <c r="O419" s="633"/>
      <c r="P419" s="653"/>
      <c r="Q419" s="653"/>
      <c r="R419" s="633"/>
      <c r="S419" s="634"/>
    </row>
    <row r="420" spans="1:19" x14ac:dyDescent="0.25">
      <c r="A420" s="648" t="s">
        <v>22</v>
      </c>
      <c r="B420" s="649"/>
      <c r="C420" s="650"/>
      <c r="D420" s="650"/>
      <c r="E420" s="650"/>
      <c r="F420" s="650"/>
      <c r="G420" s="651"/>
      <c r="H420" s="652">
        <v>0.65189873417721522</v>
      </c>
      <c r="I420" s="633">
        <v>6.83</v>
      </c>
      <c r="J420" s="653">
        <v>20</v>
      </c>
      <c r="K420" s="653">
        <f t="shared" si="253"/>
        <v>140.69999999999999</v>
      </c>
      <c r="L420" s="633">
        <f t="shared" si="254"/>
        <v>33.894629999999999</v>
      </c>
      <c r="M420" s="634">
        <f t="shared" si="255"/>
        <v>174.59</v>
      </c>
      <c r="N420" s="654"/>
      <c r="O420" s="633"/>
      <c r="P420" s="653"/>
      <c r="Q420" s="653"/>
      <c r="R420" s="633"/>
      <c r="S420" s="634"/>
    </row>
    <row r="421" spans="1:19" x14ac:dyDescent="0.25">
      <c r="A421" s="648" t="s">
        <v>22</v>
      </c>
      <c r="B421" s="649"/>
      <c r="C421" s="650"/>
      <c r="D421" s="650"/>
      <c r="E421" s="650"/>
      <c r="F421" s="650"/>
      <c r="G421" s="651"/>
      <c r="H421" s="652">
        <v>0.4050632911392405</v>
      </c>
      <c r="I421" s="633">
        <v>6.83</v>
      </c>
      <c r="J421" s="653">
        <v>20</v>
      </c>
      <c r="K421" s="653">
        <f t="shared" si="253"/>
        <v>87.42</v>
      </c>
      <c r="L421" s="633">
        <f t="shared" si="254"/>
        <v>21.059478000000002</v>
      </c>
      <c r="M421" s="634">
        <f t="shared" si="255"/>
        <v>108.48</v>
      </c>
      <c r="N421" s="654"/>
      <c r="O421" s="633"/>
      <c r="P421" s="653"/>
      <c r="Q421" s="653"/>
      <c r="R421" s="633"/>
      <c r="S421" s="634"/>
    </row>
    <row r="422" spans="1:19" x14ac:dyDescent="0.25">
      <c r="A422" s="648" t="s">
        <v>22</v>
      </c>
      <c r="B422" s="649"/>
      <c r="C422" s="650"/>
      <c r="D422" s="650"/>
      <c r="E422" s="650"/>
      <c r="F422" s="650"/>
      <c r="G422" s="651"/>
      <c r="H422" s="652">
        <v>0.68354430379746833</v>
      </c>
      <c r="I422" s="633">
        <v>6.83</v>
      </c>
      <c r="J422" s="653">
        <v>20</v>
      </c>
      <c r="K422" s="653">
        <f t="shared" si="253"/>
        <v>147.53</v>
      </c>
      <c r="L422" s="633">
        <f t="shared" si="254"/>
        <v>35.539977</v>
      </c>
      <c r="M422" s="634">
        <f t="shared" si="255"/>
        <v>183.07</v>
      </c>
      <c r="N422" s="654"/>
      <c r="O422" s="633"/>
      <c r="P422" s="653"/>
      <c r="Q422" s="653"/>
      <c r="R422" s="633"/>
      <c r="S422" s="634"/>
    </row>
    <row r="423" spans="1:19" x14ac:dyDescent="0.25">
      <c r="A423" s="648" t="s">
        <v>22</v>
      </c>
      <c r="B423" s="649"/>
      <c r="C423" s="650"/>
      <c r="D423" s="650"/>
      <c r="E423" s="650"/>
      <c r="F423" s="650"/>
      <c r="G423" s="651"/>
      <c r="H423" s="652">
        <v>0.30379746835443039</v>
      </c>
      <c r="I423" s="633">
        <v>6.83</v>
      </c>
      <c r="J423" s="653">
        <v>20</v>
      </c>
      <c r="K423" s="653">
        <f t="shared" si="253"/>
        <v>65.569999999999993</v>
      </c>
      <c r="L423" s="633">
        <f t="shared" si="254"/>
        <v>15.795812999999999</v>
      </c>
      <c r="M423" s="634">
        <f t="shared" si="255"/>
        <v>81.37</v>
      </c>
      <c r="N423" s="654"/>
      <c r="O423" s="633"/>
      <c r="P423" s="653"/>
      <c r="Q423" s="653"/>
      <c r="R423" s="633"/>
      <c r="S423" s="634"/>
    </row>
    <row r="424" spans="1:19" x14ac:dyDescent="0.25">
      <c r="A424" s="648" t="s">
        <v>22</v>
      </c>
      <c r="B424" s="649"/>
      <c r="C424" s="650"/>
      <c r="D424" s="650"/>
      <c r="E424" s="650"/>
      <c r="F424" s="650"/>
      <c r="G424" s="651"/>
      <c r="H424" s="652">
        <v>0.43037974683544306</v>
      </c>
      <c r="I424" s="633">
        <v>6.83</v>
      </c>
      <c r="J424" s="653">
        <v>20</v>
      </c>
      <c r="K424" s="653">
        <f t="shared" si="253"/>
        <v>92.89</v>
      </c>
      <c r="L424" s="633">
        <f t="shared" si="254"/>
        <v>22.377200999999999</v>
      </c>
      <c r="M424" s="634">
        <f t="shared" si="255"/>
        <v>115.27</v>
      </c>
      <c r="N424" s="654"/>
      <c r="O424" s="633"/>
      <c r="P424" s="653"/>
      <c r="Q424" s="653"/>
      <c r="R424" s="633"/>
      <c r="S424" s="634"/>
    </row>
    <row r="425" spans="1:19" x14ac:dyDescent="0.25">
      <c r="A425" s="648" t="s">
        <v>22</v>
      </c>
      <c r="B425" s="649"/>
      <c r="C425" s="650"/>
      <c r="D425" s="650"/>
      <c r="E425" s="650"/>
      <c r="F425" s="650"/>
      <c r="G425" s="651"/>
      <c r="H425" s="652">
        <v>0.70886075949367089</v>
      </c>
      <c r="I425" s="633">
        <v>6.83</v>
      </c>
      <c r="J425" s="653">
        <v>20</v>
      </c>
      <c r="K425" s="653">
        <f t="shared" si="253"/>
        <v>152.99</v>
      </c>
      <c r="L425" s="633">
        <f t="shared" si="254"/>
        <v>36.855291000000001</v>
      </c>
      <c r="M425" s="634">
        <f t="shared" si="255"/>
        <v>189.85</v>
      </c>
      <c r="N425" s="654"/>
      <c r="O425" s="633"/>
      <c r="P425" s="653"/>
      <c r="Q425" s="653"/>
      <c r="R425" s="633"/>
      <c r="S425" s="634"/>
    </row>
    <row r="426" spans="1:19" x14ac:dyDescent="0.25">
      <c r="A426" s="648" t="s">
        <v>22</v>
      </c>
      <c r="B426" s="649"/>
      <c r="C426" s="650"/>
      <c r="D426" s="650"/>
      <c r="E426" s="650"/>
      <c r="F426" s="650"/>
      <c r="G426" s="651"/>
      <c r="H426" s="652">
        <v>0.25316455696202533</v>
      </c>
      <c r="I426" s="633">
        <v>6.83</v>
      </c>
      <c r="J426" s="653">
        <v>20</v>
      </c>
      <c r="K426" s="653">
        <f t="shared" si="253"/>
        <v>54.64</v>
      </c>
      <c r="L426" s="633">
        <f t="shared" si="254"/>
        <v>13.162776000000001</v>
      </c>
      <c r="M426" s="634">
        <f t="shared" si="255"/>
        <v>67.8</v>
      </c>
      <c r="N426" s="654"/>
      <c r="O426" s="633"/>
      <c r="P426" s="653"/>
      <c r="Q426" s="653"/>
      <c r="R426" s="633"/>
      <c r="S426" s="634"/>
    </row>
    <row r="427" spans="1:19" x14ac:dyDescent="0.25">
      <c r="A427" s="648" t="s">
        <v>22</v>
      </c>
      <c r="B427" s="649"/>
      <c r="C427" s="650"/>
      <c r="D427" s="650"/>
      <c r="E427" s="650"/>
      <c r="F427" s="650"/>
      <c r="G427" s="651"/>
      <c r="H427" s="652">
        <v>0.37341772151898733</v>
      </c>
      <c r="I427" s="633">
        <v>6.83</v>
      </c>
      <c r="J427" s="653">
        <v>20</v>
      </c>
      <c r="K427" s="653">
        <f t="shared" si="253"/>
        <v>80.59</v>
      </c>
      <c r="L427" s="633">
        <f t="shared" si="254"/>
        <v>19.414131000000001</v>
      </c>
      <c r="M427" s="634">
        <f t="shared" si="255"/>
        <v>100</v>
      </c>
      <c r="N427" s="654"/>
      <c r="O427" s="633"/>
      <c r="P427" s="653"/>
      <c r="Q427" s="653"/>
      <c r="R427" s="633"/>
      <c r="S427" s="634"/>
    </row>
    <row r="428" spans="1:19" x14ac:dyDescent="0.25">
      <c r="A428" s="648" t="s">
        <v>22</v>
      </c>
      <c r="B428" s="649"/>
      <c r="C428" s="650"/>
      <c r="D428" s="650"/>
      <c r="E428" s="650"/>
      <c r="F428" s="650"/>
      <c r="G428" s="651"/>
      <c r="H428" s="652">
        <v>0.379746835443038</v>
      </c>
      <c r="I428" s="633">
        <v>6.83</v>
      </c>
      <c r="J428" s="653">
        <v>20</v>
      </c>
      <c r="K428" s="653">
        <f t="shared" si="253"/>
        <v>81.96</v>
      </c>
      <c r="L428" s="633">
        <f t="shared" si="254"/>
        <v>19.744163999999998</v>
      </c>
      <c r="M428" s="634">
        <f t="shared" si="255"/>
        <v>101.7</v>
      </c>
      <c r="N428" s="654"/>
      <c r="O428" s="633"/>
      <c r="P428" s="653"/>
      <c r="Q428" s="653"/>
      <c r="R428" s="633"/>
      <c r="S428" s="634"/>
    </row>
    <row r="429" spans="1:19" x14ac:dyDescent="0.25">
      <c r="A429" s="648" t="s">
        <v>22</v>
      </c>
      <c r="B429" s="649"/>
      <c r="C429" s="650"/>
      <c r="D429" s="650"/>
      <c r="E429" s="650"/>
      <c r="F429" s="650"/>
      <c r="G429" s="651"/>
      <c r="H429" s="652">
        <v>0.32278481012658228</v>
      </c>
      <c r="I429" s="633">
        <v>7.52</v>
      </c>
      <c r="J429" s="653">
        <v>20</v>
      </c>
      <c r="K429" s="653">
        <f t="shared" si="253"/>
        <v>76.7</v>
      </c>
      <c r="L429" s="633">
        <f t="shared" si="254"/>
        <v>18.477029999999999</v>
      </c>
      <c r="M429" s="634">
        <f t="shared" si="255"/>
        <v>95.18</v>
      </c>
      <c r="N429" s="654"/>
      <c r="O429" s="633"/>
      <c r="P429" s="653"/>
      <c r="Q429" s="653"/>
      <c r="R429" s="633"/>
      <c r="S429" s="634"/>
    </row>
    <row r="430" spans="1:19" x14ac:dyDescent="0.25">
      <c r="A430" s="648" t="s">
        <v>22</v>
      </c>
      <c r="B430" s="649"/>
      <c r="C430" s="650"/>
      <c r="D430" s="650"/>
      <c r="E430" s="650"/>
      <c r="F430" s="650"/>
      <c r="G430" s="651"/>
      <c r="H430" s="652">
        <v>0.63291139240506333</v>
      </c>
      <c r="I430" s="633">
        <v>6.83</v>
      </c>
      <c r="J430" s="653">
        <v>20</v>
      </c>
      <c r="K430" s="653">
        <f t="shared" si="253"/>
        <v>136.6</v>
      </c>
      <c r="L430" s="633">
        <f t="shared" si="254"/>
        <v>32.906939999999999</v>
      </c>
      <c r="M430" s="634">
        <f t="shared" si="255"/>
        <v>169.51</v>
      </c>
      <c r="N430" s="654"/>
      <c r="O430" s="633"/>
      <c r="P430" s="653"/>
      <c r="Q430" s="653"/>
      <c r="R430" s="633"/>
      <c r="S430" s="634"/>
    </row>
    <row r="431" spans="1:19" x14ac:dyDescent="0.25">
      <c r="A431" s="648" t="s">
        <v>22</v>
      </c>
      <c r="B431" s="649"/>
      <c r="C431" s="650"/>
      <c r="D431" s="650"/>
      <c r="E431" s="650"/>
      <c r="F431" s="650"/>
      <c r="G431" s="651"/>
      <c r="H431" s="652">
        <v>0.22784810126582278</v>
      </c>
      <c r="I431" s="633">
        <v>6.83</v>
      </c>
      <c r="J431" s="653">
        <v>20</v>
      </c>
      <c r="K431" s="653">
        <f t="shared" si="253"/>
        <v>49.18</v>
      </c>
      <c r="L431" s="633">
        <f t="shared" si="254"/>
        <v>11.847462</v>
      </c>
      <c r="M431" s="634">
        <f t="shared" si="255"/>
        <v>61.03</v>
      </c>
      <c r="N431" s="654"/>
      <c r="O431" s="633"/>
      <c r="P431" s="653"/>
      <c r="Q431" s="653"/>
      <c r="R431" s="633"/>
      <c r="S431" s="634"/>
    </row>
    <row r="432" spans="1:19" x14ac:dyDescent="0.25">
      <c r="A432" s="648" t="s">
        <v>22</v>
      </c>
      <c r="B432" s="649"/>
      <c r="C432" s="650"/>
      <c r="D432" s="650"/>
      <c r="E432" s="650"/>
      <c r="F432" s="650"/>
      <c r="G432" s="651"/>
      <c r="H432" s="652">
        <v>0.37341772151898733</v>
      </c>
      <c r="I432" s="633">
        <v>6.83</v>
      </c>
      <c r="J432" s="653">
        <v>20</v>
      </c>
      <c r="K432" s="653">
        <f t="shared" si="253"/>
        <v>80.59</v>
      </c>
      <c r="L432" s="633">
        <f t="shared" si="254"/>
        <v>19.414131000000001</v>
      </c>
      <c r="M432" s="634">
        <f t="shared" si="255"/>
        <v>100</v>
      </c>
      <c r="N432" s="654"/>
      <c r="O432" s="633"/>
      <c r="P432" s="653"/>
      <c r="Q432" s="653"/>
      <c r="R432" s="633"/>
      <c r="S432" s="634"/>
    </row>
    <row r="433" spans="1:19" x14ac:dyDescent="0.25">
      <c r="A433" s="648" t="s">
        <v>22</v>
      </c>
      <c r="B433" s="649"/>
      <c r="C433" s="650"/>
      <c r="D433" s="650"/>
      <c r="E433" s="650"/>
      <c r="F433" s="650"/>
      <c r="G433" s="651"/>
      <c r="H433" s="652">
        <v>0.80379746835443033</v>
      </c>
      <c r="I433" s="633">
        <v>6.83</v>
      </c>
      <c r="J433" s="653">
        <v>20</v>
      </c>
      <c r="K433" s="653">
        <f t="shared" si="253"/>
        <v>173.48</v>
      </c>
      <c r="L433" s="633">
        <f t="shared" si="254"/>
        <v>41.791331999999997</v>
      </c>
      <c r="M433" s="634">
        <f t="shared" si="255"/>
        <v>215.27</v>
      </c>
      <c r="N433" s="654"/>
      <c r="O433" s="633"/>
      <c r="P433" s="653"/>
      <c r="Q433" s="653"/>
      <c r="R433" s="633"/>
      <c r="S433" s="634"/>
    </row>
    <row r="434" spans="1:19" ht="15.75" thickBot="1" x14ac:dyDescent="0.3">
      <c r="A434" s="666" t="s">
        <v>22</v>
      </c>
      <c r="B434" s="656"/>
      <c r="C434" s="631"/>
      <c r="D434" s="631"/>
      <c r="E434" s="631"/>
      <c r="F434" s="631"/>
      <c r="G434" s="657"/>
      <c r="H434" s="658">
        <v>0.15189873417721519</v>
      </c>
      <c r="I434" s="632">
        <v>6.83</v>
      </c>
      <c r="J434" s="636">
        <v>20</v>
      </c>
      <c r="K434" s="636">
        <f t="shared" si="253"/>
        <v>32.78</v>
      </c>
      <c r="L434" s="632">
        <f t="shared" si="254"/>
        <v>7.8967020000000003</v>
      </c>
      <c r="M434" s="637">
        <f t="shared" si="255"/>
        <v>40.68</v>
      </c>
      <c r="N434" s="635"/>
      <c r="O434" s="632"/>
      <c r="P434" s="636"/>
      <c r="Q434" s="636"/>
      <c r="R434" s="632"/>
      <c r="S434" s="637"/>
    </row>
    <row r="435" spans="1:19" ht="15.75" thickBot="1" x14ac:dyDescent="0.3">
      <c r="A435" s="668" t="s">
        <v>729</v>
      </c>
      <c r="B435" s="661">
        <f>B436</f>
        <v>0</v>
      </c>
      <c r="C435" s="659"/>
      <c r="D435" s="659"/>
      <c r="E435" s="659">
        <f>E436</f>
        <v>0</v>
      </c>
      <c r="F435" s="659">
        <f t="shared" ref="F435:G435" si="258">F436</f>
        <v>0</v>
      </c>
      <c r="G435" s="659">
        <f t="shared" si="258"/>
        <v>0</v>
      </c>
      <c r="H435" s="661">
        <f>H436</f>
        <v>0.53164556962025311</v>
      </c>
      <c r="I435" s="659"/>
      <c r="J435" s="659"/>
      <c r="K435" s="659">
        <f>K436</f>
        <v>70.56</v>
      </c>
      <c r="L435" s="659">
        <f t="shared" ref="L435:M435" si="259">L436</f>
        <v>16.997903999999998</v>
      </c>
      <c r="M435" s="659">
        <f t="shared" si="259"/>
        <v>87.56</v>
      </c>
      <c r="N435" s="661"/>
      <c r="O435" s="659"/>
      <c r="P435" s="659"/>
      <c r="Q435" s="659"/>
      <c r="R435" s="659"/>
      <c r="S435" s="662"/>
    </row>
    <row r="436" spans="1:19" ht="25.5" x14ac:dyDescent="0.25">
      <c r="A436" s="663" t="s">
        <v>11</v>
      </c>
      <c r="B436" s="625">
        <f>SUM(B437:B438)</f>
        <v>0</v>
      </c>
      <c r="C436" s="626"/>
      <c r="D436" s="626"/>
      <c r="E436" s="626">
        <f>SUM(E437:E438)</f>
        <v>0</v>
      </c>
      <c r="F436" s="626">
        <f t="shared" ref="F436:G436" si="260">SUM(F437:F438)</f>
        <v>0</v>
      </c>
      <c r="G436" s="626">
        <f t="shared" si="260"/>
        <v>0</v>
      </c>
      <c r="H436" s="625">
        <f>SUM(H437:H438)</f>
        <v>0.53164556962025311</v>
      </c>
      <c r="I436" s="626"/>
      <c r="J436" s="626"/>
      <c r="K436" s="626">
        <f>SUM(K437:K438)</f>
        <v>70.56</v>
      </c>
      <c r="L436" s="626">
        <f t="shared" ref="L436:M436" si="261">SUM(L437:L438)</f>
        <v>16.997903999999998</v>
      </c>
      <c r="M436" s="626">
        <f t="shared" si="261"/>
        <v>87.56</v>
      </c>
      <c r="N436" s="625"/>
      <c r="O436" s="626"/>
      <c r="P436" s="626"/>
      <c r="Q436" s="626"/>
      <c r="R436" s="626"/>
      <c r="S436" s="627"/>
    </row>
    <row r="437" spans="1:19" x14ac:dyDescent="0.25">
      <c r="A437" s="648" t="s">
        <v>162</v>
      </c>
      <c r="B437" s="649"/>
      <c r="C437" s="650"/>
      <c r="D437" s="650"/>
      <c r="E437" s="650"/>
      <c r="F437" s="650"/>
      <c r="G437" s="651"/>
      <c r="H437" s="652">
        <f>43/158</f>
        <v>0.27215189873417722</v>
      </c>
      <c r="I437" s="633">
        <v>4.2</v>
      </c>
      <c r="J437" s="653">
        <v>20</v>
      </c>
      <c r="K437" s="653">
        <f t="shared" ref="K437:K438" si="262">ROUND(I437*158*H437*0.2,2)</f>
        <v>36.119999999999997</v>
      </c>
      <c r="L437" s="633">
        <f t="shared" ref="L437:L438" si="263">K437*0.2409</f>
        <v>8.7013079999999992</v>
      </c>
      <c r="M437" s="634">
        <f t="shared" ref="M437:M438" si="264">ROUND(SUM(K437:L437),2)</f>
        <v>44.82</v>
      </c>
      <c r="N437" s="654"/>
      <c r="O437" s="633"/>
      <c r="P437" s="653"/>
      <c r="Q437" s="653"/>
      <c r="R437" s="633"/>
      <c r="S437" s="634"/>
    </row>
    <row r="438" spans="1:19" ht="15.75" thickBot="1" x14ac:dyDescent="0.3">
      <c r="A438" s="666" t="s">
        <v>162</v>
      </c>
      <c r="B438" s="656"/>
      <c r="C438" s="631"/>
      <c r="D438" s="631"/>
      <c r="E438" s="631"/>
      <c r="F438" s="631"/>
      <c r="G438" s="657"/>
      <c r="H438" s="658">
        <f>41/158</f>
        <v>0.25949367088607594</v>
      </c>
      <c r="I438" s="632">
        <v>4.2</v>
      </c>
      <c r="J438" s="636">
        <v>20</v>
      </c>
      <c r="K438" s="636">
        <f t="shared" si="262"/>
        <v>34.44</v>
      </c>
      <c r="L438" s="632">
        <f t="shared" si="263"/>
        <v>8.2965959999999992</v>
      </c>
      <c r="M438" s="637">
        <f t="shared" si="264"/>
        <v>42.74</v>
      </c>
      <c r="N438" s="635"/>
      <c r="O438" s="632"/>
      <c r="P438" s="636"/>
      <c r="Q438" s="636"/>
      <c r="R438" s="632"/>
      <c r="S438" s="637"/>
    </row>
    <row r="439" spans="1:19" ht="15.75" thickBot="1" x14ac:dyDescent="0.3">
      <c r="A439" s="668" t="s">
        <v>740</v>
      </c>
      <c r="B439" s="661">
        <f>B440</f>
        <v>3.8238636363636367</v>
      </c>
      <c r="C439" s="659"/>
      <c r="D439" s="659"/>
      <c r="E439" s="659">
        <f>E440</f>
        <v>1008.75</v>
      </c>
      <c r="F439" s="659">
        <f t="shared" ref="F439:G439" si="265">F440</f>
        <v>243.00787500000001</v>
      </c>
      <c r="G439" s="659">
        <f t="shared" si="265"/>
        <v>1251.75</v>
      </c>
      <c r="H439" s="661">
        <f>H440</f>
        <v>5.037974683544304</v>
      </c>
      <c r="I439" s="659"/>
      <c r="J439" s="659"/>
      <c r="K439" s="659">
        <f>K440</f>
        <v>796</v>
      </c>
      <c r="L439" s="659">
        <f t="shared" ref="L439:M439" si="266">L440</f>
        <v>191.75639999999999</v>
      </c>
      <c r="M439" s="659">
        <f t="shared" si="266"/>
        <v>987.76</v>
      </c>
      <c r="N439" s="661"/>
      <c r="O439" s="659"/>
      <c r="P439" s="659"/>
      <c r="Q439" s="659"/>
      <c r="R439" s="659"/>
      <c r="S439" s="662"/>
    </row>
    <row r="440" spans="1:19" ht="25.5" x14ac:dyDescent="0.25">
      <c r="A440" s="663" t="s">
        <v>11</v>
      </c>
      <c r="B440" s="625">
        <f>SUM(B441:B446)</f>
        <v>3.8238636363636367</v>
      </c>
      <c r="C440" s="626"/>
      <c r="D440" s="626"/>
      <c r="E440" s="626">
        <f>SUM(E441:E446)</f>
        <v>1008.75</v>
      </c>
      <c r="F440" s="626">
        <f t="shared" ref="F440:G440" si="267">SUM(F441:F446)</f>
        <v>243.00787500000001</v>
      </c>
      <c r="G440" s="626">
        <f t="shared" si="267"/>
        <v>1251.75</v>
      </c>
      <c r="H440" s="625">
        <f>SUM(H441:H446)</f>
        <v>5.037974683544304</v>
      </c>
      <c r="I440" s="626"/>
      <c r="J440" s="626"/>
      <c r="K440" s="626">
        <f>SUM(K441:K446)</f>
        <v>796</v>
      </c>
      <c r="L440" s="626">
        <f t="shared" ref="L440:M440" si="268">SUM(L441:L446)</f>
        <v>191.75639999999999</v>
      </c>
      <c r="M440" s="626">
        <f t="shared" si="268"/>
        <v>987.76</v>
      </c>
      <c r="N440" s="625"/>
      <c r="O440" s="626"/>
      <c r="P440" s="626"/>
      <c r="Q440" s="626"/>
      <c r="R440" s="626"/>
      <c r="S440" s="627"/>
    </row>
    <row r="441" spans="1:19" x14ac:dyDescent="0.25">
      <c r="A441" s="648" t="s">
        <v>731</v>
      </c>
      <c r="B441" s="675">
        <f>99/176</f>
        <v>0.5625</v>
      </c>
      <c r="C441" s="650">
        <v>5</v>
      </c>
      <c r="D441" s="650">
        <v>30</v>
      </c>
      <c r="E441" s="653">
        <f t="shared" ref="E441:E446" si="269">ROUND(C441*176*B441*0.3,2)</f>
        <v>148.5</v>
      </c>
      <c r="F441" s="633">
        <f t="shared" ref="F441:F446" si="270">E441*0.2409</f>
        <v>35.773650000000004</v>
      </c>
      <c r="G441" s="634">
        <f t="shared" ref="G441" si="271">ROUND(SUM(E441:F441),2)</f>
        <v>184.27</v>
      </c>
      <c r="H441" s="654">
        <v>1</v>
      </c>
      <c r="I441" s="633">
        <v>4.5</v>
      </c>
      <c r="J441" s="653">
        <v>20</v>
      </c>
      <c r="K441" s="653">
        <f t="shared" ref="K441" si="272">ROUND(I441*158*H441*0.2,2)</f>
        <v>142.19999999999999</v>
      </c>
      <c r="L441" s="633">
        <f t="shared" ref="L441:L446" si="273">K441*0.2409</f>
        <v>34.255980000000001</v>
      </c>
      <c r="M441" s="634">
        <f t="shared" ref="M441" si="274">ROUND(SUM(K441:L441),2)</f>
        <v>176.46</v>
      </c>
      <c r="N441" s="654"/>
      <c r="O441" s="633"/>
      <c r="P441" s="653"/>
      <c r="Q441" s="653"/>
      <c r="R441" s="633"/>
      <c r="S441" s="634"/>
    </row>
    <row r="442" spans="1:19" x14ac:dyDescent="0.25">
      <c r="A442" s="648" t="s">
        <v>731</v>
      </c>
      <c r="B442" s="675">
        <f>113/176</f>
        <v>0.64204545454545459</v>
      </c>
      <c r="C442" s="650">
        <v>4.5</v>
      </c>
      <c r="D442" s="650">
        <v>30</v>
      </c>
      <c r="E442" s="653">
        <f t="shared" si="269"/>
        <v>152.55000000000001</v>
      </c>
      <c r="F442" s="633">
        <f t="shared" si="270"/>
        <v>36.749295000000004</v>
      </c>
      <c r="G442" s="634">
        <f t="shared" ref="G442:G446" si="275">ROUND(SUM(E442:F442),2)</f>
        <v>189.3</v>
      </c>
      <c r="H442" s="654"/>
      <c r="I442" s="633"/>
      <c r="J442" s="653"/>
      <c r="K442" s="653"/>
      <c r="L442" s="633"/>
      <c r="M442" s="634"/>
      <c r="N442" s="654"/>
      <c r="O442" s="633"/>
      <c r="P442" s="653"/>
      <c r="Q442" s="653"/>
      <c r="R442" s="633"/>
      <c r="S442" s="634"/>
    </row>
    <row r="443" spans="1:19" x14ac:dyDescent="0.25">
      <c r="A443" s="648" t="s">
        <v>580</v>
      </c>
      <c r="B443" s="675">
        <f>112/176</f>
        <v>0.63636363636363635</v>
      </c>
      <c r="C443" s="650">
        <v>5</v>
      </c>
      <c r="D443" s="650">
        <v>30</v>
      </c>
      <c r="E443" s="653">
        <f t="shared" si="269"/>
        <v>168</v>
      </c>
      <c r="F443" s="633">
        <f t="shared" si="270"/>
        <v>40.471200000000003</v>
      </c>
      <c r="G443" s="634">
        <f t="shared" si="275"/>
        <v>208.47</v>
      </c>
      <c r="H443" s="654">
        <v>1</v>
      </c>
      <c r="I443" s="633">
        <v>5</v>
      </c>
      <c r="J443" s="653">
        <v>20</v>
      </c>
      <c r="K443" s="653">
        <f t="shared" ref="K443:K446" si="276">ROUND(I443*158*H443*0.2,2)</f>
        <v>158</v>
      </c>
      <c r="L443" s="633">
        <f t="shared" si="273"/>
        <v>38.062199999999997</v>
      </c>
      <c r="M443" s="634">
        <f t="shared" ref="M443:M446" si="277">ROUND(SUM(K443:L443),2)</f>
        <v>196.06</v>
      </c>
      <c r="N443" s="654"/>
      <c r="O443" s="633"/>
      <c r="P443" s="653"/>
      <c r="Q443" s="653"/>
      <c r="R443" s="633"/>
      <c r="S443" s="634"/>
    </row>
    <row r="444" spans="1:19" x14ac:dyDescent="0.25">
      <c r="A444" s="648" t="s">
        <v>580</v>
      </c>
      <c r="B444" s="675">
        <f>119/176</f>
        <v>0.67613636363636365</v>
      </c>
      <c r="C444" s="650">
        <v>5</v>
      </c>
      <c r="D444" s="650">
        <v>30</v>
      </c>
      <c r="E444" s="653">
        <f t="shared" si="269"/>
        <v>178.5</v>
      </c>
      <c r="F444" s="633">
        <f t="shared" si="270"/>
        <v>43.00065</v>
      </c>
      <c r="G444" s="634">
        <f t="shared" si="275"/>
        <v>221.5</v>
      </c>
      <c r="H444" s="652">
        <f>156/158</f>
        <v>0.98734177215189878</v>
      </c>
      <c r="I444" s="633">
        <v>5</v>
      </c>
      <c r="J444" s="653">
        <v>20</v>
      </c>
      <c r="K444" s="653">
        <f t="shared" si="276"/>
        <v>156</v>
      </c>
      <c r="L444" s="633">
        <f t="shared" si="273"/>
        <v>37.580399999999997</v>
      </c>
      <c r="M444" s="634">
        <f t="shared" si="277"/>
        <v>193.58</v>
      </c>
      <c r="N444" s="654"/>
      <c r="O444" s="633"/>
      <c r="P444" s="653"/>
      <c r="Q444" s="653"/>
      <c r="R444" s="633"/>
      <c r="S444" s="634"/>
    </row>
    <row r="445" spans="1:19" x14ac:dyDescent="0.25">
      <c r="A445" s="648" t="s">
        <v>580</v>
      </c>
      <c r="B445" s="675">
        <f>122/176</f>
        <v>0.69318181818181823</v>
      </c>
      <c r="C445" s="650">
        <v>5</v>
      </c>
      <c r="D445" s="650">
        <v>30</v>
      </c>
      <c r="E445" s="653">
        <f t="shared" si="269"/>
        <v>183</v>
      </c>
      <c r="F445" s="633">
        <f t="shared" si="270"/>
        <v>44.084699999999998</v>
      </c>
      <c r="G445" s="634">
        <f t="shared" si="275"/>
        <v>227.08</v>
      </c>
      <c r="H445" s="652">
        <f>166/158</f>
        <v>1.0506329113924051</v>
      </c>
      <c r="I445" s="633">
        <v>5</v>
      </c>
      <c r="J445" s="653">
        <v>20</v>
      </c>
      <c r="K445" s="653">
        <f t="shared" si="276"/>
        <v>166</v>
      </c>
      <c r="L445" s="633">
        <f t="shared" si="273"/>
        <v>39.989400000000003</v>
      </c>
      <c r="M445" s="634">
        <f t="shared" si="277"/>
        <v>205.99</v>
      </c>
      <c r="N445" s="654"/>
      <c r="O445" s="633"/>
      <c r="P445" s="653"/>
      <c r="Q445" s="653"/>
      <c r="R445" s="633"/>
      <c r="S445" s="634"/>
    </row>
    <row r="446" spans="1:19" ht="15.75" thickBot="1" x14ac:dyDescent="0.3">
      <c r="A446" s="666" t="s">
        <v>730</v>
      </c>
      <c r="B446" s="630">
        <f>108/176</f>
        <v>0.61363636363636365</v>
      </c>
      <c r="C446" s="631">
        <v>5.5</v>
      </c>
      <c r="D446" s="631">
        <v>30</v>
      </c>
      <c r="E446" s="653">
        <f t="shared" si="269"/>
        <v>178.2</v>
      </c>
      <c r="F446" s="633">
        <f t="shared" si="270"/>
        <v>42.928379999999997</v>
      </c>
      <c r="G446" s="634">
        <f t="shared" si="275"/>
        <v>221.13</v>
      </c>
      <c r="H446" s="635">
        <v>1</v>
      </c>
      <c r="I446" s="632">
        <v>5.5</v>
      </c>
      <c r="J446" s="636">
        <v>20</v>
      </c>
      <c r="K446" s="636">
        <f t="shared" si="276"/>
        <v>173.8</v>
      </c>
      <c r="L446" s="632">
        <f t="shared" si="273"/>
        <v>41.86842</v>
      </c>
      <c r="M446" s="637">
        <f t="shared" si="277"/>
        <v>215.67</v>
      </c>
      <c r="N446" s="635"/>
      <c r="O446" s="632"/>
      <c r="P446" s="636"/>
      <c r="Q446" s="636"/>
      <c r="R446" s="632"/>
      <c r="S446" s="637"/>
    </row>
    <row r="447" spans="1:19" ht="15.75" thickBot="1" x14ac:dyDescent="0.3">
      <c r="A447" s="668" t="s">
        <v>741</v>
      </c>
      <c r="B447" s="661">
        <f>B448</f>
        <v>2.3013699999999999</v>
      </c>
      <c r="C447" s="659"/>
      <c r="D447" s="659"/>
      <c r="E447" s="659">
        <f>E448</f>
        <v>414.53000000000003</v>
      </c>
      <c r="F447" s="659">
        <f t="shared" ref="F447:G447" si="278">F448</f>
        <v>99.860276999999996</v>
      </c>
      <c r="G447" s="659">
        <f t="shared" si="278"/>
        <v>514.39</v>
      </c>
      <c r="H447" s="661">
        <f>H448</f>
        <v>8.8037974683544302</v>
      </c>
      <c r="I447" s="659"/>
      <c r="J447" s="659"/>
      <c r="K447" s="659">
        <f>K448</f>
        <v>972.77</v>
      </c>
      <c r="L447" s="659">
        <f t="shared" ref="L447:M447" si="279">L448</f>
        <v>234.34029299999997</v>
      </c>
      <c r="M447" s="659">
        <f t="shared" si="279"/>
        <v>1207.0999999999999</v>
      </c>
      <c r="N447" s="661"/>
      <c r="O447" s="659"/>
      <c r="P447" s="659"/>
      <c r="Q447" s="659"/>
      <c r="R447" s="659"/>
      <c r="S447" s="662"/>
    </row>
    <row r="448" spans="1:19" ht="25.5" x14ac:dyDescent="0.25">
      <c r="A448" s="663" t="s">
        <v>11</v>
      </c>
      <c r="B448" s="625">
        <f>SUM(B449:B459)</f>
        <v>2.3013699999999999</v>
      </c>
      <c r="C448" s="626"/>
      <c r="D448" s="626"/>
      <c r="E448" s="626">
        <f>SUM(E449:E459)</f>
        <v>414.53000000000003</v>
      </c>
      <c r="F448" s="626">
        <f t="shared" ref="F448:G448" si="280">SUM(F449:F459)</f>
        <v>99.860276999999996</v>
      </c>
      <c r="G448" s="626">
        <f t="shared" si="280"/>
        <v>514.39</v>
      </c>
      <c r="H448" s="625">
        <f>SUM(H449:H459)</f>
        <v>8.8037974683544302</v>
      </c>
      <c r="I448" s="626"/>
      <c r="J448" s="626"/>
      <c r="K448" s="626">
        <f>SUM(K449:K459)</f>
        <v>972.77</v>
      </c>
      <c r="L448" s="626">
        <f t="shared" ref="L448:M448" si="281">SUM(L449:L459)</f>
        <v>234.34029299999997</v>
      </c>
      <c r="M448" s="626">
        <f t="shared" si="281"/>
        <v>1207.0999999999999</v>
      </c>
      <c r="N448" s="625"/>
      <c r="O448" s="626"/>
      <c r="P448" s="626"/>
      <c r="Q448" s="626"/>
      <c r="R448" s="626"/>
      <c r="S448" s="627"/>
    </row>
    <row r="449" spans="1:20" x14ac:dyDescent="0.25">
      <c r="A449" s="648" t="s">
        <v>733</v>
      </c>
      <c r="B449" s="675">
        <v>0.23887</v>
      </c>
      <c r="C449" s="650">
        <v>800</v>
      </c>
      <c r="D449" s="650">
        <v>30</v>
      </c>
      <c r="E449" s="633">
        <f>ROUND(B449*C449*0.3,2)</f>
        <v>57.33</v>
      </c>
      <c r="F449" s="633">
        <f t="shared" ref="F449" si="282">E449*0.2409</f>
        <v>13.810796999999999</v>
      </c>
      <c r="G449" s="634">
        <f t="shared" ref="G449" si="283">ROUND(SUM(E449:F449),2)</f>
        <v>71.14</v>
      </c>
      <c r="H449" s="652">
        <f>150/158</f>
        <v>0.94936708860759489</v>
      </c>
      <c r="I449" s="633">
        <v>800</v>
      </c>
      <c r="J449" s="653">
        <v>20</v>
      </c>
      <c r="K449" s="653">
        <f>ROUND(H449*I449*0.2,2)</f>
        <v>151.9</v>
      </c>
      <c r="L449" s="633">
        <f t="shared" ref="L449:L459" si="284">K449*0.2409</f>
        <v>36.592710000000004</v>
      </c>
      <c r="M449" s="634">
        <f t="shared" ref="M449:M459" si="285">ROUND(SUM(K449:L449),2)</f>
        <v>188.49</v>
      </c>
      <c r="N449" s="654"/>
      <c r="O449" s="633"/>
      <c r="P449" s="653"/>
      <c r="Q449" s="653"/>
      <c r="R449" s="633"/>
      <c r="S449" s="634"/>
    </row>
    <row r="450" spans="1:20" x14ac:dyDescent="0.25">
      <c r="A450" s="648" t="s">
        <v>733</v>
      </c>
      <c r="B450" s="649"/>
      <c r="C450" s="683"/>
      <c r="D450" s="650"/>
      <c r="E450" s="650"/>
      <c r="F450" s="650"/>
      <c r="G450" s="651"/>
      <c r="H450" s="652">
        <f>19/158</f>
        <v>0.12025316455696203</v>
      </c>
      <c r="I450" s="633">
        <v>800</v>
      </c>
      <c r="J450" s="653">
        <v>20</v>
      </c>
      <c r="K450" s="653">
        <f>ROUND(H450*I450*0.2,2)</f>
        <v>19.239999999999998</v>
      </c>
      <c r="L450" s="633">
        <f t="shared" si="284"/>
        <v>4.6349159999999996</v>
      </c>
      <c r="M450" s="634">
        <f t="shared" si="285"/>
        <v>23.87</v>
      </c>
      <c r="N450" s="654"/>
      <c r="O450" s="633"/>
      <c r="P450" s="653"/>
      <c r="Q450" s="653"/>
      <c r="R450" s="633"/>
      <c r="S450" s="634"/>
    </row>
    <row r="451" spans="1:20" x14ac:dyDescent="0.25">
      <c r="A451" s="648" t="s">
        <v>732</v>
      </c>
      <c r="B451" s="675">
        <f>91.5/176</f>
        <v>0.51988636363636365</v>
      </c>
      <c r="C451" s="650">
        <v>3.28</v>
      </c>
      <c r="D451" s="650">
        <v>30</v>
      </c>
      <c r="E451" s="653">
        <f t="shared" ref="E451:E455" si="286">ROUND(C451*176*B451*0.3,2)</f>
        <v>90.04</v>
      </c>
      <c r="F451" s="633">
        <f t="shared" ref="F451:F455" si="287">E451*0.2409</f>
        <v>21.690636000000001</v>
      </c>
      <c r="G451" s="634">
        <f t="shared" ref="G451:G455" si="288">ROUND(SUM(E451:F451),2)</f>
        <v>111.73</v>
      </c>
      <c r="H451" s="652">
        <v>1.1455696202531647</v>
      </c>
      <c r="I451" s="633">
        <v>3.28</v>
      </c>
      <c r="J451" s="653">
        <v>20</v>
      </c>
      <c r="K451" s="653">
        <f t="shared" ref="K451:K459" si="289">ROUND(I451*158*H451*0.2,2)</f>
        <v>118.74</v>
      </c>
      <c r="L451" s="633">
        <f t="shared" si="284"/>
        <v>28.604465999999999</v>
      </c>
      <c r="M451" s="634">
        <f t="shared" si="285"/>
        <v>147.34</v>
      </c>
      <c r="N451" s="654"/>
      <c r="O451" s="633"/>
      <c r="P451" s="653"/>
      <c r="Q451" s="653"/>
      <c r="R451" s="633"/>
      <c r="S451" s="634"/>
    </row>
    <row r="452" spans="1:20" x14ac:dyDescent="0.25">
      <c r="A452" s="648" t="s">
        <v>732</v>
      </c>
      <c r="B452" s="675">
        <f>103.5/176</f>
        <v>0.58806818181818177</v>
      </c>
      <c r="C452" s="650">
        <v>3.28</v>
      </c>
      <c r="D452" s="650">
        <v>30</v>
      </c>
      <c r="E452" s="653">
        <f t="shared" si="286"/>
        <v>101.84</v>
      </c>
      <c r="F452" s="633">
        <f t="shared" si="287"/>
        <v>24.533256000000002</v>
      </c>
      <c r="G452" s="634">
        <f t="shared" si="288"/>
        <v>126.37</v>
      </c>
      <c r="H452" s="697">
        <v>1</v>
      </c>
      <c r="I452" s="633">
        <v>3.28</v>
      </c>
      <c r="J452" s="653">
        <v>20</v>
      </c>
      <c r="K452" s="653">
        <f t="shared" si="289"/>
        <v>103.65</v>
      </c>
      <c r="L452" s="633">
        <f t="shared" si="284"/>
        <v>24.969285000000003</v>
      </c>
      <c r="M452" s="634">
        <f t="shared" si="285"/>
        <v>128.62</v>
      </c>
      <c r="N452" s="654"/>
      <c r="O452" s="633"/>
      <c r="P452" s="653"/>
      <c r="Q452" s="653"/>
      <c r="R452" s="633"/>
      <c r="S452" s="634"/>
    </row>
    <row r="453" spans="1:20" x14ac:dyDescent="0.25">
      <c r="A453" s="648" t="s">
        <v>732</v>
      </c>
      <c r="B453" s="675">
        <f>89/176</f>
        <v>0.50568181818181823</v>
      </c>
      <c r="C453" s="650">
        <v>3.28</v>
      </c>
      <c r="D453" s="650">
        <v>30</v>
      </c>
      <c r="E453" s="653">
        <f t="shared" si="286"/>
        <v>87.58</v>
      </c>
      <c r="F453" s="633">
        <f t="shared" si="287"/>
        <v>21.098022</v>
      </c>
      <c r="G453" s="634">
        <f t="shared" si="288"/>
        <v>108.68</v>
      </c>
      <c r="H453" s="652">
        <v>0.43670886075949367</v>
      </c>
      <c r="I453" s="633">
        <v>3.28</v>
      </c>
      <c r="J453" s="653">
        <v>20</v>
      </c>
      <c r="K453" s="653">
        <f t="shared" si="289"/>
        <v>45.26</v>
      </c>
      <c r="L453" s="633">
        <f t="shared" si="284"/>
        <v>10.903134</v>
      </c>
      <c r="M453" s="634">
        <f t="shared" si="285"/>
        <v>56.16</v>
      </c>
      <c r="N453" s="654"/>
      <c r="O453" s="633"/>
      <c r="P453" s="653"/>
      <c r="Q453" s="653"/>
      <c r="R453" s="633"/>
      <c r="S453" s="634"/>
    </row>
    <row r="454" spans="1:20" x14ac:dyDescent="0.25">
      <c r="A454" s="648" t="s">
        <v>732</v>
      </c>
      <c r="B454" s="675">
        <f>15/176</f>
        <v>8.5227272727272721E-2</v>
      </c>
      <c r="C454" s="650">
        <v>3.28</v>
      </c>
      <c r="D454" s="650">
        <v>30</v>
      </c>
      <c r="E454" s="653">
        <f t="shared" si="286"/>
        <v>14.76</v>
      </c>
      <c r="F454" s="633">
        <f t="shared" si="287"/>
        <v>3.5556839999999998</v>
      </c>
      <c r="G454" s="634">
        <f t="shared" si="288"/>
        <v>18.32</v>
      </c>
      <c r="H454" s="652">
        <v>1.0632911392405062</v>
      </c>
      <c r="I454" s="633">
        <v>3.28</v>
      </c>
      <c r="J454" s="653">
        <v>20</v>
      </c>
      <c r="K454" s="653">
        <f t="shared" si="289"/>
        <v>110.21</v>
      </c>
      <c r="L454" s="633">
        <f t="shared" si="284"/>
        <v>26.549588999999997</v>
      </c>
      <c r="M454" s="634">
        <f t="shared" si="285"/>
        <v>136.76</v>
      </c>
      <c r="N454" s="654"/>
      <c r="O454" s="633"/>
      <c r="P454" s="653"/>
      <c r="Q454" s="653"/>
      <c r="R454" s="633"/>
      <c r="S454" s="634"/>
    </row>
    <row r="455" spans="1:20" x14ac:dyDescent="0.25">
      <c r="A455" s="648" t="s">
        <v>732</v>
      </c>
      <c r="B455" s="675">
        <f>64/176</f>
        <v>0.36363636363636365</v>
      </c>
      <c r="C455" s="650">
        <v>3.28</v>
      </c>
      <c r="D455" s="650">
        <v>30</v>
      </c>
      <c r="E455" s="653">
        <f t="shared" si="286"/>
        <v>62.98</v>
      </c>
      <c r="F455" s="633">
        <f t="shared" si="287"/>
        <v>15.171882</v>
      </c>
      <c r="G455" s="634">
        <f t="shared" si="288"/>
        <v>78.150000000000006</v>
      </c>
      <c r="H455" s="652">
        <v>0.62658227848101267</v>
      </c>
      <c r="I455" s="633">
        <v>3.28</v>
      </c>
      <c r="J455" s="653">
        <v>20</v>
      </c>
      <c r="K455" s="653">
        <f t="shared" si="289"/>
        <v>64.94</v>
      </c>
      <c r="L455" s="633">
        <f t="shared" si="284"/>
        <v>15.644045999999999</v>
      </c>
      <c r="M455" s="634">
        <f t="shared" si="285"/>
        <v>80.58</v>
      </c>
      <c r="N455" s="654"/>
      <c r="O455" s="633"/>
      <c r="P455" s="653"/>
      <c r="Q455" s="653"/>
      <c r="R455" s="633"/>
      <c r="S455" s="634"/>
    </row>
    <row r="456" spans="1:20" x14ac:dyDescent="0.25">
      <c r="A456" s="648" t="s">
        <v>732</v>
      </c>
      <c r="B456" s="649"/>
      <c r="C456" s="650"/>
      <c r="D456" s="650"/>
      <c r="E456" s="650"/>
      <c r="F456" s="650"/>
      <c r="G456" s="651"/>
      <c r="H456" s="652">
        <v>1.0411392405063291</v>
      </c>
      <c r="I456" s="633">
        <v>3.28</v>
      </c>
      <c r="J456" s="653">
        <v>20</v>
      </c>
      <c r="K456" s="653">
        <f t="shared" si="289"/>
        <v>107.91</v>
      </c>
      <c r="L456" s="633">
        <f t="shared" si="284"/>
        <v>25.995518999999998</v>
      </c>
      <c r="M456" s="634">
        <f t="shared" si="285"/>
        <v>133.91</v>
      </c>
      <c r="N456" s="654"/>
      <c r="O456" s="633"/>
      <c r="P456" s="653"/>
      <c r="Q456" s="653"/>
      <c r="R456" s="633"/>
      <c r="S456" s="634"/>
    </row>
    <row r="457" spans="1:20" x14ac:dyDescent="0.25">
      <c r="A457" s="648" t="s">
        <v>732</v>
      </c>
      <c r="B457" s="649"/>
      <c r="C457" s="650"/>
      <c r="D457" s="650"/>
      <c r="E457" s="650"/>
      <c r="F457" s="650"/>
      <c r="G457" s="651"/>
      <c r="H457" s="652">
        <v>0.87658227848101267</v>
      </c>
      <c r="I457" s="633">
        <v>3.28</v>
      </c>
      <c r="J457" s="653">
        <v>20</v>
      </c>
      <c r="K457" s="653">
        <f t="shared" si="289"/>
        <v>90.86</v>
      </c>
      <c r="L457" s="633">
        <f t="shared" si="284"/>
        <v>21.888173999999999</v>
      </c>
      <c r="M457" s="634">
        <f t="shared" si="285"/>
        <v>112.75</v>
      </c>
      <c r="N457" s="654"/>
      <c r="O457" s="633"/>
      <c r="P457" s="653"/>
      <c r="Q457" s="653"/>
      <c r="R457" s="633"/>
      <c r="S457" s="634"/>
    </row>
    <row r="458" spans="1:20" x14ac:dyDescent="0.25">
      <c r="A458" s="648" t="s">
        <v>732</v>
      </c>
      <c r="B458" s="649"/>
      <c r="C458" s="650"/>
      <c r="D458" s="650"/>
      <c r="E458" s="650"/>
      <c r="F458" s="650"/>
      <c r="G458" s="651"/>
      <c r="H458" s="652">
        <v>0.97468354430379744</v>
      </c>
      <c r="I458" s="633">
        <v>3.28</v>
      </c>
      <c r="J458" s="653">
        <v>20</v>
      </c>
      <c r="K458" s="653">
        <f t="shared" si="289"/>
        <v>101.02</v>
      </c>
      <c r="L458" s="633">
        <f t="shared" si="284"/>
        <v>24.335718</v>
      </c>
      <c r="M458" s="634">
        <f t="shared" si="285"/>
        <v>125.36</v>
      </c>
      <c r="N458" s="654"/>
      <c r="O458" s="633"/>
      <c r="P458" s="653"/>
      <c r="Q458" s="653"/>
      <c r="R458" s="633"/>
      <c r="S458" s="634"/>
    </row>
    <row r="459" spans="1:20" ht="15.75" thickBot="1" x14ac:dyDescent="0.3">
      <c r="A459" s="666" t="s">
        <v>732</v>
      </c>
      <c r="B459" s="656"/>
      <c r="C459" s="631"/>
      <c r="D459" s="631"/>
      <c r="E459" s="631"/>
      <c r="F459" s="631"/>
      <c r="G459" s="657"/>
      <c r="H459" s="658">
        <v>0.569620253164557</v>
      </c>
      <c r="I459" s="632">
        <v>3.28</v>
      </c>
      <c r="J459" s="636">
        <v>20</v>
      </c>
      <c r="K459" s="636">
        <f t="shared" si="289"/>
        <v>59.04</v>
      </c>
      <c r="L459" s="632">
        <f t="shared" si="284"/>
        <v>14.222735999999999</v>
      </c>
      <c r="M459" s="637">
        <f t="shared" si="285"/>
        <v>73.260000000000005</v>
      </c>
      <c r="N459" s="635"/>
      <c r="O459" s="632"/>
      <c r="P459" s="636"/>
      <c r="Q459" s="636"/>
      <c r="R459" s="632"/>
      <c r="S459" s="637"/>
    </row>
    <row r="461" spans="1:20" ht="15" customHeight="1" x14ac:dyDescent="0.25">
      <c r="A461" s="882" t="s">
        <v>33</v>
      </c>
      <c r="B461" s="882"/>
      <c r="C461" s="882"/>
      <c r="D461" s="882"/>
      <c r="E461" s="882"/>
      <c r="F461" s="882"/>
      <c r="G461" s="882"/>
      <c r="H461" s="882"/>
      <c r="I461" s="882"/>
      <c r="J461" s="882"/>
      <c r="K461" s="882"/>
      <c r="L461" s="882"/>
      <c r="M461" s="882"/>
      <c r="N461" s="699"/>
      <c r="O461" s="699"/>
      <c r="P461" s="699"/>
      <c r="Q461" s="699"/>
      <c r="R461" s="699"/>
      <c r="S461" s="699"/>
      <c r="T461" s="699"/>
    </row>
    <row r="463" spans="1:20" x14ac:dyDescent="0.25">
      <c r="A463" s="700"/>
      <c r="B463" s="700"/>
      <c r="C463" s="700"/>
      <c r="D463" s="700"/>
      <c r="E463" s="700"/>
      <c r="F463" s="700"/>
      <c r="G463" s="700"/>
    </row>
    <row r="464" spans="1:20" x14ac:dyDescent="0.25">
      <c r="A464" s="700"/>
      <c r="B464" s="700"/>
      <c r="C464" s="700"/>
      <c r="D464" s="700"/>
      <c r="E464" s="700"/>
      <c r="F464" s="700"/>
      <c r="G464" s="700"/>
    </row>
    <row r="465" spans="1:7" x14ac:dyDescent="0.25">
      <c r="A465" s="700"/>
      <c r="B465" s="700"/>
      <c r="C465" s="700"/>
      <c r="D465" s="700"/>
      <c r="E465" s="700"/>
      <c r="F465" s="700"/>
      <c r="G465" s="700"/>
    </row>
    <row r="466" spans="1:7" x14ac:dyDescent="0.25">
      <c r="A466" s="700"/>
      <c r="B466" s="700"/>
      <c r="C466" s="700"/>
      <c r="D466" s="700"/>
      <c r="E466" s="700"/>
      <c r="F466" s="700"/>
      <c r="G466" s="700"/>
    </row>
  </sheetData>
  <mergeCells count="6">
    <mergeCell ref="A461:M461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8F9A-E05A-4E6A-9789-73353BF06D74}">
  <dimension ref="A2:M1349"/>
  <sheetViews>
    <sheetView workbookViewId="0">
      <pane xSplit="1" ySplit="9" topLeftCell="B10" activePane="bottomRight" state="frozen"/>
      <selection activeCell="F143" sqref="F143"/>
      <selection pane="topRight" activeCell="F143" sqref="F143"/>
      <selection pane="bottomLeft" activeCell="F143" sqref="F143"/>
      <selection pane="bottomRight" activeCell="F143" sqref="F143"/>
    </sheetView>
  </sheetViews>
  <sheetFormatPr defaultColWidth="9.140625" defaultRowHeight="15" x14ac:dyDescent="0.25"/>
  <cols>
    <col min="1" max="1" width="38.85546875" style="484" customWidth="1"/>
    <col min="2" max="2" width="14" style="485" customWidth="1"/>
    <col min="3" max="3" width="16" style="485" customWidth="1"/>
    <col min="4" max="4" width="9.5703125" style="485" customWidth="1"/>
    <col min="5" max="8" width="14" style="485" customWidth="1"/>
    <col min="9" max="9" width="16" style="485" customWidth="1"/>
    <col min="10" max="10" width="9.5703125" style="485" customWidth="1"/>
    <col min="11" max="12" width="14" style="485" customWidth="1"/>
    <col min="13" max="13" width="11.28515625" style="485" customWidth="1"/>
    <col min="14" max="16384" width="9.140625" style="486"/>
  </cols>
  <sheetData>
    <row r="2" spans="1:13" s="483" customFormat="1" ht="52.9" customHeight="1" x14ac:dyDescent="0.2">
      <c r="A2" s="891" t="s">
        <v>799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</row>
    <row r="4" spans="1:13" x14ac:dyDescent="0.25">
      <c r="A4" s="484" t="s">
        <v>800</v>
      </c>
      <c r="E4" s="701"/>
      <c r="F4" s="701"/>
      <c r="G4" s="701"/>
      <c r="K4" s="701"/>
      <c r="L4" s="701"/>
      <c r="M4" s="701"/>
    </row>
    <row r="5" spans="1:13" x14ac:dyDescent="0.25">
      <c r="B5" s="702"/>
    </row>
    <row r="6" spans="1:13" ht="16.149999999999999" customHeight="1" x14ac:dyDescent="0.25">
      <c r="A6" s="892"/>
      <c r="B6" s="894" t="s">
        <v>2</v>
      </c>
      <c r="C6" s="894"/>
      <c r="D6" s="894"/>
      <c r="E6" s="894"/>
      <c r="F6" s="894"/>
      <c r="G6" s="894"/>
      <c r="H6" s="894" t="s">
        <v>169</v>
      </c>
      <c r="I6" s="894"/>
      <c r="J6" s="894"/>
      <c r="K6" s="894"/>
      <c r="L6" s="894"/>
      <c r="M6" s="894"/>
    </row>
    <row r="7" spans="1:13" s="408" customFormat="1" ht="55.9" customHeight="1" x14ac:dyDescent="0.2">
      <c r="A7" s="893"/>
      <c r="B7" s="487" t="s">
        <v>78</v>
      </c>
      <c r="C7" s="487" t="s">
        <v>10</v>
      </c>
      <c r="D7" s="487" t="s">
        <v>6</v>
      </c>
      <c r="E7" s="487" t="s">
        <v>7</v>
      </c>
      <c r="F7" s="487" t="s">
        <v>8</v>
      </c>
      <c r="G7" s="487" t="s">
        <v>9</v>
      </c>
      <c r="H7" s="487" t="s">
        <v>78</v>
      </c>
      <c r="I7" s="487" t="s">
        <v>10</v>
      </c>
      <c r="J7" s="487" t="s">
        <v>6</v>
      </c>
      <c r="K7" s="487" t="s">
        <v>7</v>
      </c>
      <c r="L7" s="487" t="s">
        <v>8</v>
      </c>
      <c r="M7" s="487" t="s">
        <v>9</v>
      </c>
    </row>
    <row r="8" spans="1:13" ht="16.149999999999999" customHeight="1" x14ac:dyDescent="0.25">
      <c r="A8" s="488"/>
      <c r="B8" s="605"/>
      <c r="C8" s="605"/>
      <c r="D8" s="444"/>
      <c r="E8" s="605"/>
      <c r="F8" s="605"/>
      <c r="G8" s="605"/>
      <c r="H8" s="605"/>
      <c r="I8" s="605"/>
      <c r="J8" s="444"/>
      <c r="K8" s="605"/>
      <c r="L8" s="605"/>
      <c r="M8" s="605"/>
    </row>
    <row r="9" spans="1:13" s="483" customFormat="1" ht="32.450000000000003" customHeight="1" x14ac:dyDescent="0.2">
      <c r="A9" s="491" t="s">
        <v>801</v>
      </c>
      <c r="B9" s="492">
        <f>B10+B448+B900+B1013</f>
        <v>566.02499999999998</v>
      </c>
      <c r="C9" s="492">
        <f>C10+C448+C900+C1013</f>
        <v>326437.32999999996</v>
      </c>
      <c r="D9" s="493"/>
      <c r="E9" s="492">
        <f>E10+E448+E900+E1013</f>
        <v>202971.10000000003</v>
      </c>
      <c r="F9" s="492">
        <f>F10+F448+F900+F1013</f>
        <v>48895.83</v>
      </c>
      <c r="G9" s="492">
        <f>G10+G448+G900+G1013</f>
        <v>251866.92999999982</v>
      </c>
      <c r="H9" s="492">
        <f>H10+H448+H900+H1013</f>
        <v>916.43500000000006</v>
      </c>
      <c r="I9" s="492">
        <f>I10+I448+I900+I1013</f>
        <v>483347.65999999951</v>
      </c>
      <c r="J9" s="493"/>
      <c r="K9" s="492">
        <f>K10+K448+K900+K1013</f>
        <v>172020.87000000008</v>
      </c>
      <c r="L9" s="492">
        <f>L10+L448+L900+L1013</f>
        <v>41440.080000000024</v>
      </c>
      <c r="M9" s="492">
        <f>M10+M448+M900+M1013</f>
        <v>213460.9499999999</v>
      </c>
    </row>
    <row r="10" spans="1:13" ht="28.15" customHeight="1" x14ac:dyDescent="0.25">
      <c r="A10" s="489" t="s">
        <v>14</v>
      </c>
      <c r="B10" s="490">
        <f>SUM(B11:B447)</f>
        <v>167.70499999999996</v>
      </c>
      <c r="C10" s="490">
        <f>SUM(C11:C447)</f>
        <v>228393.96999999991</v>
      </c>
      <c r="D10" s="494"/>
      <c r="E10" s="490">
        <f>SUM(E11:E447)</f>
        <v>83850.939999999959</v>
      </c>
      <c r="F10" s="490">
        <f>SUM(F11:F447)</f>
        <v>20199.669999999998</v>
      </c>
      <c r="G10" s="490">
        <f>SUM(G11:G447)</f>
        <v>104050.60999999993</v>
      </c>
      <c r="H10" s="490">
        <f>SUM(H11:H447)</f>
        <v>231.92499999999998</v>
      </c>
      <c r="I10" s="490">
        <f>SUM(I11:I447)</f>
        <v>301880.20999999979</v>
      </c>
      <c r="J10" s="494"/>
      <c r="K10" s="490">
        <f>SUM(K11:K447)</f>
        <v>60376.150000000009</v>
      </c>
      <c r="L10" s="490">
        <f>SUM(L11:L447)</f>
        <v>14544.610000000019</v>
      </c>
      <c r="M10" s="490">
        <f>SUM(M11:M447)</f>
        <v>74920.759999999893</v>
      </c>
    </row>
    <row r="11" spans="1:13" ht="15.75" customHeight="1" x14ac:dyDescent="0.25">
      <c r="A11" s="488" t="s">
        <v>802</v>
      </c>
      <c r="B11" s="495">
        <v>1</v>
      </c>
      <c r="C11" s="495">
        <v>978.24</v>
      </c>
      <c r="D11" s="494">
        <v>0.5</v>
      </c>
      <c r="E11" s="495">
        <v>489.12</v>
      </c>
      <c r="F11" s="495">
        <v>117.83</v>
      </c>
      <c r="G11" s="495">
        <v>606.95000000000005</v>
      </c>
      <c r="H11" s="495">
        <v>1</v>
      </c>
      <c r="I11" s="495">
        <v>1108.67</v>
      </c>
      <c r="J11" s="494">
        <v>0.2</v>
      </c>
      <c r="K11" s="495">
        <v>221.73</v>
      </c>
      <c r="L11" s="495">
        <v>53.41</v>
      </c>
      <c r="M11" s="495">
        <v>275.14</v>
      </c>
    </row>
    <row r="12" spans="1:13" ht="18.75" customHeight="1" x14ac:dyDescent="0.25">
      <c r="A12" s="488" t="s">
        <v>802</v>
      </c>
      <c r="B12" s="495">
        <v>0.5</v>
      </c>
      <c r="C12" s="495">
        <v>717.38</v>
      </c>
      <c r="D12" s="494">
        <v>0.5</v>
      </c>
      <c r="E12" s="495">
        <v>358.69</v>
      </c>
      <c r="F12" s="495">
        <v>86.41</v>
      </c>
      <c r="G12" s="495">
        <v>445.1</v>
      </c>
      <c r="H12" s="495">
        <v>0.5</v>
      </c>
      <c r="I12" s="495">
        <v>1239.0999999999999</v>
      </c>
      <c r="J12" s="494">
        <v>0.2</v>
      </c>
      <c r="K12" s="495">
        <v>247.82</v>
      </c>
      <c r="L12" s="495">
        <v>59.7</v>
      </c>
      <c r="M12" s="495">
        <v>307.52</v>
      </c>
    </row>
    <row r="13" spans="1:13" ht="18.75" customHeight="1" x14ac:dyDescent="0.25">
      <c r="A13" s="488" t="s">
        <v>802</v>
      </c>
      <c r="B13" s="495">
        <v>1</v>
      </c>
      <c r="C13" s="495">
        <v>1434.76</v>
      </c>
      <c r="D13" s="494">
        <v>0.5</v>
      </c>
      <c r="E13" s="495">
        <v>717.38</v>
      </c>
      <c r="F13" s="495">
        <v>172.82</v>
      </c>
      <c r="G13" s="495">
        <v>890.2</v>
      </c>
      <c r="H13" s="495">
        <v>1</v>
      </c>
      <c r="I13" s="495">
        <v>1956.48</v>
      </c>
      <c r="J13" s="494">
        <v>0.2</v>
      </c>
      <c r="K13" s="495">
        <v>391.3</v>
      </c>
      <c r="L13" s="495">
        <v>94.26</v>
      </c>
      <c r="M13" s="495">
        <v>485.56</v>
      </c>
    </row>
    <row r="14" spans="1:13" ht="18.75" customHeight="1" x14ac:dyDescent="0.25">
      <c r="A14" s="488" t="s">
        <v>802</v>
      </c>
      <c r="B14" s="495"/>
      <c r="C14" s="495"/>
      <c r="D14" s="494"/>
      <c r="E14" s="495"/>
      <c r="F14" s="495">
        <v>0</v>
      </c>
      <c r="G14" s="495">
        <v>0</v>
      </c>
      <c r="H14" s="495">
        <v>1</v>
      </c>
      <c r="I14" s="495">
        <v>1339.33</v>
      </c>
      <c r="J14" s="494">
        <v>0.2</v>
      </c>
      <c r="K14" s="495">
        <v>267.87</v>
      </c>
      <c r="L14" s="495">
        <v>64.53</v>
      </c>
      <c r="M14" s="495">
        <v>332.4</v>
      </c>
    </row>
    <row r="15" spans="1:13" ht="18.75" customHeight="1" x14ac:dyDescent="0.25">
      <c r="A15" s="488" t="s">
        <v>802</v>
      </c>
      <c r="B15" s="495"/>
      <c r="C15" s="495"/>
      <c r="D15" s="494"/>
      <c r="E15" s="495"/>
      <c r="F15" s="495">
        <v>0</v>
      </c>
      <c r="G15" s="495">
        <v>0</v>
      </c>
      <c r="H15" s="495">
        <v>1</v>
      </c>
      <c r="I15" s="495">
        <v>1148</v>
      </c>
      <c r="J15" s="494">
        <v>0.2</v>
      </c>
      <c r="K15" s="495">
        <v>229.6</v>
      </c>
      <c r="L15" s="495">
        <v>55.31</v>
      </c>
      <c r="M15" s="495">
        <v>284.90999999999997</v>
      </c>
    </row>
    <row r="16" spans="1:13" ht="18.75" customHeight="1" x14ac:dyDescent="0.25">
      <c r="A16" s="488" t="s">
        <v>802</v>
      </c>
      <c r="B16" s="495"/>
      <c r="C16" s="495"/>
      <c r="D16" s="494"/>
      <c r="E16" s="495"/>
      <c r="F16" s="495">
        <v>0</v>
      </c>
      <c r="G16" s="495">
        <v>0</v>
      </c>
      <c r="H16" s="495">
        <v>1</v>
      </c>
      <c r="I16" s="495">
        <v>1179.8900000000001</v>
      </c>
      <c r="J16" s="494">
        <v>0.2</v>
      </c>
      <c r="K16" s="495">
        <v>235.98</v>
      </c>
      <c r="L16" s="495">
        <v>56.85</v>
      </c>
      <c r="M16" s="495">
        <v>292.83</v>
      </c>
    </row>
    <row r="17" spans="1:13" ht="18.75" customHeight="1" x14ac:dyDescent="0.25">
      <c r="A17" s="488" t="s">
        <v>802</v>
      </c>
      <c r="B17" s="495"/>
      <c r="C17" s="495"/>
      <c r="D17" s="494"/>
      <c r="E17" s="495"/>
      <c r="F17" s="495">
        <v>0</v>
      </c>
      <c r="G17" s="495">
        <v>0</v>
      </c>
      <c r="H17" s="495">
        <v>0.3</v>
      </c>
      <c r="I17" s="495">
        <v>318.89</v>
      </c>
      <c r="J17" s="494">
        <v>0.2</v>
      </c>
      <c r="K17" s="495">
        <v>63.78</v>
      </c>
      <c r="L17" s="495">
        <v>15.36</v>
      </c>
      <c r="M17" s="495">
        <v>79.14</v>
      </c>
    </row>
    <row r="18" spans="1:13" ht="18.75" customHeight="1" x14ac:dyDescent="0.25">
      <c r="A18" s="488" t="s">
        <v>802</v>
      </c>
      <c r="B18" s="495"/>
      <c r="C18" s="495"/>
      <c r="D18" s="494"/>
      <c r="E18" s="495"/>
      <c r="F18" s="495">
        <v>0</v>
      </c>
      <c r="G18" s="495">
        <v>0</v>
      </c>
      <c r="H18" s="495">
        <v>0.61</v>
      </c>
      <c r="I18" s="495">
        <v>765.33</v>
      </c>
      <c r="J18" s="494">
        <v>0.2</v>
      </c>
      <c r="K18" s="495">
        <v>153.07</v>
      </c>
      <c r="L18" s="495">
        <v>36.869999999999997</v>
      </c>
      <c r="M18" s="495">
        <v>189.94</v>
      </c>
    </row>
    <row r="19" spans="1:13" ht="18.75" customHeight="1" x14ac:dyDescent="0.25">
      <c r="A19" s="488" t="s">
        <v>802</v>
      </c>
      <c r="B19" s="495"/>
      <c r="C19" s="495"/>
      <c r="D19" s="494"/>
      <c r="E19" s="495"/>
      <c r="F19" s="495">
        <v>0</v>
      </c>
      <c r="G19" s="495">
        <v>0</v>
      </c>
      <c r="H19" s="495">
        <v>0.25</v>
      </c>
      <c r="I19" s="495">
        <v>318.89</v>
      </c>
      <c r="J19" s="494">
        <v>0.2</v>
      </c>
      <c r="K19" s="495">
        <v>63.78</v>
      </c>
      <c r="L19" s="495">
        <v>15.36</v>
      </c>
      <c r="M19" s="495">
        <v>79.14</v>
      </c>
    </row>
    <row r="20" spans="1:13" ht="18.75" customHeight="1" x14ac:dyDescent="0.25">
      <c r="A20" s="488" t="s">
        <v>802</v>
      </c>
      <c r="B20" s="495"/>
      <c r="C20" s="495"/>
      <c r="D20" s="494"/>
      <c r="E20" s="495"/>
      <c r="F20" s="495">
        <v>0</v>
      </c>
      <c r="G20" s="495">
        <v>0</v>
      </c>
      <c r="H20" s="495">
        <v>1</v>
      </c>
      <c r="I20" s="495">
        <v>1355.27</v>
      </c>
      <c r="J20" s="494">
        <v>0.2</v>
      </c>
      <c r="K20" s="495">
        <v>271.05</v>
      </c>
      <c r="L20" s="495">
        <v>65.3</v>
      </c>
      <c r="M20" s="495">
        <v>336.35</v>
      </c>
    </row>
    <row r="21" spans="1:13" ht="18.75" customHeight="1" x14ac:dyDescent="0.25">
      <c r="A21" s="488" t="s">
        <v>802</v>
      </c>
      <c r="B21" s="495">
        <v>0.25</v>
      </c>
      <c r="C21" s="495">
        <v>1288.23</v>
      </c>
      <c r="D21" s="494">
        <v>0.3</v>
      </c>
      <c r="E21" s="495">
        <v>386.47</v>
      </c>
      <c r="F21" s="495">
        <v>93.1</v>
      </c>
      <c r="G21" s="495">
        <v>479.57000000000005</v>
      </c>
      <c r="H21" s="495">
        <v>0.25</v>
      </c>
      <c r="I21" s="495">
        <v>479.34</v>
      </c>
      <c r="J21" s="494">
        <v>0.2</v>
      </c>
      <c r="K21" s="495">
        <v>95.87</v>
      </c>
      <c r="L21" s="495">
        <v>23.1</v>
      </c>
      <c r="M21" s="495">
        <v>118.97</v>
      </c>
    </row>
    <row r="22" spans="1:13" ht="18.75" customHeight="1" x14ac:dyDescent="0.25">
      <c r="A22" s="488" t="s">
        <v>802</v>
      </c>
      <c r="B22" s="495">
        <v>0.3</v>
      </c>
      <c r="C22" s="495">
        <v>472.17</v>
      </c>
      <c r="D22" s="494">
        <v>0.3</v>
      </c>
      <c r="E22" s="495">
        <v>141.65</v>
      </c>
      <c r="F22" s="495">
        <v>34.119999999999997</v>
      </c>
      <c r="G22" s="495">
        <v>175.77</v>
      </c>
      <c r="H22" s="495">
        <v>0.3</v>
      </c>
      <c r="I22" s="495">
        <v>472.15</v>
      </c>
      <c r="J22" s="494">
        <v>0.2</v>
      </c>
      <c r="K22" s="495">
        <v>94.43</v>
      </c>
      <c r="L22" s="495">
        <v>22.75</v>
      </c>
      <c r="M22" s="495">
        <v>117.18</v>
      </c>
    </row>
    <row r="23" spans="1:13" ht="18.75" customHeight="1" x14ac:dyDescent="0.25">
      <c r="A23" s="488" t="s">
        <v>802</v>
      </c>
      <c r="B23" s="495">
        <v>0.25</v>
      </c>
      <c r="C23" s="495">
        <v>509.3</v>
      </c>
      <c r="D23" s="494">
        <v>0.3</v>
      </c>
      <c r="E23" s="495">
        <v>152.79</v>
      </c>
      <c r="F23" s="495">
        <v>36.81</v>
      </c>
      <c r="G23" s="495">
        <v>189.6</v>
      </c>
      <c r="H23" s="495">
        <v>0.25</v>
      </c>
      <c r="I23" s="495">
        <v>958.68</v>
      </c>
      <c r="J23" s="494">
        <v>0.2</v>
      </c>
      <c r="K23" s="495">
        <v>191.74</v>
      </c>
      <c r="L23" s="495">
        <v>46.19</v>
      </c>
      <c r="M23" s="495">
        <v>237.93</v>
      </c>
    </row>
    <row r="24" spans="1:13" ht="18.75" customHeight="1" x14ac:dyDescent="0.25">
      <c r="A24" s="488" t="s">
        <v>802</v>
      </c>
      <c r="B24" s="495">
        <v>0.25</v>
      </c>
      <c r="C24" s="495">
        <v>895.1</v>
      </c>
      <c r="D24" s="494">
        <v>0.3</v>
      </c>
      <c r="E24" s="495">
        <v>268.52999999999997</v>
      </c>
      <c r="F24" s="495">
        <v>64.69</v>
      </c>
      <c r="G24" s="495">
        <v>333.21999999999997</v>
      </c>
      <c r="H24" s="495">
        <v>0.25</v>
      </c>
      <c r="I24" s="495">
        <v>865.6</v>
      </c>
      <c r="J24" s="494">
        <v>0.2</v>
      </c>
      <c r="K24" s="495">
        <v>173.12</v>
      </c>
      <c r="L24" s="495">
        <v>41.7</v>
      </c>
      <c r="M24" s="495">
        <v>214.82</v>
      </c>
    </row>
    <row r="25" spans="1:13" ht="18.75" customHeight="1" x14ac:dyDescent="0.25">
      <c r="A25" s="488" t="s">
        <v>802</v>
      </c>
      <c r="B25" s="495">
        <v>0.25</v>
      </c>
      <c r="C25" s="495">
        <v>958.67</v>
      </c>
      <c r="D25" s="494">
        <v>0.3</v>
      </c>
      <c r="E25" s="495">
        <v>287.60000000000002</v>
      </c>
      <c r="F25" s="495">
        <v>69.28</v>
      </c>
      <c r="G25" s="495">
        <v>356.88</v>
      </c>
      <c r="H25" s="495">
        <v>0.25</v>
      </c>
      <c r="I25" s="495">
        <v>479.34</v>
      </c>
      <c r="J25" s="494">
        <v>0.2</v>
      </c>
      <c r="K25" s="495">
        <v>95.87</v>
      </c>
      <c r="L25" s="495">
        <v>23.1</v>
      </c>
      <c r="M25" s="495">
        <v>118.97</v>
      </c>
    </row>
    <row r="26" spans="1:13" ht="18.75" customHeight="1" x14ac:dyDescent="0.25">
      <c r="A26" s="488" t="s">
        <v>802</v>
      </c>
      <c r="B26" s="495">
        <v>0.5</v>
      </c>
      <c r="C26" s="495">
        <v>958.67</v>
      </c>
      <c r="D26" s="494">
        <v>0.3</v>
      </c>
      <c r="E26" s="495">
        <v>287.60000000000002</v>
      </c>
      <c r="F26" s="495">
        <v>69.28</v>
      </c>
      <c r="G26" s="495">
        <v>356.88</v>
      </c>
      <c r="H26" s="495">
        <v>0.5</v>
      </c>
      <c r="I26" s="495">
        <v>1358.12</v>
      </c>
      <c r="J26" s="494">
        <v>0.2</v>
      </c>
      <c r="K26" s="495">
        <v>271.62</v>
      </c>
      <c r="L26" s="495">
        <v>65.430000000000007</v>
      </c>
      <c r="M26" s="495">
        <v>337.05</v>
      </c>
    </row>
    <row r="27" spans="1:13" ht="18.75" customHeight="1" x14ac:dyDescent="0.25">
      <c r="A27" s="488" t="s">
        <v>802</v>
      </c>
      <c r="B27" s="495"/>
      <c r="C27" s="495"/>
      <c r="D27" s="494"/>
      <c r="E27" s="495"/>
      <c r="F27" s="495">
        <v>0</v>
      </c>
      <c r="G27" s="495">
        <v>0</v>
      </c>
      <c r="H27" s="495">
        <v>1</v>
      </c>
      <c r="I27" s="495">
        <v>2213.19</v>
      </c>
      <c r="J27" s="494">
        <v>0.2</v>
      </c>
      <c r="K27" s="495">
        <v>442.64</v>
      </c>
      <c r="L27" s="495">
        <v>106.63</v>
      </c>
      <c r="M27" s="495">
        <v>549.27</v>
      </c>
    </row>
    <row r="28" spans="1:13" ht="18.75" customHeight="1" x14ac:dyDescent="0.25">
      <c r="A28" s="488" t="s">
        <v>802</v>
      </c>
      <c r="B28" s="495"/>
      <c r="C28" s="495"/>
      <c r="D28" s="494"/>
      <c r="E28" s="495"/>
      <c r="F28" s="495">
        <v>0</v>
      </c>
      <c r="G28" s="495">
        <v>0</v>
      </c>
      <c r="H28" s="495">
        <v>1</v>
      </c>
      <c r="I28" s="495">
        <v>2213.19</v>
      </c>
      <c r="J28" s="494">
        <v>0.2</v>
      </c>
      <c r="K28" s="495">
        <v>442.64</v>
      </c>
      <c r="L28" s="495">
        <v>106.63</v>
      </c>
      <c r="M28" s="495">
        <v>549.27</v>
      </c>
    </row>
    <row r="29" spans="1:13" ht="18.75" customHeight="1" x14ac:dyDescent="0.25">
      <c r="A29" s="488" t="s">
        <v>802</v>
      </c>
      <c r="B29" s="495"/>
      <c r="C29" s="495"/>
      <c r="D29" s="494"/>
      <c r="E29" s="495"/>
      <c r="F29" s="495">
        <v>0</v>
      </c>
      <c r="G29" s="495">
        <v>0</v>
      </c>
      <c r="H29" s="495">
        <v>0.5</v>
      </c>
      <c r="I29" s="495">
        <v>1229.55</v>
      </c>
      <c r="J29" s="494">
        <v>0.2</v>
      </c>
      <c r="K29" s="495">
        <v>245.91</v>
      </c>
      <c r="L29" s="495">
        <v>59.24</v>
      </c>
      <c r="M29" s="495">
        <v>305.14999999999998</v>
      </c>
    </row>
    <row r="30" spans="1:13" ht="18.75" customHeight="1" x14ac:dyDescent="0.25">
      <c r="A30" s="488" t="s">
        <v>802</v>
      </c>
      <c r="B30" s="495"/>
      <c r="C30" s="495"/>
      <c r="D30" s="494"/>
      <c r="E30" s="495"/>
      <c r="F30" s="495">
        <v>0</v>
      </c>
      <c r="G30" s="495">
        <v>0</v>
      </c>
      <c r="H30" s="495">
        <v>1</v>
      </c>
      <c r="I30" s="495">
        <v>2203.35</v>
      </c>
      <c r="J30" s="494">
        <v>0.2</v>
      </c>
      <c r="K30" s="495">
        <v>440.67</v>
      </c>
      <c r="L30" s="495">
        <v>106.16</v>
      </c>
      <c r="M30" s="495">
        <v>546.83000000000004</v>
      </c>
    </row>
    <row r="31" spans="1:13" ht="18.75" customHeight="1" x14ac:dyDescent="0.25">
      <c r="A31" s="488" t="s">
        <v>802</v>
      </c>
      <c r="B31" s="495"/>
      <c r="C31" s="495"/>
      <c r="D31" s="494"/>
      <c r="E31" s="495"/>
      <c r="F31" s="495">
        <v>0</v>
      </c>
      <c r="G31" s="495">
        <v>0</v>
      </c>
      <c r="H31" s="495">
        <v>1</v>
      </c>
      <c r="I31" s="495">
        <v>2459.1</v>
      </c>
      <c r="J31" s="494">
        <v>0.2</v>
      </c>
      <c r="K31" s="495">
        <v>491.82</v>
      </c>
      <c r="L31" s="495">
        <v>118.48</v>
      </c>
      <c r="M31" s="495">
        <v>610.29999999999995</v>
      </c>
    </row>
    <row r="32" spans="1:13" ht="18.75" customHeight="1" x14ac:dyDescent="0.25">
      <c r="A32" s="488" t="s">
        <v>802</v>
      </c>
      <c r="B32" s="495"/>
      <c r="C32" s="495"/>
      <c r="D32" s="494"/>
      <c r="E32" s="495"/>
      <c r="F32" s="495">
        <v>0</v>
      </c>
      <c r="G32" s="495">
        <v>0</v>
      </c>
      <c r="H32" s="495">
        <v>0.5</v>
      </c>
      <c r="I32" s="495">
        <v>88.53</v>
      </c>
      <c r="J32" s="494">
        <v>0.2</v>
      </c>
      <c r="K32" s="495">
        <v>17.71</v>
      </c>
      <c r="L32" s="495">
        <v>4.2699999999999996</v>
      </c>
      <c r="M32" s="495">
        <v>21.98</v>
      </c>
    </row>
    <row r="33" spans="1:13" ht="18.75" customHeight="1" x14ac:dyDescent="0.25">
      <c r="A33" s="488" t="s">
        <v>802</v>
      </c>
      <c r="B33" s="495"/>
      <c r="C33" s="495"/>
      <c r="D33" s="494"/>
      <c r="E33" s="495"/>
      <c r="F33" s="495">
        <v>0</v>
      </c>
      <c r="G33" s="495">
        <v>0</v>
      </c>
      <c r="H33" s="495">
        <v>0.5</v>
      </c>
      <c r="I33" s="495">
        <v>1141.02</v>
      </c>
      <c r="J33" s="494">
        <v>0.2</v>
      </c>
      <c r="K33" s="495">
        <v>228.2</v>
      </c>
      <c r="L33" s="495">
        <v>54.97</v>
      </c>
      <c r="M33" s="495">
        <v>283.16999999999996</v>
      </c>
    </row>
    <row r="34" spans="1:13" ht="18.75" customHeight="1" x14ac:dyDescent="0.25">
      <c r="A34" s="488" t="s">
        <v>802</v>
      </c>
      <c r="B34" s="495"/>
      <c r="C34" s="495"/>
      <c r="D34" s="494"/>
      <c r="E34" s="495"/>
      <c r="F34" s="495">
        <v>0</v>
      </c>
      <c r="G34" s="495">
        <v>0</v>
      </c>
      <c r="H34" s="495">
        <v>0.5</v>
      </c>
      <c r="I34" s="495">
        <v>737.73</v>
      </c>
      <c r="J34" s="494">
        <v>0.2</v>
      </c>
      <c r="K34" s="495">
        <v>147.55000000000001</v>
      </c>
      <c r="L34" s="495">
        <v>35.54</v>
      </c>
      <c r="M34" s="495">
        <v>183.09</v>
      </c>
    </row>
    <row r="35" spans="1:13" ht="18.75" customHeight="1" x14ac:dyDescent="0.25">
      <c r="A35" s="488" t="s">
        <v>802</v>
      </c>
      <c r="B35" s="495"/>
      <c r="C35" s="495"/>
      <c r="D35" s="494"/>
      <c r="E35" s="495"/>
      <c r="F35" s="495">
        <v>0</v>
      </c>
      <c r="G35" s="495">
        <v>0</v>
      </c>
      <c r="H35" s="495">
        <v>1</v>
      </c>
      <c r="I35" s="495">
        <v>983.64</v>
      </c>
      <c r="J35" s="494">
        <v>0.2</v>
      </c>
      <c r="K35" s="495">
        <v>196.73</v>
      </c>
      <c r="L35" s="495">
        <v>47.39</v>
      </c>
      <c r="M35" s="495">
        <v>244.12</v>
      </c>
    </row>
    <row r="36" spans="1:13" ht="18.75" customHeight="1" x14ac:dyDescent="0.25">
      <c r="A36" s="488" t="s">
        <v>802</v>
      </c>
      <c r="B36" s="495"/>
      <c r="C36" s="495"/>
      <c r="D36" s="494"/>
      <c r="E36" s="495"/>
      <c r="F36" s="495">
        <v>0</v>
      </c>
      <c r="G36" s="495">
        <v>0</v>
      </c>
      <c r="H36" s="495">
        <v>0.5</v>
      </c>
      <c r="I36" s="495">
        <v>1072.17</v>
      </c>
      <c r="J36" s="494">
        <v>0.2</v>
      </c>
      <c r="K36" s="495">
        <v>214.43</v>
      </c>
      <c r="L36" s="495">
        <v>51.66</v>
      </c>
      <c r="M36" s="495">
        <v>266.09000000000003</v>
      </c>
    </row>
    <row r="37" spans="1:13" ht="18.75" customHeight="1" x14ac:dyDescent="0.25">
      <c r="A37" s="488" t="s">
        <v>802</v>
      </c>
      <c r="B37" s="495"/>
      <c r="C37" s="495"/>
      <c r="D37" s="494"/>
      <c r="E37" s="495"/>
      <c r="F37" s="495">
        <v>0</v>
      </c>
      <c r="G37" s="495">
        <v>0</v>
      </c>
      <c r="H37" s="495">
        <v>1</v>
      </c>
      <c r="I37" s="495">
        <v>1967.28</v>
      </c>
      <c r="J37" s="494">
        <v>0.2</v>
      </c>
      <c r="K37" s="495">
        <v>393.46</v>
      </c>
      <c r="L37" s="495">
        <v>94.78</v>
      </c>
      <c r="M37" s="495">
        <v>488.24</v>
      </c>
    </row>
    <row r="38" spans="1:13" ht="18.75" customHeight="1" x14ac:dyDescent="0.25">
      <c r="A38" s="488" t="s">
        <v>802</v>
      </c>
      <c r="B38" s="495"/>
      <c r="C38" s="495"/>
      <c r="D38" s="494"/>
      <c r="E38" s="495"/>
      <c r="F38" s="495">
        <v>0</v>
      </c>
      <c r="G38" s="495">
        <v>0</v>
      </c>
      <c r="H38" s="495">
        <v>0.5</v>
      </c>
      <c r="I38" s="495">
        <v>737.73</v>
      </c>
      <c r="J38" s="494">
        <v>0.2</v>
      </c>
      <c r="K38" s="495">
        <v>147.55000000000001</v>
      </c>
      <c r="L38" s="495">
        <v>35.54</v>
      </c>
      <c r="M38" s="495">
        <v>183.09</v>
      </c>
    </row>
    <row r="39" spans="1:13" ht="18.75" customHeight="1" x14ac:dyDescent="0.25">
      <c r="A39" s="488" t="s">
        <v>802</v>
      </c>
      <c r="B39" s="495"/>
      <c r="C39" s="495"/>
      <c r="D39" s="494"/>
      <c r="E39" s="495"/>
      <c r="F39" s="495">
        <v>0</v>
      </c>
      <c r="G39" s="495">
        <v>0</v>
      </c>
      <c r="H39" s="495">
        <v>1</v>
      </c>
      <c r="I39" s="495">
        <v>1641</v>
      </c>
      <c r="J39" s="494">
        <v>0.2</v>
      </c>
      <c r="K39" s="495">
        <v>328.2</v>
      </c>
      <c r="L39" s="495">
        <v>79.06</v>
      </c>
      <c r="M39" s="495">
        <v>407.26</v>
      </c>
    </row>
    <row r="40" spans="1:13" ht="18.75" customHeight="1" x14ac:dyDescent="0.25">
      <c r="A40" s="488" t="s">
        <v>802</v>
      </c>
      <c r="B40" s="495"/>
      <c r="C40" s="495"/>
      <c r="D40" s="494"/>
      <c r="E40" s="495"/>
      <c r="F40" s="495">
        <v>0</v>
      </c>
      <c r="G40" s="495">
        <v>0</v>
      </c>
      <c r="H40" s="495">
        <v>1</v>
      </c>
      <c r="I40" s="495">
        <v>1641</v>
      </c>
      <c r="J40" s="494">
        <v>0.2</v>
      </c>
      <c r="K40" s="495">
        <v>328.2</v>
      </c>
      <c r="L40" s="495">
        <v>79.06</v>
      </c>
      <c r="M40" s="495">
        <v>407.26</v>
      </c>
    </row>
    <row r="41" spans="1:13" ht="18.75" customHeight="1" x14ac:dyDescent="0.25">
      <c r="A41" s="488" t="s">
        <v>802</v>
      </c>
      <c r="B41" s="495"/>
      <c r="C41" s="495"/>
      <c r="D41" s="494"/>
      <c r="E41" s="495"/>
      <c r="F41" s="495">
        <v>0</v>
      </c>
      <c r="G41" s="495">
        <v>0</v>
      </c>
      <c r="H41" s="495">
        <v>1</v>
      </c>
      <c r="I41" s="495">
        <v>836.09</v>
      </c>
      <c r="J41" s="494">
        <v>0.2</v>
      </c>
      <c r="K41" s="495">
        <v>167.22</v>
      </c>
      <c r="L41" s="495">
        <v>40.28</v>
      </c>
      <c r="M41" s="495">
        <v>207.5</v>
      </c>
    </row>
    <row r="42" spans="1:13" ht="18.75" customHeight="1" x14ac:dyDescent="0.25">
      <c r="A42" s="488" t="s">
        <v>802</v>
      </c>
      <c r="B42" s="495"/>
      <c r="C42" s="495"/>
      <c r="D42" s="494"/>
      <c r="E42" s="495"/>
      <c r="F42" s="495">
        <v>0</v>
      </c>
      <c r="G42" s="495">
        <v>0</v>
      </c>
      <c r="H42" s="495">
        <v>0.37</v>
      </c>
      <c r="I42" s="495">
        <v>580.35</v>
      </c>
      <c r="J42" s="494">
        <v>0.2</v>
      </c>
      <c r="K42" s="495">
        <v>116.07</v>
      </c>
      <c r="L42" s="495">
        <v>27.96</v>
      </c>
      <c r="M42" s="495">
        <v>144.03</v>
      </c>
    </row>
    <row r="43" spans="1:13" ht="18.75" customHeight="1" x14ac:dyDescent="0.25">
      <c r="A43" s="488" t="s">
        <v>802</v>
      </c>
      <c r="B43" s="495"/>
      <c r="C43" s="495"/>
      <c r="D43" s="494"/>
      <c r="E43" s="495"/>
      <c r="F43" s="495">
        <v>0</v>
      </c>
      <c r="G43" s="495">
        <v>0</v>
      </c>
      <c r="H43" s="495">
        <v>0.5</v>
      </c>
      <c r="I43" s="495">
        <v>1229.55</v>
      </c>
      <c r="J43" s="494">
        <v>0.2</v>
      </c>
      <c r="K43" s="495">
        <v>245.91</v>
      </c>
      <c r="L43" s="495">
        <v>59.24</v>
      </c>
      <c r="M43" s="495">
        <v>305.14999999999998</v>
      </c>
    </row>
    <row r="44" spans="1:13" ht="18.75" customHeight="1" x14ac:dyDescent="0.25">
      <c r="A44" s="488" t="s">
        <v>951</v>
      </c>
      <c r="B44" s="495">
        <v>1</v>
      </c>
      <c r="C44" s="495">
        <v>1179</v>
      </c>
      <c r="D44" s="494">
        <v>0.3</v>
      </c>
      <c r="E44" s="495">
        <v>353.7</v>
      </c>
      <c r="F44" s="495">
        <v>85.21</v>
      </c>
      <c r="G44" s="495">
        <v>438.90999999999997</v>
      </c>
      <c r="H44" s="495"/>
      <c r="I44" s="495"/>
      <c r="J44" s="494"/>
      <c r="K44" s="495"/>
      <c r="L44" s="495"/>
      <c r="M44" s="495"/>
    </row>
    <row r="45" spans="1:13" ht="18.75" customHeight="1" x14ac:dyDescent="0.25">
      <c r="A45" s="488" t="s">
        <v>803</v>
      </c>
      <c r="B45" s="495">
        <v>0.25</v>
      </c>
      <c r="C45" s="495">
        <v>1481.17</v>
      </c>
      <c r="D45" s="494">
        <v>0.3</v>
      </c>
      <c r="E45" s="495">
        <v>444.35</v>
      </c>
      <c r="F45" s="495">
        <v>107.04</v>
      </c>
      <c r="G45" s="495">
        <v>551.39</v>
      </c>
      <c r="H45" s="495">
        <v>0.25</v>
      </c>
      <c r="I45" s="495">
        <v>740.59</v>
      </c>
      <c r="J45" s="494">
        <v>0.2</v>
      </c>
      <c r="K45" s="495">
        <v>148.12</v>
      </c>
      <c r="L45" s="495">
        <v>35.68</v>
      </c>
      <c r="M45" s="495">
        <v>183.8</v>
      </c>
    </row>
    <row r="46" spans="1:13" ht="18.75" customHeight="1" x14ac:dyDescent="0.25">
      <c r="A46" s="488" t="s">
        <v>803</v>
      </c>
      <c r="B46" s="495">
        <v>0.25</v>
      </c>
      <c r="C46" s="495">
        <v>1110.8699999999999</v>
      </c>
      <c r="D46" s="494">
        <v>0.3</v>
      </c>
      <c r="E46" s="495">
        <v>333.26</v>
      </c>
      <c r="F46" s="495">
        <v>80.28</v>
      </c>
      <c r="G46" s="495">
        <v>413.53999999999996</v>
      </c>
      <c r="H46" s="495">
        <v>0.25</v>
      </c>
      <c r="I46" s="495">
        <v>1481.17</v>
      </c>
      <c r="J46" s="494">
        <v>0.2</v>
      </c>
      <c r="K46" s="495">
        <v>296.23</v>
      </c>
      <c r="L46" s="495">
        <v>71.36</v>
      </c>
      <c r="M46" s="495">
        <v>367.59000000000003</v>
      </c>
    </row>
    <row r="47" spans="1:13" ht="18.75" customHeight="1" x14ac:dyDescent="0.25">
      <c r="A47" s="488" t="s">
        <v>803</v>
      </c>
      <c r="B47" s="495">
        <v>0.25</v>
      </c>
      <c r="C47" s="495">
        <v>1481.17</v>
      </c>
      <c r="D47" s="494">
        <v>0.3</v>
      </c>
      <c r="E47" s="495">
        <v>444.35</v>
      </c>
      <c r="F47" s="495">
        <v>107.04</v>
      </c>
      <c r="G47" s="495">
        <v>551.39</v>
      </c>
      <c r="H47" s="495">
        <v>0.25</v>
      </c>
      <c r="I47" s="495">
        <v>1110.8800000000001</v>
      </c>
      <c r="J47" s="494">
        <v>0.2</v>
      </c>
      <c r="K47" s="495">
        <v>222.18</v>
      </c>
      <c r="L47" s="495">
        <v>53.52</v>
      </c>
      <c r="M47" s="495">
        <v>275.7</v>
      </c>
    </row>
    <row r="48" spans="1:13" ht="18.75" customHeight="1" x14ac:dyDescent="0.25">
      <c r="A48" s="488" t="s">
        <v>803</v>
      </c>
      <c r="B48" s="495">
        <v>0.25</v>
      </c>
      <c r="C48" s="495">
        <v>1310.83</v>
      </c>
      <c r="D48" s="494">
        <v>0.3</v>
      </c>
      <c r="E48" s="495">
        <v>393.25</v>
      </c>
      <c r="F48" s="495">
        <v>94.73</v>
      </c>
      <c r="G48" s="495">
        <v>487.98</v>
      </c>
      <c r="H48" s="495">
        <v>0.25</v>
      </c>
      <c r="I48" s="495">
        <v>983.13</v>
      </c>
      <c r="J48" s="494">
        <v>0.2</v>
      </c>
      <c r="K48" s="495">
        <v>196.63</v>
      </c>
      <c r="L48" s="495">
        <v>47.37</v>
      </c>
      <c r="M48" s="495">
        <v>244</v>
      </c>
    </row>
    <row r="49" spans="1:13" ht="18.75" customHeight="1" x14ac:dyDescent="0.25">
      <c r="A49" s="488" t="s">
        <v>803</v>
      </c>
      <c r="B49" s="495">
        <v>0.25</v>
      </c>
      <c r="C49" s="495">
        <v>983.13</v>
      </c>
      <c r="D49" s="494">
        <v>0.3</v>
      </c>
      <c r="E49" s="495">
        <v>294.94</v>
      </c>
      <c r="F49" s="495">
        <v>71.05</v>
      </c>
      <c r="G49" s="495">
        <v>365.99</v>
      </c>
      <c r="H49" s="495">
        <v>0.25</v>
      </c>
      <c r="I49" s="495">
        <v>983.13</v>
      </c>
      <c r="J49" s="494">
        <v>0.2</v>
      </c>
      <c r="K49" s="495">
        <v>196.63</v>
      </c>
      <c r="L49" s="495">
        <v>47.37</v>
      </c>
      <c r="M49" s="495">
        <v>244</v>
      </c>
    </row>
    <row r="50" spans="1:13" ht="18.75" customHeight="1" x14ac:dyDescent="0.25">
      <c r="A50" s="488" t="s">
        <v>803</v>
      </c>
      <c r="B50" s="495">
        <v>0.25</v>
      </c>
      <c r="C50" s="495">
        <v>1310.83</v>
      </c>
      <c r="D50" s="494">
        <v>0.3</v>
      </c>
      <c r="E50" s="495">
        <v>393.25</v>
      </c>
      <c r="F50" s="495">
        <v>94.73</v>
      </c>
      <c r="G50" s="495">
        <v>487.98</v>
      </c>
      <c r="H50" s="495">
        <v>0.25</v>
      </c>
      <c r="I50" s="495">
        <v>1529.32</v>
      </c>
      <c r="J50" s="494">
        <v>0.2</v>
      </c>
      <c r="K50" s="495">
        <v>305.86</v>
      </c>
      <c r="L50" s="495">
        <v>73.680000000000007</v>
      </c>
      <c r="M50" s="495">
        <v>379.54</v>
      </c>
    </row>
    <row r="51" spans="1:13" ht="18.75" customHeight="1" x14ac:dyDescent="0.25">
      <c r="A51" s="488" t="s">
        <v>803</v>
      </c>
      <c r="B51" s="495">
        <v>0.25</v>
      </c>
      <c r="C51" s="495">
        <v>740.6</v>
      </c>
      <c r="D51" s="494">
        <v>0.3</v>
      </c>
      <c r="E51" s="495">
        <v>222.18</v>
      </c>
      <c r="F51" s="495">
        <v>53.52</v>
      </c>
      <c r="G51" s="495">
        <v>275.7</v>
      </c>
      <c r="H51" s="495">
        <v>0.25</v>
      </c>
      <c r="I51" s="495">
        <v>740.59</v>
      </c>
      <c r="J51" s="494">
        <v>0.2</v>
      </c>
      <c r="K51" s="495">
        <v>148.12</v>
      </c>
      <c r="L51" s="495">
        <v>35.68</v>
      </c>
      <c r="M51" s="495">
        <v>183.8</v>
      </c>
    </row>
    <row r="52" spans="1:13" ht="18.75" customHeight="1" x14ac:dyDescent="0.25">
      <c r="A52" s="488" t="s">
        <v>803</v>
      </c>
      <c r="B52" s="495">
        <v>0.25</v>
      </c>
      <c r="C52" s="495">
        <v>1465.77</v>
      </c>
      <c r="D52" s="494">
        <v>0.3</v>
      </c>
      <c r="E52" s="495">
        <v>439.73</v>
      </c>
      <c r="F52" s="495">
        <v>105.93</v>
      </c>
      <c r="G52" s="495">
        <v>545.66000000000008</v>
      </c>
      <c r="H52" s="495">
        <v>0.25</v>
      </c>
      <c r="I52" s="495">
        <v>1604.61</v>
      </c>
      <c r="J52" s="494">
        <v>0.2</v>
      </c>
      <c r="K52" s="495">
        <v>320.92</v>
      </c>
      <c r="L52" s="495">
        <v>77.31</v>
      </c>
      <c r="M52" s="495">
        <v>398.23</v>
      </c>
    </row>
    <row r="53" spans="1:13" ht="18.75" customHeight="1" x14ac:dyDescent="0.25">
      <c r="A53" s="488" t="s">
        <v>803</v>
      </c>
      <c r="B53" s="495">
        <v>0.25</v>
      </c>
      <c r="C53" s="495">
        <v>1053.47</v>
      </c>
      <c r="D53" s="494">
        <v>0.3</v>
      </c>
      <c r="E53" s="495">
        <v>316.04000000000002</v>
      </c>
      <c r="F53" s="495">
        <v>76.13</v>
      </c>
      <c r="G53" s="495">
        <v>392.17</v>
      </c>
      <c r="H53" s="495">
        <v>0.25</v>
      </c>
      <c r="I53" s="495">
        <v>1404.64</v>
      </c>
      <c r="J53" s="494">
        <v>0.2</v>
      </c>
      <c r="K53" s="495">
        <v>280.93</v>
      </c>
      <c r="L53" s="495">
        <v>67.680000000000007</v>
      </c>
      <c r="M53" s="495">
        <v>348.61</v>
      </c>
    </row>
    <row r="54" spans="1:13" ht="18.75" customHeight="1" x14ac:dyDescent="0.25">
      <c r="A54" s="488" t="s">
        <v>804</v>
      </c>
      <c r="B54" s="495"/>
      <c r="C54" s="495"/>
      <c r="D54" s="494"/>
      <c r="E54" s="495"/>
      <c r="F54" s="495">
        <v>0</v>
      </c>
      <c r="G54" s="495">
        <v>0</v>
      </c>
      <c r="H54" s="495">
        <v>0.24</v>
      </c>
      <c r="I54" s="495">
        <v>322.08</v>
      </c>
      <c r="J54" s="494">
        <v>0.2</v>
      </c>
      <c r="K54" s="495">
        <v>64.42</v>
      </c>
      <c r="L54" s="495">
        <v>15.52</v>
      </c>
      <c r="M54" s="495">
        <v>79.94</v>
      </c>
    </row>
    <row r="55" spans="1:13" ht="18.75" customHeight="1" x14ac:dyDescent="0.25">
      <c r="A55" s="488" t="s">
        <v>804</v>
      </c>
      <c r="B55" s="495">
        <v>0.25</v>
      </c>
      <c r="C55" s="495">
        <v>966.24</v>
      </c>
      <c r="D55" s="494">
        <v>0.5</v>
      </c>
      <c r="E55" s="495">
        <v>483.12</v>
      </c>
      <c r="F55" s="495">
        <v>116.38</v>
      </c>
      <c r="G55" s="495">
        <v>599.5</v>
      </c>
      <c r="H55" s="495">
        <v>0.25</v>
      </c>
      <c r="I55" s="495">
        <v>1169.6500000000001</v>
      </c>
      <c r="J55" s="494">
        <v>0.2</v>
      </c>
      <c r="K55" s="495">
        <v>233.93</v>
      </c>
      <c r="L55" s="495">
        <v>56.35</v>
      </c>
      <c r="M55" s="495">
        <v>290.28000000000003</v>
      </c>
    </row>
    <row r="56" spans="1:13" ht="18.75" customHeight="1" x14ac:dyDescent="0.25">
      <c r="A56" s="488" t="s">
        <v>804</v>
      </c>
      <c r="B56" s="495">
        <v>0.33</v>
      </c>
      <c r="C56" s="495">
        <v>457.7</v>
      </c>
      <c r="D56" s="494">
        <v>0.5</v>
      </c>
      <c r="E56" s="495">
        <v>228.85</v>
      </c>
      <c r="F56" s="495">
        <v>55.13</v>
      </c>
      <c r="G56" s="495">
        <v>283.98</v>
      </c>
      <c r="H56" s="495">
        <v>0.33</v>
      </c>
      <c r="I56" s="495">
        <v>440.74</v>
      </c>
      <c r="J56" s="494">
        <v>0.2</v>
      </c>
      <c r="K56" s="495">
        <v>88.15</v>
      </c>
      <c r="L56" s="495">
        <v>21.24</v>
      </c>
      <c r="M56" s="495">
        <v>109.39</v>
      </c>
    </row>
    <row r="57" spans="1:13" ht="18.75" customHeight="1" x14ac:dyDescent="0.25">
      <c r="A57" s="488" t="s">
        <v>804</v>
      </c>
      <c r="B57" s="495"/>
      <c r="C57" s="495"/>
      <c r="D57" s="494"/>
      <c r="E57" s="495"/>
      <c r="F57" s="495">
        <v>0</v>
      </c>
      <c r="G57" s="495">
        <v>0</v>
      </c>
      <c r="H57" s="495">
        <v>0.25</v>
      </c>
      <c r="I57" s="495">
        <v>339.03</v>
      </c>
      <c r="J57" s="494">
        <v>0.2</v>
      </c>
      <c r="K57" s="495">
        <v>67.81</v>
      </c>
      <c r="L57" s="495">
        <v>16.34</v>
      </c>
      <c r="M57" s="495">
        <v>84.15</v>
      </c>
    </row>
    <row r="58" spans="1:13" ht="18.75" customHeight="1" x14ac:dyDescent="0.25">
      <c r="A58" s="488" t="s">
        <v>804</v>
      </c>
      <c r="B58" s="495"/>
      <c r="C58" s="495"/>
      <c r="D58" s="494"/>
      <c r="E58" s="495"/>
      <c r="F58" s="495">
        <v>0</v>
      </c>
      <c r="G58" s="495">
        <v>0</v>
      </c>
      <c r="H58" s="495">
        <v>0.18</v>
      </c>
      <c r="I58" s="495">
        <v>237.32</v>
      </c>
      <c r="J58" s="494">
        <v>0.2</v>
      </c>
      <c r="K58" s="495">
        <v>47.46</v>
      </c>
      <c r="L58" s="495">
        <v>11.43</v>
      </c>
      <c r="M58" s="495">
        <v>58.89</v>
      </c>
    </row>
    <row r="59" spans="1:13" ht="18.75" customHeight="1" x14ac:dyDescent="0.25">
      <c r="A59" s="488" t="s">
        <v>804</v>
      </c>
      <c r="B59" s="495">
        <v>0.18</v>
      </c>
      <c r="C59" s="495">
        <v>33.9</v>
      </c>
      <c r="D59" s="494">
        <v>0.5</v>
      </c>
      <c r="E59" s="495">
        <v>16.95</v>
      </c>
      <c r="F59" s="495">
        <v>4.08</v>
      </c>
      <c r="G59" s="495">
        <v>21.03</v>
      </c>
      <c r="H59" s="495">
        <v>0.18</v>
      </c>
      <c r="I59" s="495">
        <v>237.32</v>
      </c>
      <c r="J59" s="494">
        <v>0.2</v>
      </c>
      <c r="K59" s="495">
        <v>47.46</v>
      </c>
      <c r="L59" s="495">
        <v>11.43</v>
      </c>
      <c r="M59" s="495">
        <v>58.89</v>
      </c>
    </row>
    <row r="60" spans="1:13" ht="18.75" customHeight="1" x14ac:dyDescent="0.25">
      <c r="A60" s="488" t="s">
        <v>804</v>
      </c>
      <c r="B60" s="495">
        <v>0.3</v>
      </c>
      <c r="C60" s="495">
        <v>101.72</v>
      </c>
      <c r="D60" s="494">
        <v>0.5</v>
      </c>
      <c r="E60" s="495">
        <v>50.86</v>
      </c>
      <c r="F60" s="495">
        <v>12.25</v>
      </c>
      <c r="G60" s="495">
        <v>63.11</v>
      </c>
      <c r="H60" s="495">
        <v>0.3</v>
      </c>
      <c r="I60" s="495">
        <v>406.83</v>
      </c>
      <c r="J60" s="494">
        <v>0.2</v>
      </c>
      <c r="K60" s="495">
        <v>81.37</v>
      </c>
      <c r="L60" s="495">
        <v>19.600000000000001</v>
      </c>
      <c r="M60" s="495">
        <v>100.97</v>
      </c>
    </row>
    <row r="61" spans="1:13" ht="18.75" customHeight="1" x14ac:dyDescent="0.25">
      <c r="A61" s="488" t="s">
        <v>804</v>
      </c>
      <c r="B61" s="495">
        <v>1</v>
      </c>
      <c r="C61" s="495">
        <v>1414</v>
      </c>
      <c r="D61" s="494">
        <v>0.5</v>
      </c>
      <c r="E61" s="495">
        <v>707</v>
      </c>
      <c r="F61" s="495">
        <v>170.32</v>
      </c>
      <c r="G61" s="495">
        <v>877.31999999999994</v>
      </c>
      <c r="H61" s="495">
        <v>1</v>
      </c>
      <c r="I61" s="495">
        <v>1414</v>
      </c>
      <c r="J61" s="494">
        <v>0.2</v>
      </c>
      <c r="K61" s="495">
        <v>282.8</v>
      </c>
      <c r="L61" s="495">
        <v>68.13</v>
      </c>
      <c r="M61" s="495">
        <v>350.93</v>
      </c>
    </row>
    <row r="62" spans="1:13" ht="18.75" customHeight="1" x14ac:dyDescent="0.25">
      <c r="A62" s="488" t="s">
        <v>804</v>
      </c>
      <c r="B62" s="495">
        <v>0.63</v>
      </c>
      <c r="C62" s="495">
        <v>711.96</v>
      </c>
      <c r="D62" s="494">
        <v>0.5</v>
      </c>
      <c r="E62" s="495">
        <v>355.98</v>
      </c>
      <c r="F62" s="495">
        <v>85.76</v>
      </c>
      <c r="G62" s="495">
        <v>441.74</v>
      </c>
      <c r="H62" s="495">
        <v>0.63</v>
      </c>
      <c r="I62" s="495">
        <v>847.57</v>
      </c>
      <c r="J62" s="494">
        <v>0.2</v>
      </c>
      <c r="K62" s="495">
        <v>169.51</v>
      </c>
      <c r="L62" s="495">
        <v>40.83</v>
      </c>
      <c r="M62" s="495">
        <v>210.33999999999997</v>
      </c>
    </row>
    <row r="63" spans="1:13" ht="18.75" customHeight="1" x14ac:dyDescent="0.25">
      <c r="A63" s="488" t="s">
        <v>804</v>
      </c>
      <c r="B63" s="495">
        <v>0.15</v>
      </c>
      <c r="C63" s="495">
        <v>101.72</v>
      </c>
      <c r="D63" s="494">
        <v>0.5</v>
      </c>
      <c r="E63" s="495">
        <v>50.86</v>
      </c>
      <c r="F63" s="495">
        <v>12.25</v>
      </c>
      <c r="G63" s="495">
        <v>63.11</v>
      </c>
      <c r="H63" s="495">
        <v>0.15</v>
      </c>
      <c r="I63" s="495">
        <v>203.42</v>
      </c>
      <c r="J63" s="494">
        <v>0.2</v>
      </c>
      <c r="K63" s="495">
        <v>40.68</v>
      </c>
      <c r="L63" s="495">
        <v>9.8000000000000007</v>
      </c>
      <c r="M63" s="495">
        <v>50.480000000000004</v>
      </c>
    </row>
    <row r="64" spans="1:13" ht="18.75" customHeight="1" x14ac:dyDescent="0.25">
      <c r="A64" s="488" t="s">
        <v>804</v>
      </c>
      <c r="B64" s="495"/>
      <c r="C64" s="495"/>
      <c r="D64" s="494"/>
      <c r="E64" s="495"/>
      <c r="F64" s="495">
        <v>0</v>
      </c>
      <c r="G64" s="495">
        <v>0</v>
      </c>
      <c r="H64" s="495">
        <v>0.46</v>
      </c>
      <c r="I64" s="495">
        <v>610.25</v>
      </c>
      <c r="J64" s="494">
        <v>0.2</v>
      </c>
      <c r="K64" s="495">
        <v>122.05</v>
      </c>
      <c r="L64" s="495">
        <v>29.4</v>
      </c>
      <c r="M64" s="495">
        <v>151.44999999999999</v>
      </c>
    </row>
    <row r="65" spans="1:13" ht="18.75" customHeight="1" x14ac:dyDescent="0.25">
      <c r="A65" s="488" t="s">
        <v>804</v>
      </c>
      <c r="B65" s="495">
        <v>0.15</v>
      </c>
      <c r="C65" s="495">
        <v>101.72</v>
      </c>
      <c r="D65" s="494">
        <v>0.5</v>
      </c>
      <c r="E65" s="495">
        <v>50.86</v>
      </c>
      <c r="F65" s="495">
        <v>12.25</v>
      </c>
      <c r="G65" s="495">
        <v>63.11</v>
      </c>
      <c r="H65" s="495">
        <v>0.15</v>
      </c>
      <c r="I65" s="495">
        <v>203.42</v>
      </c>
      <c r="J65" s="494">
        <v>0.2</v>
      </c>
      <c r="K65" s="495">
        <v>40.68</v>
      </c>
      <c r="L65" s="495">
        <v>9.8000000000000007</v>
      </c>
      <c r="M65" s="495">
        <v>50.480000000000004</v>
      </c>
    </row>
    <row r="66" spans="1:13" ht="18.75" customHeight="1" x14ac:dyDescent="0.25">
      <c r="A66" s="488" t="s">
        <v>804</v>
      </c>
      <c r="B66" s="495"/>
      <c r="C66" s="495"/>
      <c r="D66" s="494"/>
      <c r="E66" s="495"/>
      <c r="F66" s="495">
        <v>0</v>
      </c>
      <c r="G66" s="495">
        <v>0</v>
      </c>
      <c r="H66" s="495">
        <v>0.1</v>
      </c>
      <c r="I66" s="495">
        <v>121.99</v>
      </c>
      <c r="J66" s="494">
        <v>0.2</v>
      </c>
      <c r="K66" s="495">
        <v>24.4</v>
      </c>
      <c r="L66" s="495">
        <v>5.88</v>
      </c>
      <c r="M66" s="495">
        <v>30.279999999999998</v>
      </c>
    </row>
    <row r="67" spans="1:13" ht="18.75" customHeight="1" x14ac:dyDescent="0.25">
      <c r="A67" s="488" t="s">
        <v>804</v>
      </c>
      <c r="B67" s="495"/>
      <c r="C67" s="495"/>
      <c r="D67" s="494"/>
      <c r="E67" s="495"/>
      <c r="F67" s="495">
        <v>0</v>
      </c>
      <c r="G67" s="495">
        <v>0</v>
      </c>
      <c r="H67" s="495">
        <v>0.15</v>
      </c>
      <c r="I67" s="495">
        <v>182.99</v>
      </c>
      <c r="J67" s="494">
        <v>0.2</v>
      </c>
      <c r="K67" s="495">
        <v>36.6</v>
      </c>
      <c r="L67" s="495">
        <v>8.82</v>
      </c>
      <c r="M67" s="495">
        <v>45.42</v>
      </c>
    </row>
    <row r="68" spans="1:13" ht="18.75" customHeight="1" x14ac:dyDescent="0.25">
      <c r="A68" s="488" t="s">
        <v>804</v>
      </c>
      <c r="B68" s="495"/>
      <c r="C68" s="495"/>
      <c r="D68" s="494"/>
      <c r="E68" s="495"/>
      <c r="F68" s="495">
        <v>0</v>
      </c>
      <c r="G68" s="495">
        <v>0</v>
      </c>
      <c r="H68" s="495">
        <v>0.15</v>
      </c>
      <c r="I68" s="495">
        <v>182.99</v>
      </c>
      <c r="J68" s="494">
        <v>0.2</v>
      </c>
      <c r="K68" s="495">
        <v>36.6</v>
      </c>
      <c r="L68" s="495">
        <v>8.82</v>
      </c>
      <c r="M68" s="495">
        <v>45.42</v>
      </c>
    </row>
    <row r="69" spans="1:13" ht="18.75" customHeight="1" x14ac:dyDescent="0.25">
      <c r="A69" s="488" t="s">
        <v>804</v>
      </c>
      <c r="B69" s="495"/>
      <c r="C69" s="495"/>
      <c r="D69" s="494"/>
      <c r="E69" s="495"/>
      <c r="F69" s="495">
        <v>0</v>
      </c>
      <c r="G69" s="495">
        <v>0</v>
      </c>
      <c r="H69" s="495">
        <v>0.26</v>
      </c>
      <c r="I69" s="495">
        <v>312.60000000000002</v>
      </c>
      <c r="J69" s="494">
        <v>0.2</v>
      </c>
      <c r="K69" s="495">
        <v>62.52</v>
      </c>
      <c r="L69" s="495">
        <v>15.06</v>
      </c>
      <c r="M69" s="495">
        <v>77.58</v>
      </c>
    </row>
    <row r="70" spans="1:13" ht="18.75" customHeight="1" x14ac:dyDescent="0.25">
      <c r="A70" s="488" t="s">
        <v>804</v>
      </c>
      <c r="B70" s="495"/>
      <c r="C70" s="495"/>
      <c r="D70" s="494"/>
      <c r="E70" s="495"/>
      <c r="F70" s="495">
        <v>0</v>
      </c>
      <c r="G70" s="495">
        <v>0</v>
      </c>
      <c r="H70" s="495">
        <v>0.35</v>
      </c>
      <c r="I70" s="495">
        <v>426.97</v>
      </c>
      <c r="J70" s="494">
        <v>0.2</v>
      </c>
      <c r="K70" s="495">
        <v>85.39</v>
      </c>
      <c r="L70" s="495">
        <v>20.57</v>
      </c>
      <c r="M70" s="495">
        <v>105.96000000000001</v>
      </c>
    </row>
    <row r="71" spans="1:13" ht="18.75" customHeight="1" x14ac:dyDescent="0.25">
      <c r="A71" s="488" t="s">
        <v>804</v>
      </c>
      <c r="B71" s="495"/>
      <c r="C71" s="495"/>
      <c r="D71" s="494"/>
      <c r="E71" s="495"/>
      <c r="F71" s="495">
        <v>0</v>
      </c>
      <c r="G71" s="495">
        <v>0</v>
      </c>
      <c r="H71" s="495">
        <v>0.15</v>
      </c>
      <c r="I71" s="495">
        <v>182.99</v>
      </c>
      <c r="J71" s="494">
        <v>0.2</v>
      </c>
      <c r="K71" s="495">
        <v>36.6</v>
      </c>
      <c r="L71" s="495">
        <v>8.82</v>
      </c>
      <c r="M71" s="495">
        <v>45.42</v>
      </c>
    </row>
    <row r="72" spans="1:13" ht="18.75" customHeight="1" x14ac:dyDescent="0.25">
      <c r="A72" s="488" t="s">
        <v>804</v>
      </c>
      <c r="B72" s="495"/>
      <c r="C72" s="495"/>
      <c r="D72" s="494"/>
      <c r="E72" s="495"/>
      <c r="F72" s="495">
        <v>0</v>
      </c>
      <c r="G72" s="495">
        <v>0</v>
      </c>
      <c r="H72" s="495">
        <v>0.15</v>
      </c>
      <c r="I72" s="495">
        <v>182.99</v>
      </c>
      <c r="J72" s="494">
        <v>0.2</v>
      </c>
      <c r="K72" s="495">
        <v>36.6</v>
      </c>
      <c r="L72" s="495">
        <v>8.82</v>
      </c>
      <c r="M72" s="495">
        <v>45.42</v>
      </c>
    </row>
    <row r="73" spans="1:13" ht="18.75" customHeight="1" x14ac:dyDescent="0.25">
      <c r="A73" s="488" t="s">
        <v>804</v>
      </c>
      <c r="B73" s="495"/>
      <c r="C73" s="495"/>
      <c r="D73" s="494"/>
      <c r="E73" s="495"/>
      <c r="F73" s="495">
        <v>0</v>
      </c>
      <c r="G73" s="495">
        <v>0</v>
      </c>
      <c r="H73" s="495">
        <v>0.1</v>
      </c>
      <c r="I73" s="495">
        <v>121.99</v>
      </c>
      <c r="J73" s="494">
        <v>0.2</v>
      </c>
      <c r="K73" s="495">
        <v>24.4</v>
      </c>
      <c r="L73" s="495">
        <v>5.88</v>
      </c>
      <c r="M73" s="495">
        <v>30.279999999999998</v>
      </c>
    </row>
    <row r="74" spans="1:13" ht="18.75" customHeight="1" x14ac:dyDescent="0.25">
      <c r="A74" s="488" t="s">
        <v>804</v>
      </c>
      <c r="B74" s="495"/>
      <c r="C74" s="495"/>
      <c r="D74" s="494"/>
      <c r="E74" s="495"/>
      <c r="F74" s="495">
        <v>0</v>
      </c>
      <c r="G74" s="495">
        <v>0</v>
      </c>
      <c r="H74" s="495">
        <v>0.1</v>
      </c>
      <c r="I74" s="495">
        <v>121.99</v>
      </c>
      <c r="J74" s="494">
        <v>0.2</v>
      </c>
      <c r="K74" s="495">
        <v>24.4</v>
      </c>
      <c r="L74" s="495">
        <v>5.88</v>
      </c>
      <c r="M74" s="495">
        <v>30.279999999999998</v>
      </c>
    </row>
    <row r="75" spans="1:13" ht="18.75" customHeight="1" x14ac:dyDescent="0.25">
      <c r="A75" s="488" t="s">
        <v>804</v>
      </c>
      <c r="B75" s="495"/>
      <c r="C75" s="495"/>
      <c r="D75" s="494"/>
      <c r="E75" s="495"/>
      <c r="F75" s="495">
        <v>0</v>
      </c>
      <c r="G75" s="495">
        <v>0</v>
      </c>
      <c r="H75" s="495">
        <v>0.1</v>
      </c>
      <c r="I75" s="495">
        <v>121.99</v>
      </c>
      <c r="J75" s="494">
        <v>0.2</v>
      </c>
      <c r="K75" s="495">
        <v>24.4</v>
      </c>
      <c r="L75" s="495">
        <v>5.88</v>
      </c>
      <c r="M75" s="495">
        <v>30.279999999999998</v>
      </c>
    </row>
    <row r="76" spans="1:13" ht="18.75" customHeight="1" x14ac:dyDescent="0.25">
      <c r="A76" s="488" t="s">
        <v>804</v>
      </c>
      <c r="B76" s="495"/>
      <c r="C76" s="495"/>
      <c r="D76" s="494"/>
      <c r="E76" s="495"/>
      <c r="F76" s="495">
        <v>0</v>
      </c>
      <c r="G76" s="495">
        <v>0</v>
      </c>
      <c r="H76" s="495">
        <v>0.1</v>
      </c>
      <c r="I76" s="495">
        <v>121.99</v>
      </c>
      <c r="J76" s="494">
        <v>0.2</v>
      </c>
      <c r="K76" s="495">
        <v>24.4</v>
      </c>
      <c r="L76" s="495">
        <v>5.88</v>
      </c>
      <c r="M76" s="495">
        <v>30.279999999999998</v>
      </c>
    </row>
    <row r="77" spans="1:13" ht="18.75" customHeight="1" x14ac:dyDescent="0.25">
      <c r="A77" s="488" t="s">
        <v>804</v>
      </c>
      <c r="B77" s="495"/>
      <c r="C77" s="495"/>
      <c r="D77" s="494"/>
      <c r="E77" s="495"/>
      <c r="F77" s="495">
        <v>0</v>
      </c>
      <c r="G77" s="495">
        <v>0</v>
      </c>
      <c r="H77" s="495">
        <v>0.15</v>
      </c>
      <c r="I77" s="495">
        <v>182.99</v>
      </c>
      <c r="J77" s="494">
        <v>0.2</v>
      </c>
      <c r="K77" s="495">
        <v>36.6</v>
      </c>
      <c r="L77" s="495">
        <v>8.82</v>
      </c>
      <c r="M77" s="495">
        <v>45.42</v>
      </c>
    </row>
    <row r="78" spans="1:13" ht="18.75" customHeight="1" x14ac:dyDescent="0.25">
      <c r="A78" s="488" t="s">
        <v>804</v>
      </c>
      <c r="B78" s="495"/>
      <c r="C78" s="495"/>
      <c r="D78" s="494"/>
      <c r="E78" s="495"/>
      <c r="F78" s="495">
        <v>0</v>
      </c>
      <c r="G78" s="495">
        <v>0</v>
      </c>
      <c r="H78" s="495">
        <v>0.1</v>
      </c>
      <c r="I78" s="495">
        <v>121.99</v>
      </c>
      <c r="J78" s="494">
        <v>0.2</v>
      </c>
      <c r="K78" s="495">
        <v>24.4</v>
      </c>
      <c r="L78" s="495">
        <v>5.88</v>
      </c>
      <c r="M78" s="495">
        <v>30.279999999999998</v>
      </c>
    </row>
    <row r="79" spans="1:13" ht="18.75" customHeight="1" x14ac:dyDescent="0.25">
      <c r="A79" s="488" t="s">
        <v>804</v>
      </c>
      <c r="B79" s="495"/>
      <c r="C79" s="495"/>
      <c r="D79" s="494"/>
      <c r="E79" s="495"/>
      <c r="F79" s="495">
        <v>0</v>
      </c>
      <c r="G79" s="495">
        <v>0</v>
      </c>
      <c r="H79" s="495">
        <v>0.06</v>
      </c>
      <c r="I79" s="495">
        <v>68.62</v>
      </c>
      <c r="J79" s="494">
        <v>0.2</v>
      </c>
      <c r="K79" s="495">
        <v>13.72</v>
      </c>
      <c r="L79" s="495">
        <v>3.31</v>
      </c>
      <c r="M79" s="495">
        <v>17.03</v>
      </c>
    </row>
    <row r="80" spans="1:13" ht="18.75" customHeight="1" x14ac:dyDescent="0.25">
      <c r="A80" s="488" t="s">
        <v>804</v>
      </c>
      <c r="B80" s="495"/>
      <c r="C80" s="495"/>
      <c r="D80" s="494"/>
      <c r="E80" s="495"/>
      <c r="F80" s="495">
        <v>0</v>
      </c>
      <c r="G80" s="495">
        <v>0</v>
      </c>
      <c r="H80" s="495">
        <v>0.35</v>
      </c>
      <c r="I80" s="495">
        <v>426.97</v>
      </c>
      <c r="J80" s="494">
        <v>0.2</v>
      </c>
      <c r="K80" s="495">
        <v>85.39</v>
      </c>
      <c r="L80" s="495">
        <v>20.57</v>
      </c>
      <c r="M80" s="495">
        <v>105.96000000000001</v>
      </c>
    </row>
    <row r="81" spans="1:13" ht="18.75" customHeight="1" x14ac:dyDescent="0.25">
      <c r="A81" s="488" t="s">
        <v>804</v>
      </c>
      <c r="B81" s="495"/>
      <c r="C81" s="495"/>
      <c r="D81" s="494"/>
      <c r="E81" s="495"/>
      <c r="F81" s="495">
        <v>0</v>
      </c>
      <c r="G81" s="495">
        <v>0</v>
      </c>
      <c r="H81" s="495">
        <v>0.15</v>
      </c>
      <c r="I81" s="495">
        <v>182.99</v>
      </c>
      <c r="J81" s="494">
        <v>0.2</v>
      </c>
      <c r="K81" s="495">
        <v>36.6</v>
      </c>
      <c r="L81" s="495">
        <v>8.82</v>
      </c>
      <c r="M81" s="495">
        <v>45.42</v>
      </c>
    </row>
    <row r="82" spans="1:13" ht="18.75" customHeight="1" x14ac:dyDescent="0.25">
      <c r="A82" s="488" t="s">
        <v>804</v>
      </c>
      <c r="B82" s="495"/>
      <c r="C82" s="495"/>
      <c r="D82" s="494"/>
      <c r="E82" s="495"/>
      <c r="F82" s="495">
        <v>0</v>
      </c>
      <c r="G82" s="495">
        <v>0</v>
      </c>
      <c r="H82" s="495">
        <v>0.35</v>
      </c>
      <c r="I82" s="495">
        <v>426.97</v>
      </c>
      <c r="J82" s="494">
        <v>0.2</v>
      </c>
      <c r="K82" s="495">
        <v>85.39</v>
      </c>
      <c r="L82" s="495">
        <v>20.57</v>
      </c>
      <c r="M82" s="495">
        <v>105.96000000000001</v>
      </c>
    </row>
    <row r="83" spans="1:13" ht="18.75" customHeight="1" x14ac:dyDescent="0.25">
      <c r="A83" s="488" t="s">
        <v>804</v>
      </c>
      <c r="B83" s="495"/>
      <c r="C83" s="495"/>
      <c r="D83" s="494"/>
      <c r="E83" s="495"/>
      <c r="F83" s="495">
        <v>0</v>
      </c>
      <c r="G83" s="495">
        <v>0</v>
      </c>
      <c r="H83" s="495">
        <v>0.2</v>
      </c>
      <c r="I83" s="495">
        <v>243.98</v>
      </c>
      <c r="J83" s="494">
        <v>0.2</v>
      </c>
      <c r="K83" s="495">
        <v>48.8</v>
      </c>
      <c r="L83" s="495">
        <v>11.76</v>
      </c>
      <c r="M83" s="495">
        <v>60.559999999999995</v>
      </c>
    </row>
    <row r="84" spans="1:13" ht="18.75" customHeight="1" x14ac:dyDescent="0.25">
      <c r="A84" s="488" t="s">
        <v>804</v>
      </c>
      <c r="B84" s="495"/>
      <c r="C84" s="495"/>
      <c r="D84" s="494"/>
      <c r="E84" s="495"/>
      <c r="F84" s="495">
        <v>0</v>
      </c>
      <c r="G84" s="495">
        <v>0</v>
      </c>
      <c r="H84" s="495">
        <v>0.35</v>
      </c>
      <c r="I84" s="495">
        <v>426.97</v>
      </c>
      <c r="J84" s="494">
        <v>0.2</v>
      </c>
      <c r="K84" s="495">
        <v>85.39</v>
      </c>
      <c r="L84" s="495">
        <v>20.57</v>
      </c>
      <c r="M84" s="495">
        <v>105.96000000000001</v>
      </c>
    </row>
    <row r="85" spans="1:13" ht="18.75" customHeight="1" x14ac:dyDescent="0.25">
      <c r="A85" s="488" t="s">
        <v>804</v>
      </c>
      <c r="B85" s="495"/>
      <c r="C85" s="495"/>
      <c r="D85" s="494"/>
      <c r="E85" s="495"/>
      <c r="F85" s="495">
        <v>0</v>
      </c>
      <c r="G85" s="495">
        <v>0</v>
      </c>
      <c r="H85" s="495">
        <v>0.1</v>
      </c>
      <c r="I85" s="495">
        <v>121.99</v>
      </c>
      <c r="J85" s="494">
        <v>0.2</v>
      </c>
      <c r="K85" s="495">
        <v>24.4</v>
      </c>
      <c r="L85" s="495">
        <v>5.88</v>
      </c>
      <c r="M85" s="495">
        <v>30.279999999999998</v>
      </c>
    </row>
    <row r="86" spans="1:13" ht="18.75" customHeight="1" x14ac:dyDescent="0.25">
      <c r="A86" s="488" t="s">
        <v>804</v>
      </c>
      <c r="B86" s="495">
        <v>1</v>
      </c>
      <c r="C86" s="495">
        <v>1272</v>
      </c>
      <c r="D86" s="494">
        <v>0.5</v>
      </c>
      <c r="E86" s="495">
        <v>636</v>
      </c>
      <c r="F86" s="495">
        <v>153.21</v>
      </c>
      <c r="G86" s="495">
        <v>789.21</v>
      </c>
      <c r="H86" s="495"/>
      <c r="I86" s="495"/>
      <c r="J86" s="494"/>
      <c r="K86" s="495"/>
      <c r="L86" s="495"/>
      <c r="M86" s="495"/>
    </row>
    <row r="87" spans="1:13" s="703" customFormat="1" ht="18.75" customHeight="1" x14ac:dyDescent="0.25">
      <c r="A87" s="488" t="s">
        <v>804</v>
      </c>
      <c r="B87" s="495">
        <v>0.2</v>
      </c>
      <c r="C87" s="495">
        <v>271.22000000000003</v>
      </c>
      <c r="D87" s="494">
        <v>0.5</v>
      </c>
      <c r="E87" s="495">
        <v>135.61000000000001</v>
      </c>
      <c r="F87" s="495">
        <v>32.67</v>
      </c>
      <c r="G87" s="495">
        <v>168.28000000000003</v>
      </c>
      <c r="H87" s="495"/>
      <c r="I87" s="495"/>
      <c r="J87" s="494"/>
      <c r="K87" s="495"/>
      <c r="L87" s="495"/>
      <c r="M87" s="495"/>
    </row>
    <row r="88" spans="1:13" ht="18.75" customHeight="1" x14ac:dyDescent="0.25">
      <c r="A88" s="488" t="s">
        <v>804</v>
      </c>
      <c r="B88" s="495">
        <v>0.25</v>
      </c>
      <c r="C88" s="495">
        <v>412.7</v>
      </c>
      <c r="D88" s="494">
        <v>0.5</v>
      </c>
      <c r="E88" s="495">
        <v>206.35</v>
      </c>
      <c r="F88" s="495">
        <v>49.71</v>
      </c>
      <c r="G88" s="495">
        <v>256.06</v>
      </c>
      <c r="H88" s="495"/>
      <c r="I88" s="495"/>
      <c r="J88" s="494"/>
      <c r="K88" s="495"/>
      <c r="L88" s="495"/>
      <c r="M88" s="495"/>
    </row>
    <row r="89" spans="1:13" s="703" customFormat="1" ht="18.75" customHeight="1" x14ac:dyDescent="0.25">
      <c r="A89" s="488" t="s">
        <v>804</v>
      </c>
      <c r="B89" s="495">
        <v>0.11</v>
      </c>
      <c r="C89" s="495">
        <v>135.62</v>
      </c>
      <c r="D89" s="494">
        <v>0.5</v>
      </c>
      <c r="E89" s="495">
        <v>67.81</v>
      </c>
      <c r="F89" s="495">
        <v>16.34</v>
      </c>
      <c r="G89" s="495">
        <v>84.15</v>
      </c>
      <c r="H89" s="495"/>
      <c r="I89" s="495"/>
      <c r="J89" s="494"/>
      <c r="K89" s="495"/>
      <c r="L89" s="495"/>
      <c r="M89" s="495"/>
    </row>
    <row r="90" spans="1:13" s="703" customFormat="1" ht="18.75" customHeight="1" x14ac:dyDescent="0.25">
      <c r="A90" s="488" t="s">
        <v>804</v>
      </c>
      <c r="B90" s="495">
        <v>0.24</v>
      </c>
      <c r="C90" s="495">
        <v>305.14</v>
      </c>
      <c r="D90" s="494">
        <v>0.5</v>
      </c>
      <c r="E90" s="495">
        <v>152.57</v>
      </c>
      <c r="F90" s="495">
        <v>36.75</v>
      </c>
      <c r="G90" s="495">
        <v>189.32</v>
      </c>
      <c r="H90" s="495"/>
      <c r="I90" s="495"/>
      <c r="J90" s="494"/>
      <c r="K90" s="495"/>
      <c r="L90" s="495"/>
      <c r="M90" s="495"/>
    </row>
    <row r="91" spans="1:13" s="703" customFormat="1" ht="18.75" customHeight="1" x14ac:dyDescent="0.25">
      <c r="A91" s="488" t="s">
        <v>804</v>
      </c>
      <c r="B91" s="495">
        <v>0.51</v>
      </c>
      <c r="C91" s="495">
        <v>657.26</v>
      </c>
      <c r="D91" s="494">
        <v>0.5</v>
      </c>
      <c r="E91" s="495">
        <v>328.63</v>
      </c>
      <c r="F91" s="495">
        <v>79.17</v>
      </c>
      <c r="G91" s="495">
        <v>407.8</v>
      </c>
      <c r="H91" s="495"/>
      <c r="I91" s="495"/>
      <c r="J91" s="494"/>
      <c r="K91" s="495"/>
      <c r="L91" s="495"/>
      <c r="M91" s="495"/>
    </row>
    <row r="92" spans="1:13" s="703" customFormat="1" ht="18.75" customHeight="1" x14ac:dyDescent="0.25">
      <c r="A92" s="488" t="s">
        <v>804</v>
      </c>
      <c r="B92" s="495">
        <v>0.66</v>
      </c>
      <c r="C92" s="495">
        <v>847.58</v>
      </c>
      <c r="D92" s="494">
        <v>0.5</v>
      </c>
      <c r="E92" s="495">
        <v>423.79</v>
      </c>
      <c r="F92" s="495">
        <v>102.09</v>
      </c>
      <c r="G92" s="495">
        <v>525.88</v>
      </c>
      <c r="H92" s="495"/>
      <c r="I92" s="495"/>
      <c r="J92" s="494"/>
      <c r="K92" s="495"/>
      <c r="L92" s="495"/>
      <c r="M92" s="495"/>
    </row>
    <row r="93" spans="1:13" ht="18.75" customHeight="1" x14ac:dyDescent="0.25">
      <c r="A93" s="488" t="s">
        <v>952</v>
      </c>
      <c r="B93" s="495">
        <v>0.75</v>
      </c>
      <c r="C93" s="495">
        <v>427.5</v>
      </c>
      <c r="D93" s="494">
        <v>0.3</v>
      </c>
      <c r="E93" s="495">
        <v>128.25</v>
      </c>
      <c r="F93" s="495">
        <v>30.9</v>
      </c>
      <c r="G93" s="495">
        <v>159.15</v>
      </c>
      <c r="H93" s="495"/>
      <c r="I93" s="495"/>
      <c r="J93" s="494"/>
      <c r="K93" s="495"/>
      <c r="L93" s="495"/>
      <c r="M93" s="495"/>
    </row>
    <row r="94" spans="1:13" ht="18.75" customHeight="1" x14ac:dyDescent="0.25">
      <c r="A94" s="488" t="s">
        <v>805</v>
      </c>
      <c r="B94" s="495"/>
      <c r="C94" s="495"/>
      <c r="D94" s="494"/>
      <c r="E94" s="495"/>
      <c r="F94" s="495">
        <v>0</v>
      </c>
      <c r="G94" s="495">
        <v>0</v>
      </c>
      <c r="H94" s="495">
        <v>1</v>
      </c>
      <c r="I94" s="495">
        <v>1563</v>
      </c>
      <c r="J94" s="494">
        <v>0.2</v>
      </c>
      <c r="K94" s="495">
        <v>312.60000000000002</v>
      </c>
      <c r="L94" s="495">
        <v>75.31</v>
      </c>
      <c r="M94" s="495">
        <v>387.91</v>
      </c>
    </row>
    <row r="95" spans="1:13" ht="18.75" customHeight="1" x14ac:dyDescent="0.25">
      <c r="A95" s="488" t="s">
        <v>805</v>
      </c>
      <c r="B95" s="495"/>
      <c r="C95" s="495"/>
      <c r="D95" s="494"/>
      <c r="E95" s="495"/>
      <c r="F95" s="495">
        <v>0</v>
      </c>
      <c r="G95" s="495">
        <v>0</v>
      </c>
      <c r="H95" s="495">
        <v>1</v>
      </c>
      <c r="I95" s="495">
        <v>1413</v>
      </c>
      <c r="J95" s="494">
        <v>0.2</v>
      </c>
      <c r="K95" s="495">
        <v>282.60000000000002</v>
      </c>
      <c r="L95" s="495">
        <v>68.08</v>
      </c>
      <c r="M95" s="495">
        <v>350.68</v>
      </c>
    </row>
    <row r="96" spans="1:13" ht="18.75" customHeight="1" x14ac:dyDescent="0.25">
      <c r="A96" s="488" t="s">
        <v>20</v>
      </c>
      <c r="B96" s="495"/>
      <c r="C96" s="495"/>
      <c r="D96" s="494"/>
      <c r="E96" s="495"/>
      <c r="F96" s="495">
        <v>0</v>
      </c>
      <c r="G96" s="495">
        <v>0</v>
      </c>
      <c r="H96" s="495">
        <v>0.15</v>
      </c>
      <c r="I96" s="495">
        <v>172.32</v>
      </c>
      <c r="J96" s="494">
        <v>0.2</v>
      </c>
      <c r="K96" s="495">
        <v>34.46</v>
      </c>
      <c r="L96" s="495">
        <v>8.3000000000000007</v>
      </c>
      <c r="M96" s="495">
        <v>42.760000000000005</v>
      </c>
    </row>
    <row r="97" spans="1:13" ht="18.75" customHeight="1" x14ac:dyDescent="0.25">
      <c r="A97" s="488" t="s">
        <v>20</v>
      </c>
      <c r="B97" s="495">
        <v>0.08</v>
      </c>
      <c r="C97" s="495">
        <v>101.7</v>
      </c>
      <c r="D97" s="494">
        <v>0.3</v>
      </c>
      <c r="E97" s="495">
        <v>30.51</v>
      </c>
      <c r="F97" s="495">
        <v>7.35</v>
      </c>
      <c r="G97" s="495">
        <v>37.86</v>
      </c>
      <c r="H97" s="495">
        <v>0.08</v>
      </c>
      <c r="I97" s="495">
        <v>101.69</v>
      </c>
      <c r="J97" s="494">
        <v>0.2</v>
      </c>
      <c r="K97" s="495">
        <v>20.34</v>
      </c>
      <c r="L97" s="495">
        <v>4.9000000000000004</v>
      </c>
      <c r="M97" s="495">
        <v>25.240000000000002</v>
      </c>
    </row>
    <row r="98" spans="1:13" ht="18.75" customHeight="1" x14ac:dyDescent="0.25">
      <c r="A98" s="488" t="s">
        <v>20</v>
      </c>
      <c r="B98" s="495">
        <v>0.49</v>
      </c>
      <c r="C98" s="495">
        <v>375.47</v>
      </c>
      <c r="D98" s="494">
        <v>0.3</v>
      </c>
      <c r="E98" s="495">
        <v>112.64</v>
      </c>
      <c r="F98" s="495">
        <v>27.13</v>
      </c>
      <c r="G98" s="495">
        <v>139.77000000000001</v>
      </c>
      <c r="H98" s="495">
        <v>0.49</v>
      </c>
      <c r="I98" s="495">
        <v>610.14</v>
      </c>
      <c r="J98" s="494">
        <v>0.2</v>
      </c>
      <c r="K98" s="495">
        <v>122.03</v>
      </c>
      <c r="L98" s="495">
        <v>29.4</v>
      </c>
      <c r="M98" s="495">
        <v>151.43</v>
      </c>
    </row>
    <row r="99" spans="1:13" ht="18.75" customHeight="1" x14ac:dyDescent="0.25">
      <c r="A99" s="488" t="s">
        <v>20</v>
      </c>
      <c r="B99" s="495">
        <v>0.32</v>
      </c>
      <c r="C99" s="495">
        <v>219.03</v>
      </c>
      <c r="D99" s="494">
        <v>0.3</v>
      </c>
      <c r="E99" s="495">
        <v>65.709999999999994</v>
      </c>
      <c r="F99" s="495">
        <v>15.83</v>
      </c>
      <c r="G99" s="495">
        <v>81.539999999999992</v>
      </c>
      <c r="H99" s="495">
        <v>0.32</v>
      </c>
      <c r="I99" s="495">
        <v>391.12</v>
      </c>
      <c r="J99" s="494">
        <v>0.2</v>
      </c>
      <c r="K99" s="495">
        <v>78.22</v>
      </c>
      <c r="L99" s="495">
        <v>18.84</v>
      </c>
      <c r="M99" s="495">
        <v>97.06</v>
      </c>
    </row>
    <row r="100" spans="1:13" ht="18.75" customHeight="1" x14ac:dyDescent="0.25">
      <c r="A100" s="488" t="s">
        <v>20</v>
      </c>
      <c r="B100" s="495">
        <v>0.22</v>
      </c>
      <c r="C100" s="495">
        <v>664.9</v>
      </c>
      <c r="D100" s="494">
        <v>0.3</v>
      </c>
      <c r="E100" s="495">
        <v>199.47</v>
      </c>
      <c r="F100" s="495">
        <v>48.05</v>
      </c>
      <c r="G100" s="495">
        <v>247.51999999999998</v>
      </c>
      <c r="H100" s="495">
        <v>0.22</v>
      </c>
      <c r="I100" s="495">
        <v>273.77999999999997</v>
      </c>
      <c r="J100" s="494">
        <v>0.2</v>
      </c>
      <c r="K100" s="495">
        <v>54.76</v>
      </c>
      <c r="L100" s="495">
        <v>13.19</v>
      </c>
      <c r="M100" s="495">
        <v>67.95</v>
      </c>
    </row>
    <row r="101" spans="1:13" ht="18.75" customHeight="1" x14ac:dyDescent="0.25">
      <c r="A101" s="488" t="s">
        <v>20</v>
      </c>
      <c r="B101" s="495">
        <v>0.25</v>
      </c>
      <c r="C101" s="495">
        <v>312.89999999999998</v>
      </c>
      <c r="D101" s="494">
        <v>0.3</v>
      </c>
      <c r="E101" s="495">
        <v>93.87</v>
      </c>
      <c r="F101" s="495">
        <v>22.61</v>
      </c>
      <c r="G101" s="495">
        <v>116.48</v>
      </c>
      <c r="H101" s="495">
        <v>0.25</v>
      </c>
      <c r="I101" s="495">
        <v>375.47</v>
      </c>
      <c r="J101" s="494">
        <v>0.2</v>
      </c>
      <c r="K101" s="495">
        <v>75.09</v>
      </c>
      <c r="L101" s="495">
        <v>18.09</v>
      </c>
      <c r="M101" s="495">
        <v>93.18</v>
      </c>
    </row>
    <row r="102" spans="1:13" ht="18.75" customHeight="1" x14ac:dyDescent="0.25">
      <c r="A102" s="488" t="s">
        <v>20</v>
      </c>
      <c r="B102" s="495"/>
      <c r="C102" s="495"/>
      <c r="D102" s="494"/>
      <c r="E102" s="495"/>
      <c r="F102" s="495">
        <v>0</v>
      </c>
      <c r="G102" s="495">
        <v>0</v>
      </c>
      <c r="H102" s="495">
        <v>0.5</v>
      </c>
      <c r="I102" s="495">
        <v>750.94</v>
      </c>
      <c r="J102" s="494">
        <v>0.2</v>
      </c>
      <c r="K102" s="495">
        <v>150.19</v>
      </c>
      <c r="L102" s="495">
        <v>36.18</v>
      </c>
      <c r="M102" s="495">
        <v>186.37</v>
      </c>
    </row>
    <row r="103" spans="1:13" ht="18.75" customHeight="1" x14ac:dyDescent="0.25">
      <c r="A103" s="488" t="s">
        <v>20</v>
      </c>
      <c r="B103" s="495">
        <v>1</v>
      </c>
      <c r="C103" s="495">
        <v>1353.27</v>
      </c>
      <c r="D103" s="494">
        <v>0.3</v>
      </c>
      <c r="E103" s="495">
        <v>405.98</v>
      </c>
      <c r="F103" s="495">
        <v>97.8</v>
      </c>
      <c r="G103" s="495">
        <v>503.78000000000003</v>
      </c>
      <c r="H103" s="495">
        <v>1</v>
      </c>
      <c r="I103" s="495">
        <v>1595.75</v>
      </c>
      <c r="J103" s="494">
        <v>0.2</v>
      </c>
      <c r="K103" s="495">
        <v>319.14999999999998</v>
      </c>
      <c r="L103" s="495">
        <v>76.88</v>
      </c>
      <c r="M103" s="495">
        <v>396.03</v>
      </c>
    </row>
    <row r="104" spans="1:13" ht="18.75" customHeight="1" x14ac:dyDescent="0.25">
      <c r="A104" s="488" t="s">
        <v>20</v>
      </c>
      <c r="B104" s="495"/>
      <c r="C104" s="495"/>
      <c r="D104" s="494"/>
      <c r="E104" s="495"/>
      <c r="F104" s="495">
        <v>0</v>
      </c>
      <c r="G104" s="495">
        <v>0</v>
      </c>
      <c r="H104" s="495">
        <v>0.5</v>
      </c>
      <c r="I104" s="495">
        <v>766.59</v>
      </c>
      <c r="J104" s="494">
        <v>0.2</v>
      </c>
      <c r="K104" s="495">
        <v>153.32</v>
      </c>
      <c r="L104" s="495">
        <v>36.93</v>
      </c>
      <c r="M104" s="495">
        <v>190.25</v>
      </c>
    </row>
    <row r="105" spans="1:13" ht="18.75" customHeight="1" x14ac:dyDescent="0.25">
      <c r="A105" s="488" t="s">
        <v>20</v>
      </c>
      <c r="B105" s="495">
        <v>0.5</v>
      </c>
      <c r="C105" s="495">
        <v>1126.4000000000001</v>
      </c>
      <c r="D105" s="494">
        <v>0.3</v>
      </c>
      <c r="E105" s="495">
        <v>337.92</v>
      </c>
      <c r="F105" s="495">
        <v>81.400000000000006</v>
      </c>
      <c r="G105" s="495">
        <v>419.32000000000005</v>
      </c>
      <c r="H105" s="495">
        <v>0.5</v>
      </c>
      <c r="I105" s="495">
        <v>750.94</v>
      </c>
      <c r="J105" s="494">
        <v>0.2</v>
      </c>
      <c r="K105" s="495">
        <v>150.19</v>
      </c>
      <c r="L105" s="495">
        <v>36.18</v>
      </c>
      <c r="M105" s="495">
        <v>186.37</v>
      </c>
    </row>
    <row r="106" spans="1:13" ht="18.75" customHeight="1" x14ac:dyDescent="0.25">
      <c r="A106" s="488" t="s">
        <v>20</v>
      </c>
      <c r="B106" s="495">
        <v>0.38</v>
      </c>
      <c r="C106" s="495">
        <v>508.47</v>
      </c>
      <c r="D106" s="494">
        <v>0.3</v>
      </c>
      <c r="E106" s="495">
        <v>152.54</v>
      </c>
      <c r="F106" s="495">
        <v>36.75</v>
      </c>
      <c r="G106" s="495">
        <v>189.29</v>
      </c>
      <c r="H106" s="495">
        <v>0.38</v>
      </c>
      <c r="I106" s="495">
        <v>469.34</v>
      </c>
      <c r="J106" s="494">
        <v>0.2</v>
      </c>
      <c r="K106" s="495">
        <v>93.87</v>
      </c>
      <c r="L106" s="495">
        <v>22.61</v>
      </c>
      <c r="M106" s="495">
        <v>116.48</v>
      </c>
    </row>
    <row r="107" spans="1:13" ht="18.75" customHeight="1" x14ac:dyDescent="0.25">
      <c r="A107" s="488" t="s">
        <v>20</v>
      </c>
      <c r="B107" s="495">
        <v>0.31</v>
      </c>
      <c r="C107" s="495">
        <v>438.07</v>
      </c>
      <c r="D107" s="494">
        <v>0.3</v>
      </c>
      <c r="E107" s="495">
        <v>131.41999999999999</v>
      </c>
      <c r="F107" s="495">
        <v>31.66</v>
      </c>
      <c r="G107" s="495">
        <v>163.07999999999998</v>
      </c>
      <c r="H107" s="495">
        <v>0.31</v>
      </c>
      <c r="I107" s="495">
        <v>383.29</v>
      </c>
      <c r="J107" s="494">
        <v>0.2</v>
      </c>
      <c r="K107" s="495">
        <v>76.66</v>
      </c>
      <c r="L107" s="495">
        <v>18.47</v>
      </c>
      <c r="M107" s="495">
        <v>95.13</v>
      </c>
    </row>
    <row r="108" spans="1:13" ht="18.75" customHeight="1" x14ac:dyDescent="0.25">
      <c r="A108" s="488" t="s">
        <v>20</v>
      </c>
      <c r="B108" s="495">
        <v>0.5</v>
      </c>
      <c r="C108" s="495">
        <v>1658.33</v>
      </c>
      <c r="D108" s="494">
        <v>0.3</v>
      </c>
      <c r="E108" s="495">
        <v>497.5</v>
      </c>
      <c r="F108" s="495">
        <v>119.85</v>
      </c>
      <c r="G108" s="495">
        <v>617.35</v>
      </c>
      <c r="H108" s="495">
        <v>0.5</v>
      </c>
      <c r="I108" s="495">
        <v>1501.88</v>
      </c>
      <c r="J108" s="494">
        <v>0.2</v>
      </c>
      <c r="K108" s="495">
        <v>300.38</v>
      </c>
      <c r="L108" s="495">
        <v>72.36</v>
      </c>
      <c r="M108" s="495">
        <v>372.74</v>
      </c>
    </row>
    <row r="109" spans="1:13" ht="18.75" customHeight="1" x14ac:dyDescent="0.25">
      <c r="A109" s="488" t="s">
        <v>806</v>
      </c>
      <c r="B109" s="495"/>
      <c r="C109" s="495"/>
      <c r="D109" s="494"/>
      <c r="E109" s="495"/>
      <c r="F109" s="495">
        <v>0</v>
      </c>
      <c r="G109" s="495">
        <v>0</v>
      </c>
      <c r="H109" s="495">
        <v>0.25</v>
      </c>
      <c r="I109" s="495">
        <v>287.24</v>
      </c>
      <c r="J109" s="494">
        <v>0.2</v>
      </c>
      <c r="K109" s="495">
        <v>57.45</v>
      </c>
      <c r="L109" s="495">
        <v>13.84</v>
      </c>
      <c r="M109" s="495">
        <v>71.290000000000006</v>
      </c>
    </row>
    <row r="110" spans="1:13" ht="18.75" customHeight="1" x14ac:dyDescent="0.25">
      <c r="A110" s="488" t="s">
        <v>806</v>
      </c>
      <c r="B110" s="495">
        <v>0.5</v>
      </c>
      <c r="C110" s="495">
        <v>631.94000000000005</v>
      </c>
      <c r="D110" s="494">
        <v>0.5</v>
      </c>
      <c r="E110" s="495">
        <v>315.97000000000003</v>
      </c>
      <c r="F110" s="495">
        <v>76.12</v>
      </c>
      <c r="G110" s="495">
        <v>392.09000000000003</v>
      </c>
      <c r="H110" s="495">
        <v>0.5</v>
      </c>
      <c r="I110" s="495">
        <v>1378.75</v>
      </c>
      <c r="J110" s="494">
        <v>0.2</v>
      </c>
      <c r="K110" s="495">
        <v>275.75</v>
      </c>
      <c r="L110" s="495">
        <v>66.430000000000007</v>
      </c>
      <c r="M110" s="495">
        <v>342.18</v>
      </c>
    </row>
    <row r="111" spans="1:13" ht="18.75" customHeight="1" x14ac:dyDescent="0.25">
      <c r="A111" s="488" t="s">
        <v>806</v>
      </c>
      <c r="B111" s="495"/>
      <c r="C111" s="495"/>
      <c r="D111" s="494"/>
      <c r="E111" s="495"/>
      <c r="F111" s="495">
        <v>0</v>
      </c>
      <c r="G111" s="495">
        <v>0</v>
      </c>
      <c r="H111" s="495">
        <v>0.5</v>
      </c>
      <c r="I111" s="495">
        <v>344.69</v>
      </c>
      <c r="J111" s="494">
        <v>0.2</v>
      </c>
      <c r="K111" s="495">
        <v>68.94</v>
      </c>
      <c r="L111" s="495">
        <v>16.61</v>
      </c>
      <c r="M111" s="495">
        <v>85.55</v>
      </c>
    </row>
    <row r="112" spans="1:13" ht="18.75" customHeight="1" x14ac:dyDescent="0.25">
      <c r="A112" s="488" t="s">
        <v>953</v>
      </c>
      <c r="B112" s="495">
        <v>0.1</v>
      </c>
      <c r="C112" s="495">
        <v>120.27</v>
      </c>
      <c r="D112" s="494">
        <v>0.3</v>
      </c>
      <c r="E112" s="495">
        <v>36.08</v>
      </c>
      <c r="F112" s="495">
        <v>8.69</v>
      </c>
      <c r="G112" s="495">
        <v>44.769999999999996</v>
      </c>
      <c r="H112" s="495"/>
      <c r="I112" s="495"/>
      <c r="J112" s="494"/>
      <c r="K112" s="495"/>
      <c r="L112" s="495"/>
      <c r="M112" s="495"/>
    </row>
    <row r="113" spans="1:13" ht="18.75" customHeight="1" x14ac:dyDescent="0.25">
      <c r="A113" s="488" t="s">
        <v>807</v>
      </c>
      <c r="B113" s="495">
        <v>0.21</v>
      </c>
      <c r="C113" s="495">
        <v>375.47</v>
      </c>
      <c r="D113" s="494">
        <v>0.3</v>
      </c>
      <c r="E113" s="495">
        <v>112.64</v>
      </c>
      <c r="F113" s="495">
        <v>27.13</v>
      </c>
      <c r="G113" s="495">
        <v>139.77000000000001</v>
      </c>
      <c r="H113" s="495">
        <v>0.21</v>
      </c>
      <c r="I113" s="495">
        <v>258.14</v>
      </c>
      <c r="J113" s="494">
        <v>0.2</v>
      </c>
      <c r="K113" s="495">
        <v>51.63</v>
      </c>
      <c r="L113" s="495">
        <v>12.44</v>
      </c>
      <c r="M113" s="495">
        <v>64.070000000000007</v>
      </c>
    </row>
    <row r="114" spans="1:13" ht="18.75" customHeight="1" x14ac:dyDescent="0.25">
      <c r="A114" s="488" t="s">
        <v>807</v>
      </c>
      <c r="B114" s="495">
        <v>0.25</v>
      </c>
      <c r="C114" s="495">
        <v>375.47</v>
      </c>
      <c r="D114" s="494">
        <v>0.3</v>
      </c>
      <c r="E114" s="495">
        <v>112.64</v>
      </c>
      <c r="F114" s="495">
        <v>27.13</v>
      </c>
      <c r="G114" s="495">
        <v>139.77000000000001</v>
      </c>
      <c r="H114" s="495">
        <v>0.25</v>
      </c>
      <c r="I114" s="495">
        <v>375.47</v>
      </c>
      <c r="J114" s="494">
        <v>0.2</v>
      </c>
      <c r="K114" s="495">
        <v>75.09</v>
      </c>
      <c r="L114" s="495">
        <v>18.09</v>
      </c>
      <c r="M114" s="495">
        <v>93.18</v>
      </c>
    </row>
    <row r="115" spans="1:13" ht="18.75" customHeight="1" x14ac:dyDescent="0.25">
      <c r="A115" s="488" t="s">
        <v>807</v>
      </c>
      <c r="B115" s="495">
        <v>0.46</v>
      </c>
      <c r="C115" s="495">
        <v>312.89999999999998</v>
      </c>
      <c r="D115" s="494">
        <v>0.3</v>
      </c>
      <c r="E115" s="495">
        <v>93.87</v>
      </c>
      <c r="F115" s="495">
        <v>22.61</v>
      </c>
      <c r="G115" s="495">
        <v>116.48</v>
      </c>
      <c r="H115" s="495">
        <v>0.46</v>
      </c>
      <c r="I115" s="495">
        <v>563.21</v>
      </c>
      <c r="J115" s="494">
        <v>0.2</v>
      </c>
      <c r="K115" s="495">
        <v>112.64</v>
      </c>
      <c r="L115" s="495">
        <v>27.13</v>
      </c>
      <c r="M115" s="495">
        <v>139.77000000000001</v>
      </c>
    </row>
    <row r="116" spans="1:13" ht="18.75" customHeight="1" x14ac:dyDescent="0.25">
      <c r="A116" s="488" t="s">
        <v>807</v>
      </c>
      <c r="B116" s="495">
        <v>0.5</v>
      </c>
      <c r="C116" s="495">
        <v>719.67</v>
      </c>
      <c r="D116" s="494">
        <v>0.3</v>
      </c>
      <c r="E116" s="495">
        <v>215.9</v>
      </c>
      <c r="F116" s="495">
        <v>52.01</v>
      </c>
      <c r="G116" s="495">
        <v>267.91000000000003</v>
      </c>
      <c r="H116" s="495">
        <v>0.5</v>
      </c>
      <c r="I116" s="495">
        <v>500.63</v>
      </c>
      <c r="J116" s="494">
        <v>0.2</v>
      </c>
      <c r="K116" s="495">
        <v>100.13</v>
      </c>
      <c r="L116" s="495">
        <v>24.12</v>
      </c>
      <c r="M116" s="495">
        <v>124.25</v>
      </c>
    </row>
    <row r="117" spans="1:13" ht="18.75" customHeight="1" x14ac:dyDescent="0.25">
      <c r="A117" s="488" t="s">
        <v>807</v>
      </c>
      <c r="B117" s="495">
        <v>0.25</v>
      </c>
      <c r="C117" s="495">
        <v>219.03</v>
      </c>
      <c r="D117" s="494">
        <v>0.3</v>
      </c>
      <c r="E117" s="495">
        <v>65.709999999999994</v>
      </c>
      <c r="F117" s="495">
        <v>15.83</v>
      </c>
      <c r="G117" s="495">
        <v>81.539999999999992</v>
      </c>
      <c r="H117" s="495"/>
      <c r="I117" s="495"/>
      <c r="J117" s="494"/>
      <c r="K117" s="495"/>
      <c r="L117" s="495"/>
      <c r="M117" s="495"/>
    </row>
    <row r="118" spans="1:13" ht="18.75" customHeight="1" x14ac:dyDescent="0.25">
      <c r="A118" s="488" t="s">
        <v>807</v>
      </c>
      <c r="B118" s="495">
        <v>0.25</v>
      </c>
      <c r="C118" s="495">
        <v>250.3</v>
      </c>
      <c r="D118" s="494">
        <v>0.3</v>
      </c>
      <c r="E118" s="495">
        <v>75.09</v>
      </c>
      <c r="F118" s="495">
        <v>18.09</v>
      </c>
      <c r="G118" s="495">
        <v>93.18</v>
      </c>
      <c r="H118" s="495"/>
      <c r="I118" s="495"/>
      <c r="J118" s="494"/>
      <c r="K118" s="495"/>
      <c r="L118" s="495"/>
      <c r="M118" s="495"/>
    </row>
    <row r="119" spans="1:13" ht="18.75" customHeight="1" x14ac:dyDescent="0.25">
      <c r="A119" s="488" t="s">
        <v>807</v>
      </c>
      <c r="B119" s="495">
        <v>0.51</v>
      </c>
      <c r="C119" s="495">
        <v>375.47</v>
      </c>
      <c r="D119" s="494">
        <v>0.3</v>
      </c>
      <c r="E119" s="495">
        <v>112.64</v>
      </c>
      <c r="F119" s="495">
        <v>27.13</v>
      </c>
      <c r="G119" s="495">
        <v>139.77000000000001</v>
      </c>
      <c r="H119" s="495">
        <v>0.51</v>
      </c>
      <c r="I119" s="495">
        <v>625.78</v>
      </c>
      <c r="J119" s="494">
        <v>0.2</v>
      </c>
      <c r="K119" s="495">
        <v>125.16</v>
      </c>
      <c r="L119" s="495">
        <v>30.15</v>
      </c>
      <c r="M119" s="495">
        <v>155.31</v>
      </c>
    </row>
    <row r="120" spans="1:13" ht="18.75" customHeight="1" x14ac:dyDescent="0.25">
      <c r="A120" s="488" t="s">
        <v>807</v>
      </c>
      <c r="B120" s="495">
        <v>0.25</v>
      </c>
      <c r="C120" s="495">
        <v>438.07</v>
      </c>
      <c r="D120" s="494">
        <v>0.3</v>
      </c>
      <c r="E120" s="495">
        <v>131.41999999999999</v>
      </c>
      <c r="F120" s="495">
        <v>31.66</v>
      </c>
      <c r="G120" s="495">
        <v>163.07999999999998</v>
      </c>
      <c r="H120" s="495"/>
      <c r="I120" s="495"/>
      <c r="J120" s="494"/>
      <c r="K120" s="495"/>
      <c r="L120" s="495"/>
      <c r="M120" s="495"/>
    </row>
    <row r="121" spans="1:13" ht="18.75" customHeight="1" x14ac:dyDescent="0.25">
      <c r="A121" s="488" t="s">
        <v>954</v>
      </c>
      <c r="B121" s="495">
        <v>0.25</v>
      </c>
      <c r="C121" s="495">
        <v>143</v>
      </c>
      <c r="D121" s="494">
        <v>0.3</v>
      </c>
      <c r="E121" s="495">
        <v>42.9</v>
      </c>
      <c r="F121" s="495">
        <v>10.33</v>
      </c>
      <c r="G121" s="495">
        <v>53.23</v>
      </c>
      <c r="H121" s="495"/>
      <c r="I121" s="495"/>
      <c r="J121" s="494"/>
      <c r="K121" s="495"/>
      <c r="L121" s="495"/>
      <c r="M121" s="495"/>
    </row>
    <row r="122" spans="1:13" ht="18.75" customHeight="1" x14ac:dyDescent="0.25">
      <c r="A122" s="488" t="s">
        <v>808</v>
      </c>
      <c r="B122" s="495">
        <v>0.2</v>
      </c>
      <c r="C122" s="495">
        <v>563.20000000000005</v>
      </c>
      <c r="D122" s="494">
        <v>0.3</v>
      </c>
      <c r="E122" s="495">
        <v>168.96</v>
      </c>
      <c r="F122" s="495">
        <v>40.700000000000003</v>
      </c>
      <c r="G122" s="495">
        <v>209.66000000000003</v>
      </c>
      <c r="H122" s="495">
        <v>0.2</v>
      </c>
      <c r="I122" s="495">
        <v>250.31</v>
      </c>
      <c r="J122" s="494">
        <v>0.2</v>
      </c>
      <c r="K122" s="495">
        <v>50.06</v>
      </c>
      <c r="L122" s="495">
        <v>12.06</v>
      </c>
      <c r="M122" s="495">
        <v>62.120000000000005</v>
      </c>
    </row>
    <row r="123" spans="1:13" ht="18.75" customHeight="1" x14ac:dyDescent="0.25">
      <c r="A123" s="488" t="s">
        <v>808</v>
      </c>
      <c r="B123" s="495">
        <v>0.46</v>
      </c>
      <c r="C123" s="495">
        <v>563.20000000000005</v>
      </c>
      <c r="D123" s="494">
        <v>0.3</v>
      </c>
      <c r="E123" s="495">
        <v>168.96</v>
      </c>
      <c r="F123" s="495">
        <v>40.700000000000003</v>
      </c>
      <c r="G123" s="495">
        <v>209.66000000000003</v>
      </c>
      <c r="H123" s="495">
        <v>0.46</v>
      </c>
      <c r="I123" s="495">
        <v>563.21</v>
      </c>
      <c r="J123" s="494">
        <v>0.2</v>
      </c>
      <c r="K123" s="495">
        <v>112.64</v>
      </c>
      <c r="L123" s="495">
        <v>27.13</v>
      </c>
      <c r="M123" s="495">
        <v>139.77000000000001</v>
      </c>
    </row>
    <row r="124" spans="1:13" ht="18.75" customHeight="1" x14ac:dyDescent="0.25">
      <c r="A124" s="488" t="s">
        <v>808</v>
      </c>
      <c r="B124" s="495">
        <v>0.52</v>
      </c>
      <c r="C124" s="495">
        <v>500.63</v>
      </c>
      <c r="D124" s="494">
        <v>0.3</v>
      </c>
      <c r="E124" s="495">
        <v>150.19</v>
      </c>
      <c r="F124" s="495">
        <v>36.18</v>
      </c>
      <c r="G124" s="495">
        <v>186.37</v>
      </c>
      <c r="H124" s="495">
        <v>0.52</v>
      </c>
      <c r="I124" s="495">
        <v>641.42999999999995</v>
      </c>
      <c r="J124" s="494">
        <v>0.2</v>
      </c>
      <c r="K124" s="495">
        <v>128.29</v>
      </c>
      <c r="L124" s="495">
        <v>30.91</v>
      </c>
      <c r="M124" s="495">
        <v>159.19999999999999</v>
      </c>
    </row>
    <row r="125" spans="1:13" ht="18.75" customHeight="1" x14ac:dyDescent="0.25">
      <c r="A125" s="488" t="s">
        <v>808</v>
      </c>
      <c r="B125" s="495"/>
      <c r="C125" s="495"/>
      <c r="D125" s="494"/>
      <c r="E125" s="495"/>
      <c r="F125" s="495">
        <v>0</v>
      </c>
      <c r="G125" s="495">
        <v>0</v>
      </c>
      <c r="H125" s="495">
        <v>0.25</v>
      </c>
      <c r="I125" s="495">
        <v>312.89</v>
      </c>
      <c r="J125" s="494">
        <v>0.2</v>
      </c>
      <c r="K125" s="495">
        <v>62.58</v>
      </c>
      <c r="L125" s="495">
        <v>15.08</v>
      </c>
      <c r="M125" s="495">
        <v>77.66</v>
      </c>
    </row>
    <row r="126" spans="1:13" ht="18.75" customHeight="1" x14ac:dyDescent="0.25">
      <c r="A126" s="488" t="s">
        <v>808</v>
      </c>
      <c r="B126" s="495">
        <v>0.46</v>
      </c>
      <c r="C126" s="495">
        <v>868.27</v>
      </c>
      <c r="D126" s="494">
        <v>0.3</v>
      </c>
      <c r="E126" s="495">
        <v>260.48</v>
      </c>
      <c r="F126" s="495">
        <v>62.75</v>
      </c>
      <c r="G126" s="495">
        <v>323.23</v>
      </c>
      <c r="H126" s="495">
        <v>0.46</v>
      </c>
      <c r="I126" s="495">
        <v>563.21</v>
      </c>
      <c r="J126" s="494">
        <v>0.2</v>
      </c>
      <c r="K126" s="495">
        <v>112.64</v>
      </c>
      <c r="L126" s="495">
        <v>27.13</v>
      </c>
      <c r="M126" s="495">
        <v>139.77000000000001</v>
      </c>
    </row>
    <row r="127" spans="1:13" ht="18.75" customHeight="1" x14ac:dyDescent="0.25">
      <c r="A127" s="488" t="s">
        <v>808</v>
      </c>
      <c r="B127" s="495">
        <v>0.41</v>
      </c>
      <c r="C127" s="495">
        <v>375.47</v>
      </c>
      <c r="D127" s="494">
        <v>0.3</v>
      </c>
      <c r="E127" s="495">
        <v>112.64</v>
      </c>
      <c r="F127" s="495">
        <v>27.13</v>
      </c>
      <c r="G127" s="495">
        <v>139.77000000000001</v>
      </c>
      <c r="H127" s="495">
        <v>0.41</v>
      </c>
      <c r="I127" s="495">
        <v>500.63</v>
      </c>
      <c r="J127" s="494">
        <v>0.2</v>
      </c>
      <c r="K127" s="495">
        <v>100.13</v>
      </c>
      <c r="L127" s="495">
        <v>24.12</v>
      </c>
      <c r="M127" s="495">
        <v>124.25</v>
      </c>
    </row>
    <row r="128" spans="1:13" ht="18.75" customHeight="1" x14ac:dyDescent="0.25">
      <c r="A128" s="488" t="s">
        <v>808</v>
      </c>
      <c r="B128" s="495">
        <v>0.61</v>
      </c>
      <c r="C128" s="495">
        <v>680.53</v>
      </c>
      <c r="D128" s="494">
        <v>0.3</v>
      </c>
      <c r="E128" s="495">
        <v>204.16</v>
      </c>
      <c r="F128" s="495">
        <v>49.18</v>
      </c>
      <c r="G128" s="495">
        <v>253.34</v>
      </c>
      <c r="H128" s="495">
        <v>0.61</v>
      </c>
      <c r="I128" s="495">
        <v>750.94</v>
      </c>
      <c r="J128" s="494">
        <v>0.2</v>
      </c>
      <c r="K128" s="495">
        <v>150.19</v>
      </c>
      <c r="L128" s="495">
        <v>36.18</v>
      </c>
      <c r="M128" s="495">
        <v>186.37</v>
      </c>
    </row>
    <row r="129" spans="1:13" ht="18.75" customHeight="1" x14ac:dyDescent="0.25">
      <c r="A129" s="488" t="s">
        <v>808</v>
      </c>
      <c r="B129" s="495">
        <v>0.41</v>
      </c>
      <c r="C129" s="495">
        <v>438.07</v>
      </c>
      <c r="D129" s="494">
        <v>0.3</v>
      </c>
      <c r="E129" s="495">
        <v>131.41999999999999</v>
      </c>
      <c r="F129" s="495">
        <v>31.66</v>
      </c>
      <c r="G129" s="495">
        <v>163.07999999999998</v>
      </c>
      <c r="H129" s="495">
        <v>0.41</v>
      </c>
      <c r="I129" s="495">
        <v>500.63</v>
      </c>
      <c r="J129" s="494">
        <v>0.2</v>
      </c>
      <c r="K129" s="495">
        <v>100.13</v>
      </c>
      <c r="L129" s="495">
        <v>24.12</v>
      </c>
      <c r="M129" s="495">
        <v>124.25</v>
      </c>
    </row>
    <row r="130" spans="1:13" ht="14.25" customHeight="1" x14ac:dyDescent="0.25">
      <c r="A130" s="488" t="s">
        <v>809</v>
      </c>
      <c r="B130" s="495">
        <v>0.46</v>
      </c>
      <c r="C130" s="495">
        <v>500.63</v>
      </c>
      <c r="D130" s="494">
        <v>0.3</v>
      </c>
      <c r="E130" s="495">
        <v>150.19</v>
      </c>
      <c r="F130" s="495">
        <v>36.18</v>
      </c>
      <c r="G130" s="495">
        <v>186.37</v>
      </c>
      <c r="H130" s="495">
        <v>0.46</v>
      </c>
      <c r="I130" s="495">
        <v>563.21</v>
      </c>
      <c r="J130" s="494">
        <v>0.2</v>
      </c>
      <c r="K130" s="495">
        <v>112.64</v>
      </c>
      <c r="L130" s="495">
        <v>27.13</v>
      </c>
      <c r="M130" s="495">
        <v>139.77000000000001</v>
      </c>
    </row>
    <row r="131" spans="1:13" ht="16.149999999999999" customHeight="1" x14ac:dyDescent="0.25">
      <c r="A131" s="488" t="s">
        <v>809</v>
      </c>
      <c r="B131" s="495">
        <v>0.25</v>
      </c>
      <c r="C131" s="495">
        <v>688.37</v>
      </c>
      <c r="D131" s="494">
        <v>0.3</v>
      </c>
      <c r="E131" s="495">
        <v>206.51</v>
      </c>
      <c r="F131" s="495">
        <v>49.75</v>
      </c>
      <c r="G131" s="495">
        <v>256.26</v>
      </c>
      <c r="H131" s="495">
        <v>0.25</v>
      </c>
      <c r="I131" s="495">
        <v>375.47</v>
      </c>
      <c r="J131" s="494">
        <v>0.2</v>
      </c>
      <c r="K131" s="495">
        <v>75.09</v>
      </c>
      <c r="L131" s="495">
        <v>18.09</v>
      </c>
      <c r="M131" s="495">
        <v>93.18</v>
      </c>
    </row>
    <row r="132" spans="1:13" ht="16.149999999999999" customHeight="1" x14ac:dyDescent="0.25">
      <c r="A132" s="488" t="s">
        <v>809</v>
      </c>
      <c r="B132" s="495">
        <v>0.35</v>
      </c>
      <c r="C132" s="495">
        <v>312.89999999999998</v>
      </c>
      <c r="D132" s="494">
        <v>0.3</v>
      </c>
      <c r="E132" s="495">
        <v>93.87</v>
      </c>
      <c r="F132" s="495">
        <v>22.61</v>
      </c>
      <c r="G132" s="495">
        <v>116.48</v>
      </c>
      <c r="H132" s="495">
        <v>0.35</v>
      </c>
      <c r="I132" s="495">
        <v>438.05</v>
      </c>
      <c r="J132" s="494">
        <v>0.2</v>
      </c>
      <c r="K132" s="495">
        <v>87.61</v>
      </c>
      <c r="L132" s="495">
        <v>21.11</v>
      </c>
      <c r="M132" s="495">
        <v>108.72</v>
      </c>
    </row>
    <row r="133" spans="1:13" ht="16.149999999999999" customHeight="1" x14ac:dyDescent="0.25">
      <c r="A133" s="488" t="s">
        <v>809</v>
      </c>
      <c r="B133" s="495">
        <v>0.46</v>
      </c>
      <c r="C133" s="495">
        <v>805.7</v>
      </c>
      <c r="D133" s="494">
        <v>0.3</v>
      </c>
      <c r="E133" s="495">
        <v>241.71</v>
      </c>
      <c r="F133" s="495">
        <v>58.23</v>
      </c>
      <c r="G133" s="495">
        <v>299.94</v>
      </c>
      <c r="H133" s="495">
        <v>0.46</v>
      </c>
      <c r="I133" s="495">
        <v>563.21</v>
      </c>
      <c r="J133" s="494">
        <v>0.2</v>
      </c>
      <c r="K133" s="495">
        <v>112.64</v>
      </c>
      <c r="L133" s="495">
        <v>27.13</v>
      </c>
      <c r="M133" s="495">
        <v>139.77000000000001</v>
      </c>
    </row>
    <row r="134" spans="1:13" s="703" customFormat="1" ht="16.149999999999999" customHeight="1" x14ac:dyDescent="0.25">
      <c r="A134" s="488" t="s">
        <v>809</v>
      </c>
      <c r="B134" s="495">
        <v>0.27</v>
      </c>
      <c r="C134" s="495">
        <v>312.89999999999998</v>
      </c>
      <c r="D134" s="494">
        <v>0.3</v>
      </c>
      <c r="E134" s="495">
        <v>93.87</v>
      </c>
      <c r="F134" s="495">
        <v>22.61</v>
      </c>
      <c r="G134" s="495">
        <v>116.48</v>
      </c>
      <c r="H134" s="495"/>
      <c r="I134" s="495"/>
      <c r="J134" s="494"/>
      <c r="K134" s="495"/>
      <c r="L134" s="495"/>
      <c r="M134" s="495"/>
    </row>
    <row r="135" spans="1:13" ht="16.149999999999999" customHeight="1" x14ac:dyDescent="0.25">
      <c r="A135" s="488" t="s">
        <v>809</v>
      </c>
      <c r="B135" s="495">
        <v>0.25</v>
      </c>
      <c r="C135" s="495">
        <v>563.20000000000005</v>
      </c>
      <c r="D135" s="494">
        <v>0.3</v>
      </c>
      <c r="E135" s="495">
        <v>168.96</v>
      </c>
      <c r="F135" s="495">
        <v>40.700000000000003</v>
      </c>
      <c r="G135" s="495">
        <v>209.66000000000003</v>
      </c>
      <c r="H135" s="495">
        <v>0.25</v>
      </c>
      <c r="I135" s="495">
        <v>750.94</v>
      </c>
      <c r="J135" s="494">
        <v>0.2</v>
      </c>
      <c r="K135" s="495">
        <v>150.19</v>
      </c>
      <c r="L135" s="495">
        <v>36.18</v>
      </c>
      <c r="M135" s="495">
        <v>186.37</v>
      </c>
    </row>
    <row r="136" spans="1:13" s="703" customFormat="1" ht="16.149999999999999" customHeight="1" x14ac:dyDescent="0.25">
      <c r="A136" s="488" t="s">
        <v>809</v>
      </c>
      <c r="B136" s="495">
        <v>0.28000000000000003</v>
      </c>
      <c r="C136" s="495">
        <v>344.17</v>
      </c>
      <c r="D136" s="494">
        <v>0.3</v>
      </c>
      <c r="E136" s="495">
        <v>103.25</v>
      </c>
      <c r="F136" s="495">
        <v>24.87</v>
      </c>
      <c r="G136" s="495">
        <v>128.12</v>
      </c>
      <c r="H136" s="495">
        <v>0.28000000000000003</v>
      </c>
      <c r="I136" s="495">
        <v>344.18</v>
      </c>
      <c r="J136" s="494">
        <v>0.2</v>
      </c>
      <c r="K136" s="495">
        <v>68.84</v>
      </c>
      <c r="L136" s="495">
        <v>16.579999999999998</v>
      </c>
      <c r="M136" s="495">
        <v>85.42</v>
      </c>
    </row>
    <row r="137" spans="1:13" ht="16.149999999999999" customHeight="1" x14ac:dyDescent="0.25">
      <c r="A137" s="488" t="s">
        <v>810</v>
      </c>
      <c r="B137" s="495">
        <v>0.25</v>
      </c>
      <c r="C137" s="495">
        <v>327</v>
      </c>
      <c r="D137" s="494">
        <v>0.3</v>
      </c>
      <c r="E137" s="495">
        <v>98.1</v>
      </c>
      <c r="F137" s="495">
        <v>23.63</v>
      </c>
      <c r="G137" s="495">
        <v>121.72999999999999</v>
      </c>
      <c r="H137" s="495">
        <v>0.25</v>
      </c>
      <c r="I137" s="495">
        <v>446.32</v>
      </c>
      <c r="J137" s="494">
        <v>0.2</v>
      </c>
      <c r="K137" s="495">
        <v>89.26</v>
      </c>
      <c r="L137" s="495">
        <v>21.5</v>
      </c>
      <c r="M137" s="495">
        <v>110.76</v>
      </c>
    </row>
    <row r="138" spans="1:13" ht="16.149999999999999" customHeight="1" x14ac:dyDescent="0.25">
      <c r="A138" s="488" t="s">
        <v>810</v>
      </c>
      <c r="B138" s="495">
        <v>0.2</v>
      </c>
      <c r="C138" s="495">
        <v>327</v>
      </c>
      <c r="D138" s="494">
        <v>0.3</v>
      </c>
      <c r="E138" s="495">
        <v>98.1</v>
      </c>
      <c r="F138" s="495">
        <v>23.63</v>
      </c>
      <c r="G138" s="495">
        <v>121.72999999999999</v>
      </c>
      <c r="H138" s="495">
        <v>0.2</v>
      </c>
      <c r="I138" s="495">
        <v>290.11</v>
      </c>
      <c r="J138" s="494">
        <v>0.2</v>
      </c>
      <c r="K138" s="495">
        <v>58.02</v>
      </c>
      <c r="L138" s="495">
        <v>13.98</v>
      </c>
      <c r="M138" s="495">
        <v>72</v>
      </c>
    </row>
    <row r="139" spans="1:13" ht="16.149999999999999" customHeight="1" x14ac:dyDescent="0.25">
      <c r="A139" s="488" t="s">
        <v>810</v>
      </c>
      <c r="B139" s="495">
        <v>0.15</v>
      </c>
      <c r="C139" s="495">
        <v>327</v>
      </c>
      <c r="D139" s="494">
        <v>0.3</v>
      </c>
      <c r="E139" s="495">
        <v>98.1</v>
      </c>
      <c r="F139" s="495">
        <v>23.63</v>
      </c>
      <c r="G139" s="495">
        <v>121.72999999999999</v>
      </c>
      <c r="H139" s="495">
        <v>0.15</v>
      </c>
      <c r="I139" s="495">
        <v>178.53</v>
      </c>
      <c r="J139" s="494">
        <v>0.2</v>
      </c>
      <c r="K139" s="495">
        <v>35.71</v>
      </c>
      <c r="L139" s="495">
        <v>8.6</v>
      </c>
      <c r="M139" s="495">
        <v>44.31</v>
      </c>
    </row>
    <row r="140" spans="1:13" ht="16.149999999999999" customHeight="1" x14ac:dyDescent="0.25">
      <c r="A140" s="488" t="s">
        <v>810</v>
      </c>
      <c r="B140" s="495">
        <v>0.36</v>
      </c>
      <c r="C140" s="495">
        <v>327</v>
      </c>
      <c r="D140" s="494">
        <v>0.3</v>
      </c>
      <c r="E140" s="495">
        <v>98.1</v>
      </c>
      <c r="F140" s="495">
        <v>23.63</v>
      </c>
      <c r="G140" s="495">
        <v>121.72999999999999</v>
      </c>
      <c r="H140" s="495">
        <v>0.36</v>
      </c>
      <c r="I140" s="495">
        <v>424.01</v>
      </c>
      <c r="J140" s="494">
        <v>0.2</v>
      </c>
      <c r="K140" s="495">
        <v>84.8</v>
      </c>
      <c r="L140" s="495">
        <v>20.43</v>
      </c>
      <c r="M140" s="495">
        <v>105.22999999999999</v>
      </c>
    </row>
    <row r="141" spans="1:13" ht="16.149999999999999" customHeight="1" x14ac:dyDescent="0.25">
      <c r="A141" s="488" t="s">
        <v>810</v>
      </c>
      <c r="B141" s="495">
        <v>0.25</v>
      </c>
      <c r="C141" s="495">
        <v>327</v>
      </c>
      <c r="D141" s="494">
        <v>0.3</v>
      </c>
      <c r="E141" s="495">
        <v>98.1</v>
      </c>
      <c r="F141" s="495">
        <v>23.63</v>
      </c>
      <c r="G141" s="495">
        <v>121.72999999999999</v>
      </c>
      <c r="H141" s="495">
        <v>0.25</v>
      </c>
      <c r="I141" s="495">
        <v>424.01</v>
      </c>
      <c r="J141" s="494">
        <v>0.2</v>
      </c>
      <c r="K141" s="495">
        <v>84.8</v>
      </c>
      <c r="L141" s="495">
        <v>20.43</v>
      </c>
      <c r="M141" s="495">
        <v>105.22999999999999</v>
      </c>
    </row>
    <row r="142" spans="1:13" ht="16.149999999999999" customHeight="1" x14ac:dyDescent="0.25">
      <c r="A142" s="488" t="s">
        <v>810</v>
      </c>
      <c r="B142" s="495">
        <v>0.25</v>
      </c>
      <c r="C142" s="495">
        <v>327</v>
      </c>
      <c r="D142" s="494">
        <v>0.3</v>
      </c>
      <c r="E142" s="495">
        <v>98.1</v>
      </c>
      <c r="F142" s="495">
        <v>23.63</v>
      </c>
      <c r="G142" s="495">
        <v>121.72999999999999</v>
      </c>
      <c r="H142" s="495">
        <v>0.25</v>
      </c>
      <c r="I142" s="495">
        <v>312.43</v>
      </c>
      <c r="J142" s="494">
        <v>0.2</v>
      </c>
      <c r="K142" s="495">
        <v>62.49</v>
      </c>
      <c r="L142" s="495">
        <v>15.05</v>
      </c>
      <c r="M142" s="495">
        <v>77.540000000000006</v>
      </c>
    </row>
    <row r="143" spans="1:13" ht="16.149999999999999" customHeight="1" x14ac:dyDescent="0.25">
      <c r="A143" s="488" t="s">
        <v>810</v>
      </c>
      <c r="B143" s="495">
        <v>0.25</v>
      </c>
      <c r="C143" s="495">
        <v>327</v>
      </c>
      <c r="D143" s="494">
        <v>0.3</v>
      </c>
      <c r="E143" s="495">
        <v>98.1</v>
      </c>
      <c r="F143" s="495">
        <v>23.63</v>
      </c>
      <c r="G143" s="495">
        <v>121.72999999999999</v>
      </c>
      <c r="H143" s="495">
        <v>0.25</v>
      </c>
      <c r="I143" s="495">
        <v>256.64</v>
      </c>
      <c r="J143" s="494">
        <v>0.2</v>
      </c>
      <c r="K143" s="495">
        <v>51.33</v>
      </c>
      <c r="L143" s="495">
        <v>12.37</v>
      </c>
      <c r="M143" s="495">
        <v>63.699999999999996</v>
      </c>
    </row>
    <row r="144" spans="1:13" ht="16.149999999999999" customHeight="1" x14ac:dyDescent="0.25">
      <c r="A144" s="488" t="s">
        <v>811</v>
      </c>
      <c r="B144" s="495"/>
      <c r="C144" s="495"/>
      <c r="D144" s="494"/>
      <c r="E144" s="495"/>
      <c r="F144" s="495">
        <v>0</v>
      </c>
      <c r="G144" s="495">
        <v>0</v>
      </c>
      <c r="H144" s="495">
        <v>0.4</v>
      </c>
      <c r="I144" s="495">
        <v>511.38</v>
      </c>
      <c r="J144" s="494">
        <v>0.2</v>
      </c>
      <c r="K144" s="495">
        <v>102.28</v>
      </c>
      <c r="L144" s="495">
        <v>24.64</v>
      </c>
      <c r="M144" s="495">
        <v>126.92</v>
      </c>
    </row>
    <row r="145" spans="1:13" ht="16.149999999999999" customHeight="1" x14ac:dyDescent="0.25">
      <c r="A145" s="488" t="s">
        <v>811</v>
      </c>
      <c r="B145" s="495"/>
      <c r="C145" s="495"/>
      <c r="D145" s="494"/>
      <c r="E145" s="495"/>
      <c r="F145" s="495">
        <v>0</v>
      </c>
      <c r="G145" s="495">
        <v>0</v>
      </c>
      <c r="H145" s="495">
        <v>0.05</v>
      </c>
      <c r="I145" s="495">
        <v>65.459999999999994</v>
      </c>
      <c r="J145" s="494">
        <v>0.2</v>
      </c>
      <c r="K145" s="495">
        <v>13.09</v>
      </c>
      <c r="L145" s="495">
        <v>3.15</v>
      </c>
      <c r="M145" s="495">
        <v>16.239999999999998</v>
      </c>
    </row>
    <row r="146" spans="1:13" ht="16.149999999999999" customHeight="1" x14ac:dyDescent="0.25">
      <c r="A146" s="488" t="s">
        <v>811</v>
      </c>
      <c r="B146" s="495"/>
      <c r="C146" s="495"/>
      <c r="D146" s="494"/>
      <c r="E146" s="495"/>
      <c r="F146" s="495">
        <v>0</v>
      </c>
      <c r="G146" s="495">
        <v>0</v>
      </c>
      <c r="H146" s="495">
        <v>0.15</v>
      </c>
      <c r="I146" s="495">
        <v>192.28</v>
      </c>
      <c r="J146" s="494">
        <v>0.2</v>
      </c>
      <c r="K146" s="495">
        <v>38.46</v>
      </c>
      <c r="L146" s="495">
        <v>9.27</v>
      </c>
      <c r="M146" s="495">
        <v>47.730000000000004</v>
      </c>
    </row>
    <row r="147" spans="1:13" ht="16.149999999999999" customHeight="1" x14ac:dyDescent="0.25">
      <c r="A147" s="488" t="s">
        <v>811</v>
      </c>
      <c r="B147" s="495"/>
      <c r="C147" s="495"/>
      <c r="D147" s="494"/>
      <c r="E147" s="495"/>
      <c r="F147" s="495">
        <v>0</v>
      </c>
      <c r="G147" s="495">
        <v>0</v>
      </c>
      <c r="H147" s="495">
        <v>0.44</v>
      </c>
      <c r="I147" s="495">
        <v>568.65</v>
      </c>
      <c r="J147" s="494">
        <v>0.2</v>
      </c>
      <c r="K147" s="495">
        <v>113.73</v>
      </c>
      <c r="L147" s="495">
        <v>27.4</v>
      </c>
      <c r="M147" s="495">
        <v>141.13</v>
      </c>
    </row>
    <row r="148" spans="1:13" ht="16.149999999999999" customHeight="1" x14ac:dyDescent="0.25">
      <c r="A148" s="488" t="s">
        <v>812</v>
      </c>
      <c r="B148" s="495">
        <v>0.25</v>
      </c>
      <c r="C148" s="495">
        <v>438.07</v>
      </c>
      <c r="D148" s="494">
        <v>0.3</v>
      </c>
      <c r="E148" s="495">
        <v>131.41999999999999</v>
      </c>
      <c r="F148" s="495">
        <v>31.66</v>
      </c>
      <c r="G148" s="495">
        <v>163.07999999999998</v>
      </c>
      <c r="H148" s="495">
        <v>0.25</v>
      </c>
      <c r="I148" s="495">
        <v>438.05</v>
      </c>
      <c r="J148" s="494">
        <v>0.2</v>
      </c>
      <c r="K148" s="495">
        <v>87.61</v>
      </c>
      <c r="L148" s="495">
        <v>21.11</v>
      </c>
      <c r="M148" s="495">
        <v>108.72</v>
      </c>
    </row>
    <row r="149" spans="1:13" ht="16.149999999999999" customHeight="1" x14ac:dyDescent="0.25">
      <c r="A149" s="488" t="s">
        <v>812</v>
      </c>
      <c r="B149" s="495">
        <v>0.25</v>
      </c>
      <c r="C149" s="495">
        <v>688.37</v>
      </c>
      <c r="D149" s="494">
        <v>0.3</v>
      </c>
      <c r="E149" s="495">
        <v>206.51</v>
      </c>
      <c r="F149" s="495">
        <v>49.75</v>
      </c>
      <c r="G149" s="495">
        <v>256.26</v>
      </c>
      <c r="H149" s="495">
        <v>0.25</v>
      </c>
      <c r="I149" s="495">
        <v>813.52</v>
      </c>
      <c r="J149" s="494">
        <v>0.2</v>
      </c>
      <c r="K149" s="495">
        <v>162.69999999999999</v>
      </c>
      <c r="L149" s="495">
        <v>39.19</v>
      </c>
      <c r="M149" s="495">
        <v>201.89</v>
      </c>
    </row>
    <row r="150" spans="1:13" ht="16.149999999999999" customHeight="1" x14ac:dyDescent="0.25">
      <c r="A150" s="488" t="s">
        <v>812</v>
      </c>
      <c r="B150" s="495">
        <v>0.25</v>
      </c>
      <c r="C150" s="495">
        <v>688.37</v>
      </c>
      <c r="D150" s="494">
        <v>0.3</v>
      </c>
      <c r="E150" s="495">
        <v>206.51</v>
      </c>
      <c r="F150" s="495">
        <v>49.75</v>
      </c>
      <c r="G150" s="495">
        <v>256.26</v>
      </c>
      <c r="H150" s="495">
        <v>0.25</v>
      </c>
      <c r="I150" s="495">
        <v>688.36</v>
      </c>
      <c r="J150" s="494">
        <v>0.2</v>
      </c>
      <c r="K150" s="495">
        <v>137.66999999999999</v>
      </c>
      <c r="L150" s="495">
        <v>33.159999999999997</v>
      </c>
      <c r="M150" s="495">
        <v>170.82999999999998</v>
      </c>
    </row>
    <row r="151" spans="1:13" ht="16.149999999999999" customHeight="1" x14ac:dyDescent="0.25">
      <c r="A151" s="488" t="s">
        <v>812</v>
      </c>
      <c r="B151" s="495">
        <v>0.41</v>
      </c>
      <c r="C151" s="495">
        <v>375.47</v>
      </c>
      <c r="D151" s="494">
        <v>0.3</v>
      </c>
      <c r="E151" s="495">
        <v>112.64</v>
      </c>
      <c r="F151" s="495">
        <v>27.13</v>
      </c>
      <c r="G151" s="495">
        <v>139.77000000000001</v>
      </c>
      <c r="H151" s="495">
        <v>0.41</v>
      </c>
      <c r="I151" s="495">
        <v>508.45</v>
      </c>
      <c r="J151" s="494">
        <v>0.2</v>
      </c>
      <c r="K151" s="495">
        <v>101.69</v>
      </c>
      <c r="L151" s="495">
        <v>24.5</v>
      </c>
      <c r="M151" s="495">
        <v>126.19</v>
      </c>
    </row>
    <row r="152" spans="1:13" ht="16.149999999999999" customHeight="1" x14ac:dyDescent="0.25">
      <c r="A152" s="488" t="s">
        <v>812</v>
      </c>
      <c r="B152" s="495">
        <v>0.25</v>
      </c>
      <c r="C152" s="495">
        <v>750.93</v>
      </c>
      <c r="D152" s="494">
        <v>0.3</v>
      </c>
      <c r="E152" s="495">
        <v>225.28</v>
      </c>
      <c r="F152" s="495">
        <v>54.27</v>
      </c>
      <c r="G152" s="495">
        <v>279.55</v>
      </c>
      <c r="H152" s="495">
        <v>0.25</v>
      </c>
      <c r="I152" s="495">
        <v>750.94</v>
      </c>
      <c r="J152" s="494">
        <v>0.2</v>
      </c>
      <c r="K152" s="495">
        <v>150.19</v>
      </c>
      <c r="L152" s="495">
        <v>36.18</v>
      </c>
      <c r="M152" s="495">
        <v>186.37</v>
      </c>
    </row>
    <row r="153" spans="1:13" s="703" customFormat="1" ht="16.149999999999999" customHeight="1" x14ac:dyDescent="0.25">
      <c r="A153" s="488" t="s">
        <v>812</v>
      </c>
      <c r="B153" s="495">
        <v>0.38</v>
      </c>
      <c r="C153" s="495">
        <v>438.07</v>
      </c>
      <c r="D153" s="494">
        <v>0.3</v>
      </c>
      <c r="E153" s="495">
        <v>131.41999999999999</v>
      </c>
      <c r="F153" s="495">
        <v>31.66</v>
      </c>
      <c r="G153" s="495">
        <v>163.07999999999998</v>
      </c>
      <c r="H153" s="495"/>
      <c r="I153" s="495"/>
      <c r="J153" s="494"/>
      <c r="K153" s="495"/>
      <c r="L153" s="495"/>
      <c r="M153" s="495"/>
    </row>
    <row r="154" spans="1:13" ht="16.149999999999999" customHeight="1" x14ac:dyDescent="0.25">
      <c r="A154" s="488" t="s">
        <v>813</v>
      </c>
      <c r="B154" s="495"/>
      <c r="C154" s="495"/>
      <c r="D154" s="494"/>
      <c r="E154" s="495"/>
      <c r="F154" s="495">
        <v>0</v>
      </c>
      <c r="G154" s="495">
        <v>0</v>
      </c>
      <c r="H154" s="495">
        <v>0.25</v>
      </c>
      <c r="I154" s="495">
        <v>307.08999999999997</v>
      </c>
      <c r="J154" s="494">
        <v>0.2</v>
      </c>
      <c r="K154" s="495">
        <v>61.42</v>
      </c>
      <c r="L154" s="495">
        <v>14.8</v>
      </c>
      <c r="M154" s="495">
        <v>76.22</v>
      </c>
    </row>
    <row r="155" spans="1:13" ht="16.149999999999999" customHeight="1" x14ac:dyDescent="0.25">
      <c r="A155" s="488" t="s">
        <v>813</v>
      </c>
      <c r="B155" s="495">
        <v>1</v>
      </c>
      <c r="C155" s="495">
        <v>1368.3</v>
      </c>
      <c r="D155" s="494">
        <v>0.3</v>
      </c>
      <c r="E155" s="495">
        <v>410.49</v>
      </c>
      <c r="F155" s="495">
        <v>98.89</v>
      </c>
      <c r="G155" s="495">
        <v>509.38</v>
      </c>
      <c r="H155" s="495">
        <v>1</v>
      </c>
      <c r="I155" s="495">
        <v>1228.3599999999999</v>
      </c>
      <c r="J155" s="494">
        <v>0.2</v>
      </c>
      <c r="K155" s="495">
        <v>245.67</v>
      </c>
      <c r="L155" s="495">
        <v>59.18</v>
      </c>
      <c r="M155" s="495">
        <v>304.84999999999997</v>
      </c>
    </row>
    <row r="156" spans="1:13" s="703" customFormat="1" ht="16.149999999999999" customHeight="1" x14ac:dyDescent="0.25">
      <c r="A156" s="488" t="s">
        <v>814</v>
      </c>
      <c r="B156" s="495">
        <v>0.7</v>
      </c>
      <c r="C156" s="495">
        <v>794.83</v>
      </c>
      <c r="D156" s="494">
        <v>0.3</v>
      </c>
      <c r="E156" s="495">
        <v>238.45</v>
      </c>
      <c r="F156" s="495">
        <v>57.44</v>
      </c>
      <c r="G156" s="495">
        <v>295.89</v>
      </c>
      <c r="H156" s="495"/>
      <c r="I156" s="495"/>
      <c r="J156" s="494"/>
      <c r="K156" s="495"/>
      <c r="L156" s="495"/>
      <c r="M156" s="495"/>
    </row>
    <row r="157" spans="1:13" ht="16.149999999999999" customHeight="1" x14ac:dyDescent="0.25">
      <c r="A157" s="488" t="s">
        <v>814</v>
      </c>
      <c r="B157" s="495">
        <v>0.51</v>
      </c>
      <c r="C157" s="495">
        <v>580.84</v>
      </c>
      <c r="D157" s="494">
        <v>0.5</v>
      </c>
      <c r="E157" s="495">
        <v>290.42</v>
      </c>
      <c r="F157" s="495">
        <v>69.959999999999994</v>
      </c>
      <c r="G157" s="495">
        <v>360.38</v>
      </c>
      <c r="H157" s="495">
        <v>0.51</v>
      </c>
      <c r="I157" s="495">
        <v>611.4</v>
      </c>
      <c r="J157" s="494">
        <v>0.2</v>
      </c>
      <c r="K157" s="495">
        <v>122.28</v>
      </c>
      <c r="L157" s="495">
        <v>29.46</v>
      </c>
      <c r="M157" s="495">
        <v>151.74</v>
      </c>
    </row>
    <row r="158" spans="1:13" ht="16.149999999999999" customHeight="1" x14ac:dyDescent="0.25">
      <c r="A158" s="488" t="s">
        <v>814</v>
      </c>
      <c r="B158" s="495"/>
      <c r="C158" s="495"/>
      <c r="D158" s="494"/>
      <c r="E158" s="495"/>
      <c r="F158" s="495">
        <v>0</v>
      </c>
      <c r="G158" s="495">
        <v>0</v>
      </c>
      <c r="H158" s="495">
        <v>0.25</v>
      </c>
      <c r="I158" s="495">
        <v>489.12</v>
      </c>
      <c r="J158" s="494">
        <v>0.2</v>
      </c>
      <c r="K158" s="495">
        <v>97.82</v>
      </c>
      <c r="L158" s="495">
        <v>23.56</v>
      </c>
      <c r="M158" s="495">
        <v>121.38</v>
      </c>
    </row>
    <row r="159" spans="1:13" ht="16.149999999999999" customHeight="1" x14ac:dyDescent="0.25">
      <c r="A159" s="488" t="s">
        <v>814</v>
      </c>
      <c r="B159" s="495"/>
      <c r="C159" s="495"/>
      <c r="D159" s="494"/>
      <c r="E159" s="495"/>
      <c r="F159" s="495">
        <v>0</v>
      </c>
      <c r="G159" s="495">
        <v>0</v>
      </c>
      <c r="H159" s="495">
        <v>0.57999999999999996</v>
      </c>
      <c r="I159" s="495">
        <v>703.11</v>
      </c>
      <c r="J159" s="494">
        <v>0.2</v>
      </c>
      <c r="K159" s="495">
        <v>140.62</v>
      </c>
      <c r="L159" s="495">
        <v>33.880000000000003</v>
      </c>
      <c r="M159" s="495">
        <v>174.5</v>
      </c>
    </row>
    <row r="160" spans="1:13" ht="16.149999999999999" customHeight="1" x14ac:dyDescent="0.25">
      <c r="A160" s="488" t="s">
        <v>814</v>
      </c>
      <c r="B160" s="495">
        <v>0.3</v>
      </c>
      <c r="C160" s="495">
        <v>420.34</v>
      </c>
      <c r="D160" s="494">
        <v>0.5</v>
      </c>
      <c r="E160" s="495">
        <v>210.17</v>
      </c>
      <c r="F160" s="495">
        <v>50.63</v>
      </c>
      <c r="G160" s="495">
        <v>260.8</v>
      </c>
      <c r="H160" s="495">
        <v>0.3</v>
      </c>
      <c r="I160" s="495">
        <v>366.84</v>
      </c>
      <c r="J160" s="494">
        <v>0.2</v>
      </c>
      <c r="K160" s="495">
        <v>73.37</v>
      </c>
      <c r="L160" s="495">
        <v>17.670000000000002</v>
      </c>
      <c r="M160" s="495">
        <v>91.04</v>
      </c>
    </row>
    <row r="161" spans="1:13" ht="16.149999999999999" customHeight="1" x14ac:dyDescent="0.25">
      <c r="A161" s="488" t="s">
        <v>814</v>
      </c>
      <c r="B161" s="495"/>
      <c r="C161" s="495"/>
      <c r="D161" s="494"/>
      <c r="E161" s="495"/>
      <c r="F161" s="495">
        <v>0</v>
      </c>
      <c r="G161" s="495">
        <v>0</v>
      </c>
      <c r="H161" s="495">
        <v>0.48</v>
      </c>
      <c r="I161" s="495">
        <v>580.83000000000004</v>
      </c>
      <c r="J161" s="494">
        <v>0.2</v>
      </c>
      <c r="K161" s="495">
        <v>116.17</v>
      </c>
      <c r="L161" s="495">
        <v>27.99</v>
      </c>
      <c r="M161" s="495">
        <v>144.16</v>
      </c>
    </row>
    <row r="162" spans="1:13" ht="27" customHeight="1" x14ac:dyDescent="0.25">
      <c r="A162" s="488" t="s">
        <v>815</v>
      </c>
      <c r="B162" s="495">
        <v>1</v>
      </c>
      <c r="C162" s="495">
        <v>1387</v>
      </c>
      <c r="D162" s="494">
        <v>0.5</v>
      </c>
      <c r="E162" s="495">
        <v>693.5</v>
      </c>
      <c r="F162" s="495">
        <v>167.06</v>
      </c>
      <c r="G162" s="495">
        <v>860.56</v>
      </c>
      <c r="H162" s="495">
        <v>1</v>
      </c>
      <c r="I162" s="495">
        <v>1387</v>
      </c>
      <c r="J162" s="494">
        <v>0.2</v>
      </c>
      <c r="K162" s="495">
        <v>277.39999999999998</v>
      </c>
      <c r="L162" s="495">
        <v>66.83</v>
      </c>
      <c r="M162" s="495">
        <v>344.22999999999996</v>
      </c>
    </row>
    <row r="163" spans="1:13" ht="27.75" customHeight="1" x14ac:dyDescent="0.25">
      <c r="A163" s="488" t="s">
        <v>815</v>
      </c>
      <c r="B163" s="495">
        <v>1</v>
      </c>
      <c r="C163" s="495">
        <v>38.24</v>
      </c>
      <c r="D163" s="494">
        <v>0.5</v>
      </c>
      <c r="E163" s="495">
        <v>19.12</v>
      </c>
      <c r="F163" s="495">
        <v>4.6100000000000003</v>
      </c>
      <c r="G163" s="495">
        <v>23.73</v>
      </c>
      <c r="H163" s="495">
        <v>1</v>
      </c>
      <c r="I163" s="495">
        <v>299.3</v>
      </c>
      <c r="J163" s="494">
        <v>0.2</v>
      </c>
      <c r="K163" s="495">
        <v>59.86</v>
      </c>
      <c r="L163" s="495">
        <v>14.42</v>
      </c>
      <c r="M163" s="495">
        <v>74.28</v>
      </c>
    </row>
    <row r="164" spans="1:13" ht="16.149999999999999" customHeight="1" x14ac:dyDescent="0.25">
      <c r="A164" s="488" t="s">
        <v>816</v>
      </c>
      <c r="B164" s="495"/>
      <c r="C164" s="495"/>
      <c r="D164" s="494"/>
      <c r="E164" s="495"/>
      <c r="F164" s="495">
        <v>0</v>
      </c>
      <c r="G164" s="495">
        <v>0</v>
      </c>
      <c r="H164" s="495">
        <v>0.5</v>
      </c>
      <c r="I164" s="495">
        <v>669.5</v>
      </c>
      <c r="J164" s="494">
        <v>0.2</v>
      </c>
      <c r="K164" s="495">
        <v>133.9</v>
      </c>
      <c r="L164" s="495">
        <v>32.26</v>
      </c>
      <c r="M164" s="495">
        <v>166.16</v>
      </c>
    </row>
    <row r="165" spans="1:13" ht="16.149999999999999" customHeight="1" x14ac:dyDescent="0.25">
      <c r="A165" s="488" t="s">
        <v>817</v>
      </c>
      <c r="B165" s="495">
        <v>1</v>
      </c>
      <c r="C165" s="495">
        <v>1026.17</v>
      </c>
      <c r="D165" s="494">
        <v>0.3</v>
      </c>
      <c r="E165" s="495">
        <v>307.85000000000002</v>
      </c>
      <c r="F165" s="495">
        <v>74.16</v>
      </c>
      <c r="G165" s="495">
        <v>382.01</v>
      </c>
      <c r="H165" s="495">
        <v>1</v>
      </c>
      <c r="I165" s="495">
        <v>1328</v>
      </c>
      <c r="J165" s="494">
        <v>0.2</v>
      </c>
      <c r="K165" s="495">
        <v>265.60000000000002</v>
      </c>
      <c r="L165" s="495">
        <v>63.98</v>
      </c>
      <c r="M165" s="495">
        <v>329.58000000000004</v>
      </c>
    </row>
    <row r="166" spans="1:13" ht="16.149999999999999" customHeight="1" x14ac:dyDescent="0.25">
      <c r="A166" s="488" t="s">
        <v>817</v>
      </c>
      <c r="B166" s="495">
        <v>0.25</v>
      </c>
      <c r="C166" s="495">
        <v>264.33</v>
      </c>
      <c r="D166" s="494">
        <v>0.3</v>
      </c>
      <c r="E166" s="495">
        <v>79.3</v>
      </c>
      <c r="F166" s="495">
        <v>19.100000000000001</v>
      </c>
      <c r="G166" s="495">
        <v>98.4</v>
      </c>
      <c r="H166" s="495"/>
      <c r="I166" s="495"/>
      <c r="J166" s="494"/>
      <c r="K166" s="495"/>
      <c r="L166" s="495"/>
      <c r="M166" s="495"/>
    </row>
    <row r="167" spans="1:13" ht="16.149999999999999" customHeight="1" x14ac:dyDescent="0.25">
      <c r="A167" s="488" t="s">
        <v>817</v>
      </c>
      <c r="B167" s="495">
        <v>1</v>
      </c>
      <c r="C167" s="495">
        <v>1179</v>
      </c>
      <c r="D167" s="494">
        <v>0.3</v>
      </c>
      <c r="E167" s="495">
        <v>353.7</v>
      </c>
      <c r="F167" s="495">
        <v>85.21</v>
      </c>
      <c r="G167" s="495">
        <v>438.90999999999997</v>
      </c>
      <c r="H167" s="495"/>
      <c r="I167" s="495"/>
      <c r="J167" s="494"/>
      <c r="K167" s="495"/>
      <c r="L167" s="495"/>
      <c r="M167" s="495"/>
    </row>
    <row r="168" spans="1:13" ht="16.149999999999999" customHeight="1" x14ac:dyDescent="0.25">
      <c r="A168" s="488" t="s">
        <v>817</v>
      </c>
      <c r="B168" s="495">
        <v>0.5</v>
      </c>
      <c r="C168" s="495">
        <v>684.17</v>
      </c>
      <c r="D168" s="494">
        <v>0.3</v>
      </c>
      <c r="E168" s="495">
        <v>205.25</v>
      </c>
      <c r="F168" s="495">
        <v>49.44</v>
      </c>
      <c r="G168" s="495">
        <v>254.69</v>
      </c>
      <c r="H168" s="495">
        <v>0.5</v>
      </c>
      <c r="I168" s="495">
        <v>614.17999999999995</v>
      </c>
      <c r="J168" s="494">
        <v>0.2</v>
      </c>
      <c r="K168" s="495">
        <v>122.84</v>
      </c>
      <c r="L168" s="495">
        <v>29.59</v>
      </c>
      <c r="M168" s="495">
        <v>152.43</v>
      </c>
    </row>
    <row r="169" spans="1:13" ht="16.149999999999999" customHeight="1" x14ac:dyDescent="0.25">
      <c r="A169" s="488" t="s">
        <v>817</v>
      </c>
      <c r="B169" s="495">
        <v>1</v>
      </c>
      <c r="C169" s="495">
        <v>1297</v>
      </c>
      <c r="D169" s="494">
        <v>0.3</v>
      </c>
      <c r="E169" s="495">
        <v>389.1</v>
      </c>
      <c r="F169" s="495">
        <v>93.73</v>
      </c>
      <c r="G169" s="495">
        <v>482.83000000000004</v>
      </c>
      <c r="H169" s="495">
        <v>1</v>
      </c>
      <c r="I169" s="495">
        <v>1297</v>
      </c>
      <c r="J169" s="494">
        <v>0.2</v>
      </c>
      <c r="K169" s="495">
        <v>259.39999999999998</v>
      </c>
      <c r="L169" s="495">
        <v>62.49</v>
      </c>
      <c r="M169" s="495">
        <v>321.89</v>
      </c>
    </row>
    <row r="170" spans="1:13" ht="27.75" customHeight="1" x14ac:dyDescent="0.25">
      <c r="A170" s="488" t="s">
        <v>955</v>
      </c>
      <c r="B170" s="495">
        <v>1</v>
      </c>
      <c r="C170" s="495">
        <v>1407</v>
      </c>
      <c r="D170" s="494">
        <v>0.3</v>
      </c>
      <c r="E170" s="495">
        <v>422.1</v>
      </c>
      <c r="F170" s="495">
        <v>101.68</v>
      </c>
      <c r="G170" s="495">
        <v>523.78</v>
      </c>
      <c r="H170" s="495"/>
      <c r="I170" s="495"/>
      <c r="J170" s="494"/>
      <c r="K170" s="495"/>
      <c r="L170" s="495"/>
      <c r="M170" s="495"/>
    </row>
    <row r="171" spans="1:13" ht="32.25" customHeight="1" x14ac:dyDescent="0.25">
      <c r="A171" s="488" t="s">
        <v>818</v>
      </c>
      <c r="B171" s="495"/>
      <c r="C171" s="495"/>
      <c r="D171" s="494"/>
      <c r="E171" s="495"/>
      <c r="F171" s="495">
        <v>0</v>
      </c>
      <c r="G171" s="495">
        <v>0</v>
      </c>
      <c r="H171" s="495">
        <v>1</v>
      </c>
      <c r="I171" s="495">
        <v>140.46</v>
      </c>
      <c r="J171" s="494">
        <v>0.2</v>
      </c>
      <c r="K171" s="495">
        <v>28.09</v>
      </c>
      <c r="L171" s="495">
        <v>6.77</v>
      </c>
      <c r="M171" s="495">
        <v>34.86</v>
      </c>
    </row>
    <row r="172" spans="1:13" ht="16.149999999999999" customHeight="1" x14ac:dyDescent="0.25">
      <c r="A172" s="488" t="s">
        <v>819</v>
      </c>
      <c r="B172" s="495"/>
      <c r="C172" s="495"/>
      <c r="D172" s="494"/>
      <c r="E172" s="495"/>
      <c r="F172" s="495">
        <v>0</v>
      </c>
      <c r="G172" s="495">
        <v>0</v>
      </c>
      <c r="H172" s="495">
        <v>1</v>
      </c>
      <c r="I172" s="495">
        <v>9.68</v>
      </c>
      <c r="J172" s="494">
        <v>0.2</v>
      </c>
      <c r="K172" s="495">
        <v>1.94</v>
      </c>
      <c r="L172" s="495">
        <v>0.47</v>
      </c>
      <c r="M172" s="495">
        <v>2.41</v>
      </c>
    </row>
    <row r="173" spans="1:13" ht="16.149999999999999" customHeight="1" x14ac:dyDescent="0.25">
      <c r="A173" s="488" t="s">
        <v>819</v>
      </c>
      <c r="B173" s="495"/>
      <c r="C173" s="495"/>
      <c r="D173" s="494"/>
      <c r="E173" s="495"/>
      <c r="F173" s="495">
        <v>0</v>
      </c>
      <c r="G173" s="495">
        <v>0</v>
      </c>
      <c r="H173" s="495">
        <v>0.5</v>
      </c>
      <c r="I173" s="495">
        <v>9.68</v>
      </c>
      <c r="J173" s="494">
        <v>0.2</v>
      </c>
      <c r="K173" s="495">
        <v>1.94</v>
      </c>
      <c r="L173" s="495">
        <v>0.47</v>
      </c>
      <c r="M173" s="495">
        <v>2.41</v>
      </c>
    </row>
    <row r="174" spans="1:13" ht="16.149999999999999" customHeight="1" x14ac:dyDescent="0.25">
      <c r="A174" s="488" t="s">
        <v>820</v>
      </c>
      <c r="B174" s="495"/>
      <c r="C174" s="495"/>
      <c r="D174" s="494"/>
      <c r="E174" s="495"/>
      <c r="F174" s="495">
        <v>0</v>
      </c>
      <c r="G174" s="495">
        <v>0</v>
      </c>
      <c r="H174" s="495">
        <v>0.9</v>
      </c>
      <c r="I174" s="495">
        <v>2075.61</v>
      </c>
      <c r="J174" s="494">
        <v>0.2</v>
      </c>
      <c r="K174" s="495">
        <v>415.12</v>
      </c>
      <c r="L174" s="495">
        <v>100</v>
      </c>
      <c r="M174" s="495">
        <v>515.12</v>
      </c>
    </row>
    <row r="175" spans="1:13" ht="16.149999999999999" customHeight="1" x14ac:dyDescent="0.25">
      <c r="A175" s="488" t="s">
        <v>821</v>
      </c>
      <c r="B175" s="495"/>
      <c r="C175" s="495"/>
      <c r="D175" s="494"/>
      <c r="E175" s="495"/>
      <c r="F175" s="495">
        <v>0</v>
      </c>
      <c r="G175" s="495">
        <v>0</v>
      </c>
      <c r="H175" s="495">
        <v>1</v>
      </c>
      <c r="I175" s="495">
        <v>61.27</v>
      </c>
      <c r="J175" s="494">
        <v>0.2</v>
      </c>
      <c r="K175" s="495">
        <v>12.25</v>
      </c>
      <c r="L175" s="495">
        <v>2.95</v>
      </c>
      <c r="M175" s="495">
        <v>15.2</v>
      </c>
    </row>
    <row r="176" spans="1:13" ht="16.149999999999999" customHeight="1" x14ac:dyDescent="0.25">
      <c r="A176" s="488" t="s">
        <v>822</v>
      </c>
      <c r="B176" s="495"/>
      <c r="C176" s="495"/>
      <c r="D176" s="494"/>
      <c r="E176" s="495"/>
      <c r="F176" s="495">
        <v>0</v>
      </c>
      <c r="G176" s="495">
        <v>0</v>
      </c>
      <c r="H176" s="495">
        <v>1</v>
      </c>
      <c r="I176" s="495">
        <v>8.2100000000000009</v>
      </c>
      <c r="J176" s="494">
        <v>0.2</v>
      </c>
      <c r="K176" s="495">
        <v>1.64</v>
      </c>
      <c r="L176" s="495">
        <v>0.4</v>
      </c>
      <c r="M176" s="495">
        <v>2.04</v>
      </c>
    </row>
    <row r="177" spans="1:13" ht="16.149999999999999" customHeight="1" x14ac:dyDescent="0.25">
      <c r="A177" s="488" t="s">
        <v>823</v>
      </c>
      <c r="B177" s="495"/>
      <c r="C177" s="495"/>
      <c r="D177" s="494"/>
      <c r="E177" s="495"/>
      <c r="F177" s="495">
        <v>0</v>
      </c>
      <c r="G177" s="495">
        <v>0</v>
      </c>
      <c r="H177" s="495">
        <v>1</v>
      </c>
      <c r="I177" s="495">
        <v>67.22</v>
      </c>
      <c r="J177" s="494">
        <v>0.2</v>
      </c>
      <c r="K177" s="495">
        <v>13.44</v>
      </c>
      <c r="L177" s="495">
        <v>3.24</v>
      </c>
      <c r="M177" s="495">
        <v>16.68</v>
      </c>
    </row>
    <row r="178" spans="1:13" ht="16.149999999999999" customHeight="1" x14ac:dyDescent="0.25">
      <c r="A178" s="488" t="s">
        <v>823</v>
      </c>
      <c r="B178" s="495"/>
      <c r="C178" s="495"/>
      <c r="D178" s="494"/>
      <c r="E178" s="495"/>
      <c r="F178" s="495">
        <v>0</v>
      </c>
      <c r="G178" s="495">
        <v>0</v>
      </c>
      <c r="H178" s="495">
        <v>1</v>
      </c>
      <c r="I178" s="495">
        <v>268.86</v>
      </c>
      <c r="J178" s="494">
        <v>0.2</v>
      </c>
      <c r="K178" s="495">
        <v>53.77</v>
      </c>
      <c r="L178" s="495">
        <v>12.95</v>
      </c>
      <c r="M178" s="495">
        <v>66.72</v>
      </c>
    </row>
    <row r="179" spans="1:13" ht="16.149999999999999" customHeight="1" x14ac:dyDescent="0.25">
      <c r="A179" s="488" t="s">
        <v>823</v>
      </c>
      <c r="B179" s="495"/>
      <c r="C179" s="495"/>
      <c r="D179" s="494"/>
      <c r="E179" s="495"/>
      <c r="F179" s="495">
        <v>0</v>
      </c>
      <c r="G179" s="495">
        <v>0</v>
      </c>
      <c r="H179" s="495">
        <v>1</v>
      </c>
      <c r="I179" s="495">
        <v>268.86</v>
      </c>
      <c r="J179" s="494">
        <v>0.2</v>
      </c>
      <c r="K179" s="495">
        <v>53.77</v>
      </c>
      <c r="L179" s="495">
        <v>12.95</v>
      </c>
      <c r="M179" s="495">
        <v>66.72</v>
      </c>
    </row>
    <row r="180" spans="1:13" ht="16.149999999999999" customHeight="1" x14ac:dyDescent="0.25">
      <c r="A180" s="488" t="s">
        <v>823</v>
      </c>
      <c r="B180" s="495"/>
      <c r="C180" s="495"/>
      <c r="D180" s="494"/>
      <c r="E180" s="495"/>
      <c r="F180" s="495">
        <v>0</v>
      </c>
      <c r="G180" s="495">
        <v>0</v>
      </c>
      <c r="H180" s="495">
        <v>1</v>
      </c>
      <c r="I180" s="495">
        <v>33.61</v>
      </c>
      <c r="J180" s="494">
        <v>0.2</v>
      </c>
      <c r="K180" s="495">
        <v>6.72</v>
      </c>
      <c r="L180" s="495">
        <v>1.62</v>
      </c>
      <c r="M180" s="495">
        <v>8.34</v>
      </c>
    </row>
    <row r="181" spans="1:13" ht="16.149999999999999" customHeight="1" x14ac:dyDescent="0.25">
      <c r="A181" s="488" t="s">
        <v>823</v>
      </c>
      <c r="B181" s="495"/>
      <c r="C181" s="495"/>
      <c r="D181" s="494"/>
      <c r="E181" s="495"/>
      <c r="F181" s="495">
        <v>0</v>
      </c>
      <c r="G181" s="495">
        <v>0</v>
      </c>
      <c r="H181" s="495">
        <v>1</v>
      </c>
      <c r="I181" s="495">
        <v>268.86</v>
      </c>
      <c r="J181" s="494">
        <v>0.2</v>
      </c>
      <c r="K181" s="495">
        <v>53.77</v>
      </c>
      <c r="L181" s="495">
        <v>12.95</v>
      </c>
      <c r="M181" s="495">
        <v>66.72</v>
      </c>
    </row>
    <row r="182" spans="1:13" ht="30" customHeight="1" x14ac:dyDescent="0.25">
      <c r="A182" s="488" t="s">
        <v>824</v>
      </c>
      <c r="B182" s="495"/>
      <c r="C182" s="495"/>
      <c r="D182" s="494"/>
      <c r="E182" s="495"/>
      <c r="F182" s="495">
        <v>0</v>
      </c>
      <c r="G182" s="495">
        <v>0</v>
      </c>
      <c r="H182" s="495">
        <v>1</v>
      </c>
      <c r="I182" s="495">
        <v>1748</v>
      </c>
      <c r="J182" s="494">
        <v>0.2</v>
      </c>
      <c r="K182" s="495">
        <v>349.6</v>
      </c>
      <c r="L182" s="495">
        <v>84.22</v>
      </c>
      <c r="M182" s="495">
        <v>433.82000000000005</v>
      </c>
    </row>
    <row r="183" spans="1:13" ht="16.149999999999999" customHeight="1" x14ac:dyDescent="0.25">
      <c r="A183" s="488" t="s">
        <v>825</v>
      </c>
      <c r="B183" s="495">
        <v>0.5</v>
      </c>
      <c r="C183" s="495">
        <v>310.97000000000003</v>
      </c>
      <c r="D183" s="494">
        <v>0.3</v>
      </c>
      <c r="E183" s="495">
        <v>93.29</v>
      </c>
      <c r="F183" s="495">
        <v>22.47</v>
      </c>
      <c r="G183" s="495">
        <v>115.76</v>
      </c>
      <c r="H183" s="495"/>
      <c r="I183" s="495"/>
      <c r="J183" s="494"/>
      <c r="K183" s="495"/>
      <c r="L183" s="495"/>
      <c r="M183" s="495"/>
    </row>
    <row r="184" spans="1:13" ht="16.149999999999999" customHeight="1" x14ac:dyDescent="0.25">
      <c r="A184" s="488" t="s">
        <v>825</v>
      </c>
      <c r="B184" s="495">
        <v>0.25</v>
      </c>
      <c r="C184" s="495">
        <v>659.47</v>
      </c>
      <c r="D184" s="494">
        <v>0.3</v>
      </c>
      <c r="E184" s="495">
        <v>197.84</v>
      </c>
      <c r="F184" s="495">
        <v>47.66</v>
      </c>
      <c r="G184" s="495">
        <v>245.5</v>
      </c>
      <c r="H184" s="495">
        <v>0.25</v>
      </c>
      <c r="I184" s="495">
        <v>769.36</v>
      </c>
      <c r="J184" s="494">
        <v>0.2</v>
      </c>
      <c r="K184" s="495">
        <v>153.87</v>
      </c>
      <c r="L184" s="495">
        <v>37.07</v>
      </c>
      <c r="M184" s="495">
        <v>190.94</v>
      </c>
    </row>
    <row r="185" spans="1:13" ht="16.149999999999999" customHeight="1" x14ac:dyDescent="0.25">
      <c r="A185" s="488" t="s">
        <v>825</v>
      </c>
      <c r="B185" s="495"/>
      <c r="C185" s="495"/>
      <c r="D185" s="494"/>
      <c r="E185" s="495"/>
      <c r="F185" s="495">
        <v>0</v>
      </c>
      <c r="G185" s="495">
        <v>0</v>
      </c>
      <c r="H185" s="495">
        <v>1</v>
      </c>
      <c r="I185" s="495">
        <v>1318.9</v>
      </c>
      <c r="J185" s="494">
        <v>0.2</v>
      </c>
      <c r="K185" s="495">
        <v>263.77999999999997</v>
      </c>
      <c r="L185" s="495">
        <v>63.54</v>
      </c>
      <c r="M185" s="495">
        <v>327.32</v>
      </c>
    </row>
    <row r="186" spans="1:13" ht="16.149999999999999" customHeight="1" x14ac:dyDescent="0.25">
      <c r="A186" s="488" t="s">
        <v>825</v>
      </c>
      <c r="B186" s="495">
        <v>0.25</v>
      </c>
      <c r="C186" s="495">
        <v>164.87</v>
      </c>
      <c r="D186" s="494">
        <v>0.3</v>
      </c>
      <c r="E186" s="495">
        <v>49.46</v>
      </c>
      <c r="F186" s="495">
        <v>11.91</v>
      </c>
      <c r="G186" s="495">
        <v>61.370000000000005</v>
      </c>
      <c r="H186" s="495">
        <v>0.25</v>
      </c>
      <c r="I186" s="495">
        <v>549.54</v>
      </c>
      <c r="J186" s="494">
        <v>0.2</v>
      </c>
      <c r="K186" s="495">
        <v>109.91</v>
      </c>
      <c r="L186" s="495">
        <v>26.48</v>
      </c>
      <c r="M186" s="495">
        <v>136.38999999999999</v>
      </c>
    </row>
    <row r="187" spans="1:13" ht="16.149999999999999" customHeight="1" x14ac:dyDescent="0.25">
      <c r="A187" s="488" t="s">
        <v>825</v>
      </c>
      <c r="B187" s="495">
        <v>0.92500000000000004</v>
      </c>
      <c r="C187" s="495">
        <v>2445.4699999999998</v>
      </c>
      <c r="D187" s="494">
        <v>0.3</v>
      </c>
      <c r="E187" s="495">
        <v>733.64</v>
      </c>
      <c r="F187" s="495">
        <v>176.73</v>
      </c>
      <c r="G187" s="495">
        <v>910.37</v>
      </c>
      <c r="H187" s="495">
        <v>0.92500000000000004</v>
      </c>
      <c r="I187" s="495">
        <v>2376.7600000000002</v>
      </c>
      <c r="J187" s="494">
        <v>0.2</v>
      </c>
      <c r="K187" s="495">
        <v>475.35</v>
      </c>
      <c r="L187" s="495">
        <v>114.51</v>
      </c>
      <c r="M187" s="495">
        <v>589.86</v>
      </c>
    </row>
    <row r="188" spans="1:13" ht="16.149999999999999" customHeight="1" x14ac:dyDescent="0.25">
      <c r="A188" s="488" t="s">
        <v>825</v>
      </c>
      <c r="B188" s="495">
        <v>0.1</v>
      </c>
      <c r="C188" s="495">
        <v>219.83</v>
      </c>
      <c r="D188" s="494">
        <v>0.3</v>
      </c>
      <c r="E188" s="495">
        <v>65.95</v>
      </c>
      <c r="F188" s="495">
        <v>15.89</v>
      </c>
      <c r="G188" s="495">
        <v>81.84</v>
      </c>
      <c r="H188" s="495">
        <v>0.1</v>
      </c>
      <c r="I188" s="495">
        <v>109.91</v>
      </c>
      <c r="J188" s="494">
        <v>0.2</v>
      </c>
      <c r="K188" s="495">
        <v>21.98</v>
      </c>
      <c r="L188" s="495">
        <v>5.29</v>
      </c>
      <c r="M188" s="495">
        <v>27.27</v>
      </c>
    </row>
    <row r="189" spans="1:13" ht="16.149999999999999" customHeight="1" x14ac:dyDescent="0.25">
      <c r="A189" s="488" t="s">
        <v>825</v>
      </c>
      <c r="B189" s="495">
        <v>0.5</v>
      </c>
      <c r="C189" s="495">
        <v>1318.9</v>
      </c>
      <c r="D189" s="494">
        <v>0.3</v>
      </c>
      <c r="E189" s="495">
        <v>395.67</v>
      </c>
      <c r="F189" s="495">
        <v>95.32</v>
      </c>
      <c r="G189" s="495">
        <v>490.99</v>
      </c>
      <c r="H189" s="495">
        <v>0.5</v>
      </c>
      <c r="I189" s="495">
        <v>1978.34</v>
      </c>
      <c r="J189" s="494">
        <v>0.2</v>
      </c>
      <c r="K189" s="495">
        <v>395.67</v>
      </c>
      <c r="L189" s="495">
        <v>95.32</v>
      </c>
      <c r="M189" s="495">
        <v>490.99</v>
      </c>
    </row>
    <row r="190" spans="1:13" ht="16.149999999999999" customHeight="1" x14ac:dyDescent="0.25">
      <c r="A190" s="488" t="s">
        <v>825</v>
      </c>
      <c r="B190" s="495">
        <v>0.25</v>
      </c>
      <c r="C190" s="495">
        <v>274.77</v>
      </c>
      <c r="D190" s="494">
        <v>0.3</v>
      </c>
      <c r="E190" s="495">
        <v>82.43</v>
      </c>
      <c r="F190" s="495">
        <v>19.86</v>
      </c>
      <c r="G190" s="495">
        <v>102.29</v>
      </c>
      <c r="H190" s="495">
        <v>0.25</v>
      </c>
      <c r="I190" s="495">
        <v>769.36</v>
      </c>
      <c r="J190" s="494">
        <v>0.2</v>
      </c>
      <c r="K190" s="495">
        <v>153.87</v>
      </c>
      <c r="L190" s="495">
        <v>37.07</v>
      </c>
      <c r="M190" s="495">
        <v>190.94</v>
      </c>
    </row>
    <row r="191" spans="1:13" ht="16.149999999999999" customHeight="1" x14ac:dyDescent="0.25">
      <c r="A191" s="488" t="s">
        <v>825</v>
      </c>
      <c r="B191" s="495">
        <v>0.5</v>
      </c>
      <c r="C191" s="495">
        <v>1305.17</v>
      </c>
      <c r="D191" s="494">
        <v>0.3</v>
      </c>
      <c r="E191" s="495">
        <v>391.55</v>
      </c>
      <c r="F191" s="495">
        <v>94.32</v>
      </c>
      <c r="G191" s="495">
        <v>485.87</v>
      </c>
      <c r="H191" s="495">
        <v>0.5</v>
      </c>
      <c r="I191" s="495">
        <v>659.45</v>
      </c>
      <c r="J191" s="494">
        <v>0.2</v>
      </c>
      <c r="K191" s="495">
        <v>131.88999999999999</v>
      </c>
      <c r="L191" s="495">
        <v>31.77</v>
      </c>
      <c r="M191" s="495">
        <v>163.66</v>
      </c>
    </row>
    <row r="192" spans="1:13" s="703" customFormat="1" ht="16.149999999999999" customHeight="1" x14ac:dyDescent="0.25">
      <c r="A192" s="488" t="s">
        <v>825</v>
      </c>
      <c r="B192" s="495">
        <v>0.04</v>
      </c>
      <c r="C192" s="495">
        <v>54.97</v>
      </c>
      <c r="D192" s="494">
        <v>0.3</v>
      </c>
      <c r="E192" s="495">
        <v>16.489999999999998</v>
      </c>
      <c r="F192" s="495">
        <v>3.97</v>
      </c>
      <c r="G192" s="495">
        <v>20.459999999999997</v>
      </c>
      <c r="H192" s="495"/>
      <c r="I192" s="495"/>
      <c r="J192" s="494"/>
      <c r="K192" s="495"/>
      <c r="L192" s="495"/>
      <c r="M192" s="495"/>
    </row>
    <row r="193" spans="1:13" ht="39" customHeight="1" x14ac:dyDescent="0.25">
      <c r="A193" s="488" t="s">
        <v>956</v>
      </c>
      <c r="B193" s="495">
        <v>1</v>
      </c>
      <c r="C193" s="495">
        <v>1071.78</v>
      </c>
      <c r="D193" s="494">
        <v>0.5</v>
      </c>
      <c r="E193" s="495">
        <v>535.89</v>
      </c>
      <c r="F193" s="495">
        <v>129.1</v>
      </c>
      <c r="G193" s="495">
        <v>664.99</v>
      </c>
      <c r="H193" s="495"/>
      <c r="I193" s="495"/>
      <c r="J193" s="494"/>
      <c r="K193" s="495"/>
      <c r="L193" s="495"/>
      <c r="M193" s="495"/>
    </row>
    <row r="194" spans="1:13" ht="16.149999999999999" customHeight="1" x14ac:dyDescent="0.25">
      <c r="A194" s="488" t="s">
        <v>826</v>
      </c>
      <c r="B194" s="495">
        <v>1</v>
      </c>
      <c r="C194" s="495">
        <v>2500</v>
      </c>
      <c r="D194" s="494">
        <v>0.3</v>
      </c>
      <c r="E194" s="495">
        <v>750</v>
      </c>
      <c r="F194" s="495">
        <v>180.68</v>
      </c>
      <c r="G194" s="495">
        <v>930.68000000000006</v>
      </c>
      <c r="H194" s="495">
        <v>1</v>
      </c>
      <c r="I194" s="495">
        <v>2500</v>
      </c>
      <c r="J194" s="494">
        <v>0.2</v>
      </c>
      <c r="K194" s="495">
        <v>500</v>
      </c>
      <c r="L194" s="495">
        <v>120.45</v>
      </c>
      <c r="M194" s="495">
        <v>620.45000000000005</v>
      </c>
    </row>
    <row r="195" spans="1:13" ht="16.149999999999999" customHeight="1" x14ac:dyDescent="0.25">
      <c r="A195" s="488" t="s">
        <v>827</v>
      </c>
      <c r="B195" s="495">
        <v>1</v>
      </c>
      <c r="C195" s="495">
        <v>1328</v>
      </c>
      <c r="D195" s="494">
        <v>0.5</v>
      </c>
      <c r="E195" s="495">
        <v>664</v>
      </c>
      <c r="F195" s="495">
        <v>159.96</v>
      </c>
      <c r="G195" s="495">
        <v>823.96</v>
      </c>
      <c r="H195" s="495">
        <v>1</v>
      </c>
      <c r="I195" s="495">
        <v>462.28</v>
      </c>
      <c r="J195" s="494">
        <v>0.2</v>
      </c>
      <c r="K195" s="495">
        <v>92.46</v>
      </c>
      <c r="L195" s="495">
        <v>22.27</v>
      </c>
      <c r="M195" s="495">
        <v>114.72999999999999</v>
      </c>
    </row>
    <row r="196" spans="1:13" ht="16.149999999999999" customHeight="1" x14ac:dyDescent="0.25">
      <c r="A196" s="488" t="s">
        <v>827</v>
      </c>
      <c r="B196" s="495">
        <v>0.25</v>
      </c>
      <c r="C196" s="495">
        <v>254.1</v>
      </c>
      <c r="D196" s="494">
        <v>0.5</v>
      </c>
      <c r="E196" s="495">
        <v>127.05</v>
      </c>
      <c r="F196" s="495">
        <v>30.61</v>
      </c>
      <c r="G196" s="495">
        <v>157.66</v>
      </c>
      <c r="H196" s="495">
        <v>0.25</v>
      </c>
      <c r="I196" s="495">
        <v>334.55</v>
      </c>
      <c r="J196" s="494">
        <v>0.2</v>
      </c>
      <c r="K196" s="495">
        <v>66.91</v>
      </c>
      <c r="L196" s="495">
        <v>16.12</v>
      </c>
      <c r="M196" s="495">
        <v>83.03</v>
      </c>
    </row>
    <row r="197" spans="1:13" ht="16.149999999999999" customHeight="1" x14ac:dyDescent="0.25">
      <c r="A197" s="488" t="s">
        <v>827</v>
      </c>
      <c r="B197" s="495"/>
      <c r="C197" s="495"/>
      <c r="D197" s="494"/>
      <c r="E197" s="495"/>
      <c r="F197" s="495">
        <v>0</v>
      </c>
      <c r="G197" s="495">
        <v>0</v>
      </c>
      <c r="H197" s="495">
        <v>1</v>
      </c>
      <c r="I197" s="495">
        <v>1321</v>
      </c>
      <c r="J197" s="494">
        <v>0.2</v>
      </c>
      <c r="K197" s="495">
        <v>264.2</v>
      </c>
      <c r="L197" s="495">
        <v>63.65</v>
      </c>
      <c r="M197" s="495">
        <v>327.84999999999997</v>
      </c>
    </row>
    <row r="198" spans="1:13" ht="16.149999999999999" customHeight="1" x14ac:dyDescent="0.25">
      <c r="A198" s="488" t="s">
        <v>827</v>
      </c>
      <c r="B198" s="495">
        <v>0.75</v>
      </c>
      <c r="C198" s="495">
        <v>699.7</v>
      </c>
      <c r="D198" s="494">
        <v>0.5</v>
      </c>
      <c r="E198" s="495">
        <v>349.85</v>
      </c>
      <c r="F198" s="495">
        <v>84.28</v>
      </c>
      <c r="G198" s="495">
        <v>434.13</v>
      </c>
      <c r="H198" s="495">
        <v>0.75</v>
      </c>
      <c r="I198" s="495">
        <v>921.27</v>
      </c>
      <c r="J198" s="494">
        <v>0.2</v>
      </c>
      <c r="K198" s="495">
        <v>184.25</v>
      </c>
      <c r="L198" s="495">
        <v>44.39</v>
      </c>
      <c r="M198" s="495">
        <v>228.64</v>
      </c>
    </row>
    <row r="199" spans="1:13" ht="16.149999999999999" customHeight="1" x14ac:dyDescent="0.25">
      <c r="A199" s="488" t="s">
        <v>827</v>
      </c>
      <c r="B199" s="495">
        <v>0.5</v>
      </c>
      <c r="C199" s="495">
        <v>684.16</v>
      </c>
      <c r="D199" s="494">
        <v>0.5</v>
      </c>
      <c r="E199" s="495">
        <v>342.08</v>
      </c>
      <c r="F199" s="495">
        <v>82.41</v>
      </c>
      <c r="G199" s="495">
        <v>424.49</v>
      </c>
      <c r="H199" s="495">
        <v>0.5</v>
      </c>
      <c r="I199" s="495">
        <v>614.17999999999995</v>
      </c>
      <c r="J199" s="494">
        <v>0.2</v>
      </c>
      <c r="K199" s="495">
        <v>122.84</v>
      </c>
      <c r="L199" s="495">
        <v>29.59</v>
      </c>
      <c r="M199" s="495">
        <v>152.43</v>
      </c>
    </row>
    <row r="200" spans="1:13" ht="16.149999999999999" customHeight="1" x14ac:dyDescent="0.25">
      <c r="A200" s="488" t="s">
        <v>827</v>
      </c>
      <c r="B200" s="495">
        <v>1</v>
      </c>
      <c r="C200" s="495">
        <v>1368.3</v>
      </c>
      <c r="D200" s="494">
        <v>0.5</v>
      </c>
      <c r="E200" s="495">
        <v>684.15</v>
      </c>
      <c r="F200" s="495">
        <v>164.81</v>
      </c>
      <c r="G200" s="495">
        <v>848.96</v>
      </c>
      <c r="H200" s="495">
        <v>1</v>
      </c>
      <c r="I200" s="495">
        <v>925.15</v>
      </c>
      <c r="J200" s="494">
        <v>0.2</v>
      </c>
      <c r="K200" s="495">
        <v>185.03</v>
      </c>
      <c r="L200" s="495">
        <v>44.57</v>
      </c>
      <c r="M200" s="495">
        <v>229.6</v>
      </c>
    </row>
    <row r="201" spans="1:13" ht="16.149999999999999" customHeight="1" x14ac:dyDescent="0.25">
      <c r="A201" s="488" t="s">
        <v>827</v>
      </c>
      <c r="B201" s="495">
        <v>1</v>
      </c>
      <c r="C201" s="495">
        <v>1119.52</v>
      </c>
      <c r="D201" s="494">
        <v>0.5</v>
      </c>
      <c r="E201" s="495">
        <v>559.76</v>
      </c>
      <c r="F201" s="495">
        <v>134.85</v>
      </c>
      <c r="G201" s="495">
        <v>694.61</v>
      </c>
      <c r="H201" s="495">
        <v>1</v>
      </c>
      <c r="I201" s="495">
        <v>1228.3599999999999</v>
      </c>
      <c r="J201" s="494">
        <v>0.2</v>
      </c>
      <c r="K201" s="495">
        <v>245.67</v>
      </c>
      <c r="L201" s="495">
        <v>59.18</v>
      </c>
      <c r="M201" s="495">
        <v>304.84999999999997</v>
      </c>
    </row>
    <row r="202" spans="1:13" ht="16.149999999999999" customHeight="1" x14ac:dyDescent="0.25">
      <c r="A202" s="488" t="s">
        <v>827</v>
      </c>
      <c r="B202" s="495">
        <v>1</v>
      </c>
      <c r="C202" s="495">
        <v>1243.9000000000001</v>
      </c>
      <c r="D202" s="494">
        <v>0.5</v>
      </c>
      <c r="E202" s="495">
        <v>621.95000000000005</v>
      </c>
      <c r="F202" s="495">
        <v>149.83000000000001</v>
      </c>
      <c r="G202" s="495">
        <v>771.78000000000009</v>
      </c>
      <c r="H202" s="495">
        <v>1</v>
      </c>
      <c r="I202" s="495">
        <v>1228.3599999999999</v>
      </c>
      <c r="J202" s="494">
        <v>0.2</v>
      </c>
      <c r="K202" s="495">
        <v>245.67</v>
      </c>
      <c r="L202" s="495">
        <v>59.18</v>
      </c>
      <c r="M202" s="495">
        <v>304.84999999999997</v>
      </c>
    </row>
    <row r="203" spans="1:13" ht="16.149999999999999" customHeight="1" x14ac:dyDescent="0.25">
      <c r="A203" s="488" t="s">
        <v>827</v>
      </c>
      <c r="B203" s="495">
        <v>1</v>
      </c>
      <c r="C203" s="495">
        <v>1057.32</v>
      </c>
      <c r="D203" s="494">
        <v>0.5</v>
      </c>
      <c r="E203" s="495">
        <v>528.66</v>
      </c>
      <c r="F203" s="495">
        <v>127.35</v>
      </c>
      <c r="G203" s="495">
        <v>656.01</v>
      </c>
      <c r="H203" s="495">
        <v>1</v>
      </c>
      <c r="I203" s="495">
        <v>1228.3599999999999</v>
      </c>
      <c r="J203" s="494">
        <v>0.2</v>
      </c>
      <c r="K203" s="495">
        <v>245.67</v>
      </c>
      <c r="L203" s="495">
        <v>59.18</v>
      </c>
      <c r="M203" s="495">
        <v>304.84999999999997</v>
      </c>
    </row>
    <row r="204" spans="1:13" ht="16.149999999999999" customHeight="1" x14ac:dyDescent="0.25">
      <c r="A204" s="488" t="s">
        <v>827</v>
      </c>
      <c r="B204" s="495">
        <v>1</v>
      </c>
      <c r="C204" s="495">
        <v>1297</v>
      </c>
      <c r="D204" s="494">
        <v>0.3</v>
      </c>
      <c r="E204" s="495">
        <v>389.1</v>
      </c>
      <c r="F204" s="495">
        <v>93.73</v>
      </c>
      <c r="G204" s="495">
        <v>482.83000000000004</v>
      </c>
      <c r="H204" s="495">
        <v>1</v>
      </c>
      <c r="I204" s="495">
        <v>1297</v>
      </c>
      <c r="J204" s="494">
        <v>0.2</v>
      </c>
      <c r="K204" s="495">
        <v>259.39999999999998</v>
      </c>
      <c r="L204" s="495">
        <v>62.49</v>
      </c>
      <c r="M204" s="495">
        <v>321.89</v>
      </c>
    </row>
    <row r="205" spans="1:13" ht="16.149999999999999" customHeight="1" x14ac:dyDescent="0.25">
      <c r="A205" s="488" t="s">
        <v>827</v>
      </c>
      <c r="B205" s="495">
        <v>1</v>
      </c>
      <c r="C205" s="495">
        <v>1297</v>
      </c>
      <c r="D205" s="494">
        <v>0.3</v>
      </c>
      <c r="E205" s="495">
        <v>389.1</v>
      </c>
      <c r="F205" s="495">
        <v>93.73</v>
      </c>
      <c r="G205" s="495">
        <v>482.83000000000004</v>
      </c>
      <c r="H205" s="495">
        <v>1</v>
      </c>
      <c r="I205" s="495">
        <v>1297</v>
      </c>
      <c r="J205" s="494">
        <v>0.2</v>
      </c>
      <c r="K205" s="495">
        <v>259.39999999999998</v>
      </c>
      <c r="L205" s="495">
        <v>62.49</v>
      </c>
      <c r="M205" s="495">
        <v>321.89</v>
      </c>
    </row>
    <row r="206" spans="1:13" ht="16.149999999999999" customHeight="1" x14ac:dyDescent="0.25">
      <c r="A206" s="488" t="s">
        <v>828</v>
      </c>
      <c r="B206" s="495">
        <v>1</v>
      </c>
      <c r="C206" s="495">
        <v>1987</v>
      </c>
      <c r="D206" s="494">
        <v>0.3</v>
      </c>
      <c r="E206" s="495">
        <v>596.1</v>
      </c>
      <c r="F206" s="495">
        <v>143.6</v>
      </c>
      <c r="G206" s="495">
        <v>739.7</v>
      </c>
      <c r="H206" s="495">
        <v>1</v>
      </c>
      <c r="I206" s="495">
        <v>1987</v>
      </c>
      <c r="J206" s="494">
        <v>0.2</v>
      </c>
      <c r="K206" s="495">
        <v>397.4</v>
      </c>
      <c r="L206" s="495">
        <v>95.73</v>
      </c>
      <c r="M206" s="495">
        <v>493.13</v>
      </c>
    </row>
    <row r="207" spans="1:13" ht="16.149999999999999" customHeight="1" x14ac:dyDescent="0.25">
      <c r="A207" s="488" t="s">
        <v>715</v>
      </c>
      <c r="B207" s="495"/>
      <c r="C207" s="495"/>
      <c r="D207" s="494"/>
      <c r="E207" s="495"/>
      <c r="F207" s="495">
        <v>0</v>
      </c>
      <c r="G207" s="495">
        <v>0</v>
      </c>
      <c r="H207" s="495">
        <v>1</v>
      </c>
      <c r="I207" s="495">
        <v>1388</v>
      </c>
      <c r="J207" s="494">
        <v>0.2</v>
      </c>
      <c r="K207" s="495">
        <v>277.60000000000002</v>
      </c>
      <c r="L207" s="495">
        <v>66.87</v>
      </c>
      <c r="M207" s="495">
        <v>344.47</v>
      </c>
    </row>
    <row r="208" spans="1:13" ht="16.149999999999999" customHeight="1" x14ac:dyDescent="0.25">
      <c r="A208" s="488" t="s">
        <v>715</v>
      </c>
      <c r="B208" s="495"/>
      <c r="C208" s="495"/>
      <c r="D208" s="494"/>
      <c r="E208" s="495"/>
      <c r="F208" s="495">
        <v>0</v>
      </c>
      <c r="G208" s="495">
        <v>0</v>
      </c>
      <c r="H208" s="495">
        <v>1</v>
      </c>
      <c r="I208" s="495">
        <v>1350.4</v>
      </c>
      <c r="J208" s="494">
        <v>0.2</v>
      </c>
      <c r="K208" s="495">
        <v>270.08</v>
      </c>
      <c r="L208" s="495">
        <v>65.06</v>
      </c>
      <c r="M208" s="495">
        <v>335.14</v>
      </c>
    </row>
    <row r="209" spans="1:13" ht="16.149999999999999" customHeight="1" x14ac:dyDescent="0.25">
      <c r="A209" s="488" t="s">
        <v>829</v>
      </c>
      <c r="B209" s="495">
        <v>0.5</v>
      </c>
      <c r="C209" s="495">
        <v>655.14</v>
      </c>
      <c r="D209" s="494">
        <v>0.5</v>
      </c>
      <c r="E209" s="495">
        <v>327.57</v>
      </c>
      <c r="F209" s="495">
        <v>78.91</v>
      </c>
      <c r="G209" s="495">
        <v>406.48</v>
      </c>
      <c r="H209" s="495">
        <v>0.5</v>
      </c>
      <c r="I209" s="495">
        <v>588.13</v>
      </c>
      <c r="J209" s="494">
        <v>0.2</v>
      </c>
      <c r="K209" s="495">
        <v>117.63</v>
      </c>
      <c r="L209" s="495">
        <v>28.34</v>
      </c>
      <c r="M209" s="495">
        <v>145.97</v>
      </c>
    </row>
    <row r="210" spans="1:13" ht="16.149999999999999" customHeight="1" x14ac:dyDescent="0.25">
      <c r="A210" s="488" t="s">
        <v>829</v>
      </c>
      <c r="B210" s="495">
        <v>0.5</v>
      </c>
      <c r="C210" s="495">
        <v>621</v>
      </c>
      <c r="D210" s="494">
        <v>0.3</v>
      </c>
      <c r="E210" s="495">
        <v>186.3</v>
      </c>
      <c r="F210" s="495">
        <v>44.88</v>
      </c>
      <c r="G210" s="495">
        <v>231.18</v>
      </c>
      <c r="H210" s="495">
        <v>0.5</v>
      </c>
      <c r="I210" s="495">
        <v>621</v>
      </c>
      <c r="J210" s="494">
        <v>0.2</v>
      </c>
      <c r="K210" s="495">
        <v>124.2</v>
      </c>
      <c r="L210" s="495">
        <v>29.92</v>
      </c>
      <c r="M210" s="495">
        <v>154.12</v>
      </c>
    </row>
    <row r="211" spans="1:13" ht="16.149999999999999" customHeight="1" x14ac:dyDescent="0.25">
      <c r="A211" s="488" t="s">
        <v>830</v>
      </c>
      <c r="B211" s="495"/>
      <c r="C211" s="495"/>
      <c r="D211" s="494"/>
      <c r="E211" s="495"/>
      <c r="F211" s="495">
        <v>0</v>
      </c>
      <c r="G211" s="495">
        <v>0</v>
      </c>
      <c r="H211" s="495">
        <v>1</v>
      </c>
      <c r="I211" s="495">
        <v>2213</v>
      </c>
      <c r="J211" s="494">
        <v>0.2</v>
      </c>
      <c r="K211" s="495">
        <v>442.6</v>
      </c>
      <c r="L211" s="495">
        <v>106.62</v>
      </c>
      <c r="M211" s="495">
        <v>549.22</v>
      </c>
    </row>
    <row r="212" spans="1:13" ht="16.149999999999999" customHeight="1" x14ac:dyDescent="0.25">
      <c r="A212" s="488" t="s">
        <v>831</v>
      </c>
      <c r="B212" s="495"/>
      <c r="C212" s="495"/>
      <c r="D212" s="494"/>
      <c r="E212" s="495"/>
      <c r="F212" s="495">
        <v>0</v>
      </c>
      <c r="G212" s="495">
        <v>0</v>
      </c>
      <c r="H212" s="495">
        <v>1</v>
      </c>
      <c r="I212" s="495">
        <v>1831</v>
      </c>
      <c r="J212" s="494">
        <v>0.2</v>
      </c>
      <c r="K212" s="495">
        <v>366.2</v>
      </c>
      <c r="L212" s="495">
        <v>88.22</v>
      </c>
      <c r="M212" s="495">
        <v>454.41999999999996</v>
      </c>
    </row>
    <row r="213" spans="1:13" ht="16.149999999999999" customHeight="1" x14ac:dyDescent="0.25">
      <c r="A213" s="488" t="s">
        <v>832</v>
      </c>
      <c r="B213" s="495">
        <v>0.25</v>
      </c>
      <c r="C213" s="495">
        <v>308.43</v>
      </c>
      <c r="D213" s="494">
        <v>0.3</v>
      </c>
      <c r="E213" s="495">
        <v>92.53</v>
      </c>
      <c r="F213" s="495">
        <v>22.29</v>
      </c>
      <c r="G213" s="495">
        <v>114.82</v>
      </c>
      <c r="H213" s="495">
        <v>0.25</v>
      </c>
      <c r="I213" s="495">
        <v>462.65</v>
      </c>
      <c r="J213" s="494">
        <v>0.2</v>
      </c>
      <c r="K213" s="495">
        <v>92.53</v>
      </c>
      <c r="L213" s="495">
        <v>22.29</v>
      </c>
      <c r="M213" s="495">
        <v>114.82</v>
      </c>
    </row>
    <row r="214" spans="1:13" ht="16.149999999999999" customHeight="1" x14ac:dyDescent="0.25">
      <c r="A214" s="488" t="s">
        <v>832</v>
      </c>
      <c r="B214" s="495">
        <v>0.25</v>
      </c>
      <c r="C214" s="495">
        <v>385.53</v>
      </c>
      <c r="D214" s="494">
        <v>0.3</v>
      </c>
      <c r="E214" s="495">
        <v>115.66</v>
      </c>
      <c r="F214" s="495">
        <v>27.86</v>
      </c>
      <c r="G214" s="495">
        <v>143.51999999999998</v>
      </c>
      <c r="H214" s="495">
        <v>0.25</v>
      </c>
      <c r="I214" s="495">
        <v>385.54</v>
      </c>
      <c r="J214" s="494">
        <v>0.2</v>
      </c>
      <c r="K214" s="495">
        <v>77.11</v>
      </c>
      <c r="L214" s="495">
        <v>18.579999999999998</v>
      </c>
      <c r="M214" s="495">
        <v>95.69</v>
      </c>
    </row>
    <row r="215" spans="1:13" ht="16.149999999999999" customHeight="1" x14ac:dyDescent="0.25">
      <c r="A215" s="488" t="s">
        <v>832</v>
      </c>
      <c r="B215" s="495">
        <v>0.46</v>
      </c>
      <c r="C215" s="495">
        <v>539.77</v>
      </c>
      <c r="D215" s="494">
        <v>0.3</v>
      </c>
      <c r="E215" s="495">
        <v>161.93</v>
      </c>
      <c r="F215" s="495">
        <v>39.01</v>
      </c>
      <c r="G215" s="495">
        <v>200.94</v>
      </c>
      <c r="H215" s="495">
        <v>0.46</v>
      </c>
      <c r="I215" s="495">
        <v>693.98</v>
      </c>
      <c r="J215" s="494">
        <v>0.2</v>
      </c>
      <c r="K215" s="495">
        <v>138.80000000000001</v>
      </c>
      <c r="L215" s="495">
        <v>33.44</v>
      </c>
      <c r="M215" s="495">
        <v>172.24</v>
      </c>
    </row>
    <row r="216" spans="1:13" ht="16.149999999999999" customHeight="1" x14ac:dyDescent="0.25">
      <c r="A216" s="488" t="s">
        <v>832</v>
      </c>
      <c r="B216" s="495">
        <v>1</v>
      </c>
      <c r="C216" s="495">
        <v>1773.5</v>
      </c>
      <c r="D216" s="494">
        <v>0.3</v>
      </c>
      <c r="E216" s="495">
        <v>532.04999999999995</v>
      </c>
      <c r="F216" s="495">
        <v>128.16999999999999</v>
      </c>
      <c r="G216" s="495">
        <v>660.21999999999991</v>
      </c>
      <c r="H216" s="495">
        <v>1</v>
      </c>
      <c r="I216" s="495">
        <v>1310.85</v>
      </c>
      <c r="J216" s="494">
        <v>0.2</v>
      </c>
      <c r="K216" s="495">
        <v>262.17</v>
      </c>
      <c r="L216" s="495">
        <v>63.16</v>
      </c>
      <c r="M216" s="495">
        <v>325.33000000000004</v>
      </c>
    </row>
    <row r="217" spans="1:13" ht="16.149999999999999" customHeight="1" x14ac:dyDescent="0.25">
      <c r="A217" s="488" t="s">
        <v>832</v>
      </c>
      <c r="B217" s="495">
        <v>0.5</v>
      </c>
      <c r="C217" s="495">
        <v>462.67</v>
      </c>
      <c r="D217" s="494">
        <v>0.3</v>
      </c>
      <c r="E217" s="495">
        <v>138.80000000000001</v>
      </c>
      <c r="F217" s="495">
        <v>33.44</v>
      </c>
      <c r="G217" s="495">
        <v>172.24</v>
      </c>
      <c r="H217" s="495"/>
      <c r="I217" s="495"/>
      <c r="J217" s="494"/>
      <c r="K217" s="495"/>
      <c r="L217" s="495"/>
      <c r="M217" s="495"/>
    </row>
    <row r="218" spans="1:13" ht="16.149999999999999" customHeight="1" x14ac:dyDescent="0.25">
      <c r="A218" s="488" t="s">
        <v>832</v>
      </c>
      <c r="B218" s="495">
        <v>0.25</v>
      </c>
      <c r="C218" s="495">
        <v>1156.6300000000001</v>
      </c>
      <c r="D218" s="494">
        <v>0.3</v>
      </c>
      <c r="E218" s="495">
        <v>346.99</v>
      </c>
      <c r="F218" s="495">
        <v>83.59</v>
      </c>
      <c r="G218" s="495">
        <v>430.58000000000004</v>
      </c>
      <c r="H218" s="495">
        <v>0.25</v>
      </c>
      <c r="I218" s="495">
        <v>616.87</v>
      </c>
      <c r="J218" s="494">
        <v>0.2</v>
      </c>
      <c r="K218" s="495">
        <v>123.37</v>
      </c>
      <c r="L218" s="495">
        <v>29.72</v>
      </c>
      <c r="M218" s="495">
        <v>153.09</v>
      </c>
    </row>
    <row r="219" spans="1:13" ht="16.149999999999999" customHeight="1" x14ac:dyDescent="0.25">
      <c r="A219" s="488" t="s">
        <v>832</v>
      </c>
      <c r="B219" s="495">
        <v>0.5</v>
      </c>
      <c r="C219" s="495">
        <v>925.3</v>
      </c>
      <c r="D219" s="494">
        <v>0.3</v>
      </c>
      <c r="E219" s="495">
        <v>277.58999999999997</v>
      </c>
      <c r="F219" s="495">
        <v>66.87</v>
      </c>
      <c r="G219" s="495">
        <v>344.46</v>
      </c>
      <c r="H219" s="495">
        <v>0.5</v>
      </c>
      <c r="I219" s="495">
        <v>462.65</v>
      </c>
      <c r="J219" s="494">
        <v>0.2</v>
      </c>
      <c r="K219" s="495">
        <v>92.53</v>
      </c>
      <c r="L219" s="495">
        <v>22.29</v>
      </c>
      <c r="M219" s="495">
        <v>114.82</v>
      </c>
    </row>
    <row r="220" spans="1:13" ht="16.149999999999999" customHeight="1" x14ac:dyDescent="0.25">
      <c r="A220" s="488" t="s">
        <v>832</v>
      </c>
      <c r="B220" s="495">
        <v>0.5</v>
      </c>
      <c r="C220" s="495">
        <v>771.1</v>
      </c>
      <c r="D220" s="494">
        <v>0.3</v>
      </c>
      <c r="E220" s="495">
        <v>231.33</v>
      </c>
      <c r="F220" s="495">
        <v>55.73</v>
      </c>
      <c r="G220" s="495">
        <v>287.06</v>
      </c>
      <c r="H220" s="495">
        <v>0.5</v>
      </c>
      <c r="I220" s="495">
        <v>771.09</v>
      </c>
      <c r="J220" s="494">
        <v>0.2</v>
      </c>
      <c r="K220" s="495">
        <v>154.22</v>
      </c>
      <c r="L220" s="495">
        <v>37.15</v>
      </c>
      <c r="M220" s="495">
        <v>191.37</v>
      </c>
    </row>
    <row r="221" spans="1:13" ht="16.149999999999999" customHeight="1" x14ac:dyDescent="0.25">
      <c r="A221" s="488" t="s">
        <v>832</v>
      </c>
      <c r="B221" s="495">
        <v>0.5</v>
      </c>
      <c r="C221" s="495">
        <v>1002.4</v>
      </c>
      <c r="D221" s="494">
        <v>0.3</v>
      </c>
      <c r="E221" s="495">
        <v>300.72000000000003</v>
      </c>
      <c r="F221" s="495">
        <v>72.44</v>
      </c>
      <c r="G221" s="495">
        <v>373.16</v>
      </c>
      <c r="H221" s="495">
        <v>0.5</v>
      </c>
      <c r="I221" s="495">
        <v>1310.85</v>
      </c>
      <c r="J221" s="494">
        <v>0.2</v>
      </c>
      <c r="K221" s="495">
        <v>262.17</v>
      </c>
      <c r="L221" s="495">
        <v>63.16</v>
      </c>
      <c r="M221" s="495">
        <v>325.33000000000004</v>
      </c>
    </row>
    <row r="222" spans="1:13" ht="16.149999999999999" customHeight="1" x14ac:dyDescent="0.25">
      <c r="A222" s="488" t="s">
        <v>832</v>
      </c>
      <c r="B222" s="495">
        <v>0.5</v>
      </c>
      <c r="C222" s="495">
        <v>848.2</v>
      </c>
      <c r="D222" s="494">
        <v>0.3</v>
      </c>
      <c r="E222" s="495">
        <v>254.46</v>
      </c>
      <c r="F222" s="495">
        <v>61.3</v>
      </c>
      <c r="G222" s="495">
        <v>315.76</v>
      </c>
      <c r="H222" s="495">
        <v>0.5</v>
      </c>
      <c r="I222" s="495">
        <v>1619.28</v>
      </c>
      <c r="J222" s="494">
        <v>0.2</v>
      </c>
      <c r="K222" s="495">
        <v>323.86</v>
      </c>
      <c r="L222" s="495">
        <v>78.02</v>
      </c>
      <c r="M222" s="495">
        <v>401.88</v>
      </c>
    </row>
    <row r="223" spans="1:13" ht="16.149999999999999" customHeight="1" x14ac:dyDescent="0.25">
      <c r="A223" s="488" t="s">
        <v>832</v>
      </c>
      <c r="B223" s="495">
        <v>0.2</v>
      </c>
      <c r="C223" s="495">
        <v>462.67</v>
      </c>
      <c r="D223" s="494">
        <v>0.3</v>
      </c>
      <c r="E223" s="495">
        <v>138.80000000000001</v>
      </c>
      <c r="F223" s="495">
        <v>33.44</v>
      </c>
      <c r="G223" s="495">
        <v>172.24</v>
      </c>
      <c r="H223" s="495">
        <v>0.2</v>
      </c>
      <c r="I223" s="495">
        <v>308.44</v>
      </c>
      <c r="J223" s="494">
        <v>0.2</v>
      </c>
      <c r="K223" s="495">
        <v>61.69</v>
      </c>
      <c r="L223" s="495">
        <v>14.86</v>
      </c>
      <c r="M223" s="495">
        <v>76.55</v>
      </c>
    </row>
    <row r="224" spans="1:13" ht="16.149999999999999" customHeight="1" x14ac:dyDescent="0.25">
      <c r="A224" s="488" t="s">
        <v>832</v>
      </c>
      <c r="B224" s="495">
        <v>1</v>
      </c>
      <c r="C224" s="495">
        <v>1850.6</v>
      </c>
      <c r="D224" s="494">
        <v>0.3</v>
      </c>
      <c r="E224" s="495">
        <v>555.17999999999995</v>
      </c>
      <c r="F224" s="495">
        <v>133.74</v>
      </c>
      <c r="G224" s="495">
        <v>688.92</v>
      </c>
      <c r="H224" s="495">
        <v>1</v>
      </c>
      <c r="I224" s="495">
        <v>1773.5</v>
      </c>
      <c r="J224" s="494">
        <v>0.2</v>
      </c>
      <c r="K224" s="495">
        <v>354.7</v>
      </c>
      <c r="L224" s="495">
        <v>85.45</v>
      </c>
      <c r="M224" s="495">
        <v>440.15</v>
      </c>
    </row>
    <row r="225" spans="1:13" ht="16.149999999999999" customHeight="1" x14ac:dyDescent="0.25">
      <c r="A225" s="488" t="s">
        <v>832</v>
      </c>
      <c r="B225" s="495">
        <v>0.25</v>
      </c>
      <c r="C225" s="495">
        <v>539.77</v>
      </c>
      <c r="D225" s="494">
        <v>0.3</v>
      </c>
      <c r="E225" s="495">
        <v>161.93</v>
      </c>
      <c r="F225" s="495">
        <v>39.01</v>
      </c>
      <c r="G225" s="495">
        <v>200.94</v>
      </c>
      <c r="H225" s="495">
        <v>0.25</v>
      </c>
      <c r="I225" s="495">
        <v>539.76</v>
      </c>
      <c r="J225" s="494">
        <v>0.2</v>
      </c>
      <c r="K225" s="495">
        <v>107.95</v>
      </c>
      <c r="L225" s="495">
        <v>26.01</v>
      </c>
      <c r="M225" s="495">
        <v>133.96</v>
      </c>
    </row>
    <row r="226" spans="1:13" ht="16.149999999999999" customHeight="1" x14ac:dyDescent="0.25">
      <c r="A226" s="488" t="s">
        <v>832</v>
      </c>
      <c r="B226" s="495">
        <v>0.75</v>
      </c>
      <c r="C226" s="495">
        <v>1840.97</v>
      </c>
      <c r="D226" s="494">
        <v>0.3</v>
      </c>
      <c r="E226" s="495">
        <v>552.29</v>
      </c>
      <c r="F226" s="495">
        <v>133.05000000000001</v>
      </c>
      <c r="G226" s="495">
        <v>685.33999999999992</v>
      </c>
      <c r="H226" s="495">
        <v>0.75</v>
      </c>
      <c r="I226" s="495">
        <v>1619.28</v>
      </c>
      <c r="J226" s="494">
        <v>0.2</v>
      </c>
      <c r="K226" s="495">
        <v>323.86</v>
      </c>
      <c r="L226" s="495">
        <v>78.02</v>
      </c>
      <c r="M226" s="495">
        <v>401.88</v>
      </c>
    </row>
    <row r="227" spans="1:13" ht="16.149999999999999" customHeight="1" x14ac:dyDescent="0.25">
      <c r="A227" s="488" t="s">
        <v>832</v>
      </c>
      <c r="B227" s="495">
        <v>0.25</v>
      </c>
      <c r="C227" s="495">
        <v>1079.53</v>
      </c>
      <c r="D227" s="494">
        <v>0.3</v>
      </c>
      <c r="E227" s="495">
        <v>323.86</v>
      </c>
      <c r="F227" s="495">
        <v>78.02</v>
      </c>
      <c r="G227" s="495">
        <v>401.88</v>
      </c>
      <c r="H227" s="495">
        <v>0.25</v>
      </c>
      <c r="I227" s="495">
        <v>1310.85</v>
      </c>
      <c r="J227" s="494">
        <v>0.2</v>
      </c>
      <c r="K227" s="495">
        <v>262.17</v>
      </c>
      <c r="L227" s="495">
        <v>63.16</v>
      </c>
      <c r="M227" s="495">
        <v>325.33000000000004</v>
      </c>
    </row>
    <row r="228" spans="1:13" ht="16.149999999999999" customHeight="1" x14ac:dyDescent="0.25">
      <c r="A228" s="488" t="s">
        <v>832</v>
      </c>
      <c r="B228" s="495">
        <v>0.25</v>
      </c>
      <c r="C228" s="495">
        <v>925.3</v>
      </c>
      <c r="D228" s="494">
        <v>0.3</v>
      </c>
      <c r="E228" s="495">
        <v>277.58999999999997</v>
      </c>
      <c r="F228" s="495">
        <v>66.87</v>
      </c>
      <c r="G228" s="495">
        <v>344.46</v>
      </c>
      <c r="H228" s="495">
        <v>0.25</v>
      </c>
      <c r="I228" s="495">
        <v>1156.6300000000001</v>
      </c>
      <c r="J228" s="494">
        <v>0.2</v>
      </c>
      <c r="K228" s="495">
        <v>231.33</v>
      </c>
      <c r="L228" s="495">
        <v>55.73</v>
      </c>
      <c r="M228" s="495">
        <v>287.06</v>
      </c>
    </row>
    <row r="229" spans="1:13" ht="16.149999999999999" customHeight="1" x14ac:dyDescent="0.25">
      <c r="A229" s="488" t="s">
        <v>832</v>
      </c>
      <c r="B229" s="495">
        <v>1</v>
      </c>
      <c r="C229" s="495">
        <v>1995.2</v>
      </c>
      <c r="D229" s="494">
        <v>0.3</v>
      </c>
      <c r="E229" s="495">
        <v>598.55999999999995</v>
      </c>
      <c r="F229" s="495">
        <v>144.19</v>
      </c>
      <c r="G229" s="495">
        <v>742.75</v>
      </c>
      <c r="H229" s="495">
        <v>1</v>
      </c>
      <c r="I229" s="495">
        <v>1927.72</v>
      </c>
      <c r="J229" s="494">
        <v>0.2</v>
      </c>
      <c r="K229" s="495">
        <v>385.54</v>
      </c>
      <c r="L229" s="495">
        <v>92.88</v>
      </c>
      <c r="M229" s="495">
        <v>478.42</v>
      </c>
    </row>
    <row r="230" spans="1:13" ht="16.149999999999999" customHeight="1" x14ac:dyDescent="0.25">
      <c r="A230" s="488" t="s">
        <v>832</v>
      </c>
      <c r="B230" s="495">
        <v>0.25</v>
      </c>
      <c r="C230" s="495">
        <v>1156.6300000000001</v>
      </c>
      <c r="D230" s="494">
        <v>0.3</v>
      </c>
      <c r="E230" s="495">
        <v>346.99</v>
      </c>
      <c r="F230" s="495">
        <v>83.59</v>
      </c>
      <c r="G230" s="495">
        <v>430.58000000000004</v>
      </c>
      <c r="H230" s="495">
        <v>0.25</v>
      </c>
      <c r="I230" s="495">
        <v>1233.74</v>
      </c>
      <c r="J230" s="494">
        <v>0.2</v>
      </c>
      <c r="K230" s="495">
        <v>246.75</v>
      </c>
      <c r="L230" s="495">
        <v>59.44</v>
      </c>
      <c r="M230" s="495">
        <v>306.19</v>
      </c>
    </row>
    <row r="231" spans="1:13" ht="31.15" customHeight="1" x14ac:dyDescent="0.25">
      <c r="A231" s="488" t="s">
        <v>833</v>
      </c>
      <c r="B231" s="495">
        <v>1</v>
      </c>
      <c r="C231" s="495">
        <v>2006</v>
      </c>
      <c r="D231" s="494">
        <v>0.5</v>
      </c>
      <c r="E231" s="495">
        <v>1003</v>
      </c>
      <c r="F231" s="495">
        <v>241.62</v>
      </c>
      <c r="G231" s="495">
        <v>1244.6199999999999</v>
      </c>
      <c r="H231" s="495">
        <v>1</v>
      </c>
      <c r="I231" s="495">
        <v>2006</v>
      </c>
      <c r="J231" s="494">
        <v>0.2</v>
      </c>
      <c r="K231" s="495">
        <v>401.2</v>
      </c>
      <c r="L231" s="495">
        <v>96.65</v>
      </c>
      <c r="M231" s="495">
        <v>497.85</v>
      </c>
    </row>
    <row r="232" spans="1:13" ht="16.149999999999999" customHeight="1" x14ac:dyDescent="0.25">
      <c r="A232" s="488" t="s">
        <v>392</v>
      </c>
      <c r="B232" s="495"/>
      <c r="C232" s="495"/>
      <c r="D232" s="494"/>
      <c r="E232" s="495"/>
      <c r="F232" s="495">
        <v>0</v>
      </c>
      <c r="G232" s="495">
        <v>0</v>
      </c>
      <c r="H232" s="495">
        <v>1</v>
      </c>
      <c r="I232" s="495">
        <v>1272</v>
      </c>
      <c r="J232" s="494">
        <v>0.2</v>
      </c>
      <c r="K232" s="495">
        <v>254.4</v>
      </c>
      <c r="L232" s="495">
        <v>61.28</v>
      </c>
      <c r="M232" s="495">
        <v>315.68</v>
      </c>
    </row>
    <row r="233" spans="1:13" ht="16.149999999999999" customHeight="1" x14ac:dyDescent="0.25">
      <c r="A233" s="488" t="s">
        <v>392</v>
      </c>
      <c r="B233" s="495"/>
      <c r="C233" s="495"/>
      <c r="D233" s="494"/>
      <c r="E233" s="495"/>
      <c r="F233" s="495">
        <v>0</v>
      </c>
      <c r="G233" s="495">
        <v>0</v>
      </c>
      <c r="H233" s="495">
        <v>0.5</v>
      </c>
      <c r="I233" s="495">
        <v>91.49</v>
      </c>
      <c r="J233" s="494">
        <v>0.2</v>
      </c>
      <c r="K233" s="495">
        <v>18.3</v>
      </c>
      <c r="L233" s="495">
        <v>4.41</v>
      </c>
      <c r="M233" s="495">
        <v>22.71</v>
      </c>
    </row>
    <row r="234" spans="1:13" ht="16.149999999999999" customHeight="1" x14ac:dyDescent="0.25">
      <c r="A234" s="488" t="s">
        <v>392</v>
      </c>
      <c r="B234" s="495"/>
      <c r="C234" s="495"/>
      <c r="D234" s="494"/>
      <c r="E234" s="495"/>
      <c r="F234" s="495">
        <v>0</v>
      </c>
      <c r="G234" s="495">
        <v>0</v>
      </c>
      <c r="H234" s="495">
        <v>1</v>
      </c>
      <c r="I234" s="495">
        <v>161.01</v>
      </c>
      <c r="J234" s="494">
        <v>0.2</v>
      </c>
      <c r="K234" s="495">
        <v>32.200000000000003</v>
      </c>
      <c r="L234" s="495">
        <v>7.76</v>
      </c>
      <c r="M234" s="495">
        <v>39.96</v>
      </c>
    </row>
    <row r="235" spans="1:13" ht="16.149999999999999" customHeight="1" x14ac:dyDescent="0.25">
      <c r="A235" s="488" t="s">
        <v>392</v>
      </c>
      <c r="B235" s="495"/>
      <c r="C235" s="495"/>
      <c r="D235" s="494"/>
      <c r="E235" s="495"/>
      <c r="F235" s="495">
        <v>0</v>
      </c>
      <c r="G235" s="495">
        <v>0</v>
      </c>
      <c r="H235" s="495">
        <v>1</v>
      </c>
      <c r="I235" s="495">
        <v>1272</v>
      </c>
      <c r="J235" s="494">
        <v>0.2</v>
      </c>
      <c r="K235" s="495">
        <v>254.4</v>
      </c>
      <c r="L235" s="495">
        <v>61.28</v>
      </c>
      <c r="M235" s="495">
        <v>315.68</v>
      </c>
    </row>
    <row r="236" spans="1:13" ht="16.149999999999999" customHeight="1" x14ac:dyDescent="0.25">
      <c r="A236" s="488" t="s">
        <v>392</v>
      </c>
      <c r="B236" s="495"/>
      <c r="C236" s="495"/>
      <c r="D236" s="494"/>
      <c r="E236" s="495"/>
      <c r="F236" s="495">
        <v>0</v>
      </c>
      <c r="G236" s="495">
        <v>0</v>
      </c>
      <c r="H236" s="495">
        <v>1</v>
      </c>
      <c r="I236" s="495">
        <v>44.28</v>
      </c>
      <c r="J236" s="494">
        <v>0.2</v>
      </c>
      <c r="K236" s="495">
        <v>8.86</v>
      </c>
      <c r="L236" s="495">
        <v>2.13</v>
      </c>
      <c r="M236" s="495">
        <v>10.989999999999998</v>
      </c>
    </row>
    <row r="237" spans="1:13" ht="16.149999999999999" customHeight="1" x14ac:dyDescent="0.25">
      <c r="A237" s="488" t="s">
        <v>392</v>
      </c>
      <c r="B237" s="495"/>
      <c r="C237" s="495"/>
      <c r="D237" s="494"/>
      <c r="E237" s="495"/>
      <c r="F237" s="495">
        <v>0</v>
      </c>
      <c r="G237" s="495">
        <v>0</v>
      </c>
      <c r="H237" s="495">
        <v>1</v>
      </c>
      <c r="I237" s="495">
        <v>555.49</v>
      </c>
      <c r="J237" s="494">
        <v>0.2</v>
      </c>
      <c r="K237" s="495">
        <v>111.1</v>
      </c>
      <c r="L237" s="495">
        <v>26.76</v>
      </c>
      <c r="M237" s="495">
        <v>137.85999999999999</v>
      </c>
    </row>
    <row r="238" spans="1:13" ht="16.149999999999999" customHeight="1" x14ac:dyDescent="0.25">
      <c r="A238" s="488" t="s">
        <v>392</v>
      </c>
      <c r="B238" s="495">
        <v>1</v>
      </c>
      <c r="C238" s="495">
        <v>1272</v>
      </c>
      <c r="D238" s="494">
        <v>0.5</v>
      </c>
      <c r="E238" s="495">
        <v>636</v>
      </c>
      <c r="F238" s="495">
        <v>153.21</v>
      </c>
      <c r="G238" s="495">
        <v>789.21</v>
      </c>
      <c r="H238" s="495"/>
      <c r="I238" s="495"/>
      <c r="J238" s="494"/>
      <c r="K238" s="495"/>
      <c r="L238" s="495"/>
      <c r="M238" s="495"/>
    </row>
    <row r="239" spans="1:13" ht="16.149999999999999" customHeight="1" x14ac:dyDescent="0.25">
      <c r="A239" s="488" t="s">
        <v>834</v>
      </c>
      <c r="B239" s="495">
        <v>1</v>
      </c>
      <c r="C239" s="495">
        <v>2277</v>
      </c>
      <c r="D239" s="494">
        <v>0.5</v>
      </c>
      <c r="E239" s="495">
        <v>1138.5</v>
      </c>
      <c r="F239" s="495">
        <v>274.26</v>
      </c>
      <c r="G239" s="495">
        <v>1412.76</v>
      </c>
      <c r="H239" s="495">
        <v>1</v>
      </c>
      <c r="I239" s="495">
        <v>2277</v>
      </c>
      <c r="J239" s="494">
        <v>0.2</v>
      </c>
      <c r="K239" s="495">
        <v>455.4</v>
      </c>
      <c r="L239" s="495">
        <v>109.71</v>
      </c>
      <c r="M239" s="495">
        <v>565.11</v>
      </c>
    </row>
    <row r="240" spans="1:13" ht="16.149999999999999" customHeight="1" x14ac:dyDescent="0.25">
      <c r="A240" s="488" t="s">
        <v>691</v>
      </c>
      <c r="B240" s="495">
        <v>1</v>
      </c>
      <c r="C240" s="495">
        <v>1272</v>
      </c>
      <c r="D240" s="494">
        <v>0.5</v>
      </c>
      <c r="E240" s="495">
        <v>636</v>
      </c>
      <c r="F240" s="495">
        <v>153.21</v>
      </c>
      <c r="G240" s="495">
        <v>789.21</v>
      </c>
      <c r="H240" s="495">
        <v>1</v>
      </c>
      <c r="I240" s="495">
        <v>1272</v>
      </c>
      <c r="J240" s="494">
        <v>0.2</v>
      </c>
      <c r="K240" s="495">
        <v>254.4</v>
      </c>
      <c r="L240" s="495">
        <v>61.28</v>
      </c>
      <c r="M240" s="495">
        <v>315.68</v>
      </c>
    </row>
    <row r="241" spans="1:13" ht="16.149999999999999" customHeight="1" x14ac:dyDescent="0.25">
      <c r="A241" s="488" t="s">
        <v>691</v>
      </c>
      <c r="B241" s="495"/>
      <c r="C241" s="495"/>
      <c r="D241" s="494"/>
      <c r="E241" s="495"/>
      <c r="F241" s="495">
        <v>0</v>
      </c>
      <c r="G241" s="495">
        <v>0</v>
      </c>
      <c r="H241" s="495">
        <v>1</v>
      </c>
      <c r="I241" s="495">
        <v>381.23</v>
      </c>
      <c r="J241" s="494">
        <v>0.2</v>
      </c>
      <c r="K241" s="495">
        <v>76.25</v>
      </c>
      <c r="L241" s="495">
        <v>18.37</v>
      </c>
      <c r="M241" s="495">
        <v>94.62</v>
      </c>
    </row>
    <row r="242" spans="1:13" ht="16.149999999999999" customHeight="1" x14ac:dyDescent="0.25">
      <c r="A242" s="488" t="s">
        <v>691</v>
      </c>
      <c r="B242" s="495"/>
      <c r="C242" s="495"/>
      <c r="D242" s="494"/>
      <c r="E242" s="495"/>
      <c r="F242" s="495">
        <v>0</v>
      </c>
      <c r="G242" s="495">
        <v>0</v>
      </c>
      <c r="H242" s="495">
        <v>0.5</v>
      </c>
      <c r="I242" s="495">
        <v>76.25</v>
      </c>
      <c r="J242" s="494">
        <v>0.2</v>
      </c>
      <c r="K242" s="495">
        <v>15.25</v>
      </c>
      <c r="L242" s="495">
        <v>3.67</v>
      </c>
      <c r="M242" s="495">
        <v>18.920000000000002</v>
      </c>
    </row>
    <row r="243" spans="1:13" ht="16.149999999999999" customHeight="1" x14ac:dyDescent="0.25">
      <c r="A243" s="488" t="s">
        <v>691</v>
      </c>
      <c r="B243" s="495"/>
      <c r="C243" s="495"/>
      <c r="D243" s="494"/>
      <c r="E243" s="495"/>
      <c r="F243" s="495">
        <v>0</v>
      </c>
      <c r="G243" s="495">
        <v>0</v>
      </c>
      <c r="H243" s="495">
        <v>0.75</v>
      </c>
      <c r="I243" s="495">
        <v>289.73</v>
      </c>
      <c r="J243" s="494">
        <v>0.2</v>
      </c>
      <c r="K243" s="495">
        <v>57.95</v>
      </c>
      <c r="L243" s="495">
        <v>13.96</v>
      </c>
      <c r="M243" s="495">
        <v>71.91</v>
      </c>
    </row>
    <row r="244" spans="1:13" ht="16.149999999999999" customHeight="1" x14ac:dyDescent="0.25">
      <c r="A244" s="488" t="s">
        <v>691</v>
      </c>
      <c r="B244" s="495">
        <v>1</v>
      </c>
      <c r="C244" s="495">
        <v>63.28</v>
      </c>
      <c r="D244" s="494">
        <v>0.5</v>
      </c>
      <c r="E244" s="495">
        <v>31.64</v>
      </c>
      <c r="F244" s="495">
        <v>7.62</v>
      </c>
      <c r="G244" s="495">
        <v>39.26</v>
      </c>
      <c r="H244" s="495">
        <v>1</v>
      </c>
      <c r="I244" s="495">
        <v>327.85</v>
      </c>
      <c r="J244" s="494">
        <v>0.2</v>
      </c>
      <c r="K244" s="495">
        <v>65.569999999999993</v>
      </c>
      <c r="L244" s="495">
        <v>15.8</v>
      </c>
      <c r="M244" s="495">
        <v>81.36999999999999</v>
      </c>
    </row>
    <row r="245" spans="1:13" ht="16.149999999999999" customHeight="1" x14ac:dyDescent="0.25">
      <c r="A245" s="488" t="s">
        <v>691</v>
      </c>
      <c r="B245" s="495">
        <v>1</v>
      </c>
      <c r="C245" s="495">
        <v>1272</v>
      </c>
      <c r="D245" s="494">
        <v>0.5</v>
      </c>
      <c r="E245" s="495">
        <v>636</v>
      </c>
      <c r="F245" s="495">
        <v>153.21</v>
      </c>
      <c r="G245" s="495">
        <v>789.21</v>
      </c>
      <c r="H245" s="495">
        <v>1</v>
      </c>
      <c r="I245" s="495">
        <v>1272</v>
      </c>
      <c r="J245" s="494">
        <v>0.2</v>
      </c>
      <c r="K245" s="495">
        <v>254.4</v>
      </c>
      <c r="L245" s="495">
        <v>61.28</v>
      </c>
      <c r="M245" s="495">
        <v>315.68</v>
      </c>
    </row>
    <row r="246" spans="1:13" ht="16.149999999999999" customHeight="1" x14ac:dyDescent="0.25">
      <c r="A246" s="488" t="s">
        <v>691</v>
      </c>
      <c r="B246" s="495"/>
      <c r="C246" s="495"/>
      <c r="D246" s="494"/>
      <c r="E246" s="495"/>
      <c r="F246" s="495">
        <v>0</v>
      </c>
      <c r="G246" s="495">
        <v>0</v>
      </c>
      <c r="H246" s="495">
        <v>1</v>
      </c>
      <c r="I246" s="495">
        <v>595.74</v>
      </c>
      <c r="J246" s="494">
        <v>0.2</v>
      </c>
      <c r="K246" s="495">
        <v>119.15</v>
      </c>
      <c r="L246" s="495">
        <v>28.7</v>
      </c>
      <c r="M246" s="495">
        <v>147.85</v>
      </c>
    </row>
    <row r="247" spans="1:13" ht="16.149999999999999" customHeight="1" x14ac:dyDescent="0.25">
      <c r="A247" s="488" t="s">
        <v>691</v>
      </c>
      <c r="B247" s="495"/>
      <c r="C247" s="495"/>
      <c r="D247" s="494"/>
      <c r="E247" s="495"/>
      <c r="F247" s="495">
        <v>0</v>
      </c>
      <c r="G247" s="495">
        <v>0</v>
      </c>
      <c r="H247" s="495">
        <v>1</v>
      </c>
      <c r="I247" s="495">
        <v>332.09</v>
      </c>
      <c r="J247" s="494">
        <v>0.2</v>
      </c>
      <c r="K247" s="495">
        <v>66.42</v>
      </c>
      <c r="L247" s="495">
        <v>16</v>
      </c>
      <c r="M247" s="495">
        <v>82.42</v>
      </c>
    </row>
    <row r="248" spans="1:13" ht="16.149999999999999" customHeight="1" x14ac:dyDescent="0.25">
      <c r="A248" s="488" t="s">
        <v>691</v>
      </c>
      <c r="B248" s="495"/>
      <c r="C248" s="495"/>
      <c r="D248" s="494"/>
      <c r="E248" s="495"/>
      <c r="F248" s="495">
        <v>0</v>
      </c>
      <c r="G248" s="495">
        <v>0</v>
      </c>
      <c r="H248" s="495">
        <v>1</v>
      </c>
      <c r="I248" s="495">
        <v>1272</v>
      </c>
      <c r="J248" s="494">
        <v>0.2</v>
      </c>
      <c r="K248" s="495">
        <v>254.4</v>
      </c>
      <c r="L248" s="495">
        <v>61.28</v>
      </c>
      <c r="M248" s="495">
        <v>315.68</v>
      </c>
    </row>
    <row r="249" spans="1:13" ht="16.149999999999999" customHeight="1" x14ac:dyDescent="0.25">
      <c r="A249" s="488" t="s">
        <v>691</v>
      </c>
      <c r="B249" s="495">
        <v>1</v>
      </c>
      <c r="C249" s="495">
        <v>1272</v>
      </c>
      <c r="D249" s="494">
        <v>0.5</v>
      </c>
      <c r="E249" s="495">
        <v>636</v>
      </c>
      <c r="F249" s="495">
        <v>153.21</v>
      </c>
      <c r="G249" s="495">
        <v>789.21</v>
      </c>
      <c r="H249" s="495">
        <v>1</v>
      </c>
      <c r="I249" s="495">
        <v>1272</v>
      </c>
      <c r="J249" s="494">
        <v>0.2</v>
      </c>
      <c r="K249" s="495">
        <v>254.4</v>
      </c>
      <c r="L249" s="495">
        <v>61.28</v>
      </c>
      <c r="M249" s="495">
        <v>315.68</v>
      </c>
    </row>
    <row r="250" spans="1:13" ht="16.149999999999999" customHeight="1" x14ac:dyDescent="0.25">
      <c r="A250" s="488" t="s">
        <v>691</v>
      </c>
      <c r="B250" s="495">
        <v>1</v>
      </c>
      <c r="C250" s="495">
        <v>1272</v>
      </c>
      <c r="D250" s="494">
        <v>0.5</v>
      </c>
      <c r="E250" s="495">
        <v>636</v>
      </c>
      <c r="F250" s="495">
        <v>153.21</v>
      </c>
      <c r="G250" s="495">
        <v>789.21</v>
      </c>
      <c r="H250" s="495"/>
      <c r="I250" s="495"/>
      <c r="J250" s="494"/>
      <c r="K250" s="495"/>
      <c r="L250" s="495"/>
      <c r="M250" s="495"/>
    </row>
    <row r="251" spans="1:13" ht="16.149999999999999" customHeight="1" x14ac:dyDescent="0.25">
      <c r="A251" s="488" t="s">
        <v>691</v>
      </c>
      <c r="B251" s="495"/>
      <c r="C251" s="495"/>
      <c r="D251" s="494"/>
      <c r="E251" s="495"/>
      <c r="F251" s="495">
        <v>0</v>
      </c>
      <c r="G251" s="495">
        <v>0</v>
      </c>
      <c r="H251" s="495">
        <v>1</v>
      </c>
      <c r="I251" s="495">
        <v>52.33</v>
      </c>
      <c r="J251" s="494">
        <v>0.2</v>
      </c>
      <c r="K251" s="495">
        <v>10.47</v>
      </c>
      <c r="L251" s="495">
        <v>2.52</v>
      </c>
      <c r="M251" s="495">
        <v>12.99</v>
      </c>
    </row>
    <row r="252" spans="1:13" ht="16.149999999999999" customHeight="1" x14ac:dyDescent="0.25">
      <c r="A252" s="488" t="s">
        <v>691</v>
      </c>
      <c r="B252" s="495">
        <v>1</v>
      </c>
      <c r="C252" s="495">
        <v>1272</v>
      </c>
      <c r="D252" s="494">
        <v>0.5</v>
      </c>
      <c r="E252" s="495">
        <v>636</v>
      </c>
      <c r="F252" s="495">
        <v>153.21</v>
      </c>
      <c r="G252" s="495">
        <v>789.21</v>
      </c>
      <c r="H252" s="495">
        <v>1</v>
      </c>
      <c r="I252" s="495">
        <v>104.66</v>
      </c>
      <c r="J252" s="494">
        <v>0.2</v>
      </c>
      <c r="K252" s="495">
        <v>20.93</v>
      </c>
      <c r="L252" s="495">
        <v>5.04</v>
      </c>
      <c r="M252" s="495">
        <v>25.97</v>
      </c>
    </row>
    <row r="253" spans="1:13" ht="16.149999999999999" customHeight="1" x14ac:dyDescent="0.25">
      <c r="A253" s="488" t="s">
        <v>691</v>
      </c>
      <c r="B253" s="495"/>
      <c r="C253" s="495"/>
      <c r="D253" s="494"/>
      <c r="E253" s="495"/>
      <c r="F253" s="495">
        <v>0</v>
      </c>
      <c r="G253" s="495">
        <v>0</v>
      </c>
      <c r="H253" s="495">
        <v>1</v>
      </c>
      <c r="I253" s="495">
        <v>1272</v>
      </c>
      <c r="J253" s="494">
        <v>0.2</v>
      </c>
      <c r="K253" s="495">
        <v>254.4</v>
      </c>
      <c r="L253" s="495">
        <v>61.28</v>
      </c>
      <c r="M253" s="495">
        <v>315.68</v>
      </c>
    </row>
    <row r="254" spans="1:13" ht="16.149999999999999" customHeight="1" x14ac:dyDescent="0.25">
      <c r="A254" s="488" t="s">
        <v>691</v>
      </c>
      <c r="B254" s="495"/>
      <c r="C254" s="495"/>
      <c r="D254" s="494"/>
      <c r="E254" s="495"/>
      <c r="F254" s="495">
        <v>0</v>
      </c>
      <c r="G254" s="495">
        <v>0</v>
      </c>
      <c r="H254" s="495">
        <v>1</v>
      </c>
      <c r="I254" s="495">
        <v>1322</v>
      </c>
      <c r="J254" s="494">
        <v>0.2</v>
      </c>
      <c r="K254" s="495">
        <v>264.39999999999998</v>
      </c>
      <c r="L254" s="495">
        <v>63.69</v>
      </c>
      <c r="M254" s="495">
        <v>328.09</v>
      </c>
    </row>
    <row r="255" spans="1:13" ht="16.149999999999999" customHeight="1" x14ac:dyDescent="0.25">
      <c r="A255" s="488" t="s">
        <v>691</v>
      </c>
      <c r="B255" s="495"/>
      <c r="C255" s="495"/>
      <c r="D255" s="494"/>
      <c r="E255" s="495"/>
      <c r="F255" s="495">
        <v>0</v>
      </c>
      <c r="G255" s="495">
        <v>0</v>
      </c>
      <c r="H255" s="495">
        <v>1</v>
      </c>
      <c r="I255" s="495">
        <v>1272</v>
      </c>
      <c r="J255" s="494">
        <v>0.2</v>
      </c>
      <c r="K255" s="495">
        <v>254.4</v>
      </c>
      <c r="L255" s="495">
        <v>61.28</v>
      </c>
      <c r="M255" s="495">
        <v>315.68</v>
      </c>
    </row>
    <row r="256" spans="1:13" ht="16.149999999999999" customHeight="1" x14ac:dyDescent="0.25">
      <c r="A256" s="488" t="s">
        <v>691</v>
      </c>
      <c r="B256" s="495">
        <v>1</v>
      </c>
      <c r="C256" s="495">
        <v>1392</v>
      </c>
      <c r="D256" s="494">
        <v>0.5</v>
      </c>
      <c r="E256" s="495">
        <v>696</v>
      </c>
      <c r="F256" s="495">
        <v>167.67</v>
      </c>
      <c r="G256" s="495">
        <v>863.67</v>
      </c>
      <c r="H256" s="495">
        <v>1</v>
      </c>
      <c r="I256" s="495">
        <v>1392</v>
      </c>
      <c r="J256" s="494">
        <v>0.2</v>
      </c>
      <c r="K256" s="495">
        <v>278.39999999999998</v>
      </c>
      <c r="L256" s="495">
        <v>67.069999999999993</v>
      </c>
      <c r="M256" s="495">
        <v>345.46999999999997</v>
      </c>
    </row>
    <row r="257" spans="1:13" ht="16.149999999999999" customHeight="1" x14ac:dyDescent="0.25">
      <c r="A257" s="488" t="s">
        <v>691</v>
      </c>
      <c r="B257" s="495">
        <v>1</v>
      </c>
      <c r="C257" s="495">
        <v>1098.54</v>
      </c>
      <c r="D257" s="494">
        <v>0.5</v>
      </c>
      <c r="E257" s="495">
        <v>549.27</v>
      </c>
      <c r="F257" s="495">
        <v>132.32</v>
      </c>
      <c r="G257" s="495">
        <v>681.58999999999992</v>
      </c>
      <c r="H257" s="495">
        <v>1</v>
      </c>
      <c r="I257" s="495">
        <v>1022.43</v>
      </c>
      <c r="J257" s="494">
        <v>0.2</v>
      </c>
      <c r="K257" s="495">
        <v>204.49</v>
      </c>
      <c r="L257" s="495">
        <v>49.26</v>
      </c>
      <c r="M257" s="495">
        <v>253.75</v>
      </c>
    </row>
    <row r="258" spans="1:13" ht="16.149999999999999" customHeight="1" x14ac:dyDescent="0.25">
      <c r="A258" s="488" t="s">
        <v>691</v>
      </c>
      <c r="B258" s="495">
        <v>1</v>
      </c>
      <c r="C258" s="495">
        <v>1272</v>
      </c>
      <c r="D258" s="494">
        <v>0.5</v>
      </c>
      <c r="E258" s="495">
        <v>636</v>
      </c>
      <c r="F258" s="495">
        <v>153.21</v>
      </c>
      <c r="G258" s="495">
        <v>789.21</v>
      </c>
      <c r="H258" s="495">
        <v>1</v>
      </c>
      <c r="I258" s="495">
        <v>1272</v>
      </c>
      <c r="J258" s="494">
        <v>0.2</v>
      </c>
      <c r="K258" s="495">
        <v>254.4</v>
      </c>
      <c r="L258" s="495">
        <v>61.28</v>
      </c>
      <c r="M258" s="495">
        <v>315.68</v>
      </c>
    </row>
    <row r="259" spans="1:13" ht="16.149999999999999" customHeight="1" x14ac:dyDescent="0.25">
      <c r="A259" s="488" t="s">
        <v>691</v>
      </c>
      <c r="B259" s="495">
        <v>1</v>
      </c>
      <c r="C259" s="495">
        <v>1322</v>
      </c>
      <c r="D259" s="494">
        <v>0.5</v>
      </c>
      <c r="E259" s="495">
        <v>661</v>
      </c>
      <c r="F259" s="495">
        <v>159.22999999999999</v>
      </c>
      <c r="G259" s="495">
        <v>820.23</v>
      </c>
      <c r="H259" s="495">
        <v>1</v>
      </c>
      <c r="I259" s="495">
        <v>54.39</v>
      </c>
      <c r="J259" s="494">
        <v>0.2</v>
      </c>
      <c r="K259" s="495">
        <v>10.88</v>
      </c>
      <c r="L259" s="495">
        <v>2.62</v>
      </c>
      <c r="M259" s="495">
        <v>13.5</v>
      </c>
    </row>
    <row r="260" spans="1:13" ht="16.149999999999999" customHeight="1" x14ac:dyDescent="0.25">
      <c r="A260" s="488" t="s">
        <v>691</v>
      </c>
      <c r="B260" s="495">
        <v>1</v>
      </c>
      <c r="C260" s="495">
        <v>1272</v>
      </c>
      <c r="D260" s="494">
        <v>0.5</v>
      </c>
      <c r="E260" s="495">
        <v>636</v>
      </c>
      <c r="F260" s="495">
        <v>153.21</v>
      </c>
      <c r="G260" s="495">
        <v>789.21</v>
      </c>
      <c r="H260" s="495">
        <v>1</v>
      </c>
      <c r="I260" s="495">
        <v>1272</v>
      </c>
      <c r="J260" s="494">
        <v>0.2</v>
      </c>
      <c r="K260" s="495">
        <v>254.4</v>
      </c>
      <c r="L260" s="495">
        <v>61.28</v>
      </c>
      <c r="M260" s="495">
        <v>315.68</v>
      </c>
    </row>
    <row r="261" spans="1:13" ht="16.149999999999999" customHeight="1" x14ac:dyDescent="0.25">
      <c r="A261" s="488" t="s">
        <v>691</v>
      </c>
      <c r="B261" s="495"/>
      <c r="C261" s="495"/>
      <c r="D261" s="494"/>
      <c r="E261" s="495"/>
      <c r="F261" s="495">
        <v>0</v>
      </c>
      <c r="G261" s="495">
        <v>0</v>
      </c>
      <c r="H261" s="495">
        <v>1</v>
      </c>
      <c r="I261" s="495">
        <v>128.81</v>
      </c>
      <c r="J261" s="494">
        <v>0.2</v>
      </c>
      <c r="K261" s="495">
        <v>25.76</v>
      </c>
      <c r="L261" s="495">
        <v>6.21</v>
      </c>
      <c r="M261" s="495">
        <v>31.970000000000002</v>
      </c>
    </row>
    <row r="262" spans="1:13" ht="16.149999999999999" customHeight="1" x14ac:dyDescent="0.25">
      <c r="A262" s="488" t="s">
        <v>957</v>
      </c>
      <c r="B262" s="495">
        <v>1</v>
      </c>
      <c r="C262" s="495">
        <v>1272</v>
      </c>
      <c r="D262" s="494">
        <v>0.5</v>
      </c>
      <c r="E262" s="495">
        <v>636</v>
      </c>
      <c r="F262" s="495">
        <v>153.21</v>
      </c>
      <c r="G262" s="495">
        <v>789.21</v>
      </c>
      <c r="H262" s="495"/>
      <c r="I262" s="495"/>
      <c r="J262" s="494"/>
      <c r="K262" s="495"/>
      <c r="L262" s="495"/>
      <c r="M262" s="495"/>
    </row>
    <row r="263" spans="1:13" ht="16.149999999999999" customHeight="1" x14ac:dyDescent="0.25">
      <c r="A263" s="488" t="s">
        <v>957</v>
      </c>
      <c r="B263" s="495">
        <v>1</v>
      </c>
      <c r="C263" s="495">
        <v>1272</v>
      </c>
      <c r="D263" s="494">
        <v>0.5</v>
      </c>
      <c r="E263" s="495">
        <v>636</v>
      </c>
      <c r="F263" s="495">
        <v>153.21</v>
      </c>
      <c r="G263" s="495">
        <v>789.21</v>
      </c>
      <c r="H263" s="495"/>
      <c r="I263" s="495"/>
      <c r="J263" s="494"/>
      <c r="K263" s="495"/>
      <c r="L263" s="495"/>
      <c r="M263" s="495"/>
    </row>
    <row r="264" spans="1:13" ht="16.149999999999999" customHeight="1" x14ac:dyDescent="0.25">
      <c r="A264" s="488" t="s">
        <v>957</v>
      </c>
      <c r="B264" s="495">
        <v>1</v>
      </c>
      <c r="C264" s="495">
        <v>1272</v>
      </c>
      <c r="D264" s="494">
        <v>0.5</v>
      </c>
      <c r="E264" s="495">
        <v>636</v>
      </c>
      <c r="F264" s="495">
        <v>153.21</v>
      </c>
      <c r="G264" s="495">
        <v>789.21</v>
      </c>
      <c r="H264" s="495"/>
      <c r="I264" s="495"/>
      <c r="J264" s="494"/>
      <c r="K264" s="495"/>
      <c r="L264" s="495"/>
      <c r="M264" s="495"/>
    </row>
    <row r="265" spans="1:13" ht="16.149999999999999" customHeight="1" x14ac:dyDescent="0.25">
      <c r="A265" s="488" t="s">
        <v>957</v>
      </c>
      <c r="B265" s="495">
        <v>1</v>
      </c>
      <c r="C265" s="495">
        <v>1322</v>
      </c>
      <c r="D265" s="494">
        <v>0.5</v>
      </c>
      <c r="E265" s="495">
        <v>661</v>
      </c>
      <c r="F265" s="495">
        <v>159.22999999999999</v>
      </c>
      <c r="G265" s="495">
        <v>820.23</v>
      </c>
      <c r="H265" s="495"/>
      <c r="I265" s="495"/>
      <c r="J265" s="494"/>
      <c r="K265" s="495"/>
      <c r="L265" s="495"/>
      <c r="M265" s="495"/>
    </row>
    <row r="266" spans="1:13" ht="16.149999999999999" customHeight="1" x14ac:dyDescent="0.25">
      <c r="A266" s="488" t="s">
        <v>957</v>
      </c>
      <c r="B266" s="495">
        <v>1</v>
      </c>
      <c r="C266" s="495">
        <v>1272</v>
      </c>
      <c r="D266" s="494">
        <v>0.5</v>
      </c>
      <c r="E266" s="495">
        <v>636</v>
      </c>
      <c r="F266" s="495">
        <v>153.21</v>
      </c>
      <c r="G266" s="495">
        <v>789.21</v>
      </c>
      <c r="H266" s="495"/>
      <c r="I266" s="495"/>
      <c r="J266" s="494"/>
      <c r="K266" s="495"/>
      <c r="L266" s="495"/>
      <c r="M266" s="495"/>
    </row>
    <row r="267" spans="1:13" ht="16.149999999999999" customHeight="1" x14ac:dyDescent="0.25">
      <c r="A267" s="488" t="s">
        <v>835</v>
      </c>
      <c r="B267" s="495">
        <v>1</v>
      </c>
      <c r="C267" s="495">
        <v>1140</v>
      </c>
      <c r="D267" s="494">
        <v>0.5</v>
      </c>
      <c r="E267" s="495">
        <v>570</v>
      </c>
      <c r="F267" s="495">
        <v>137.31</v>
      </c>
      <c r="G267" s="495">
        <v>707.31</v>
      </c>
      <c r="H267" s="495">
        <v>1</v>
      </c>
      <c r="I267" s="495">
        <v>1140</v>
      </c>
      <c r="J267" s="494">
        <v>0.2</v>
      </c>
      <c r="K267" s="495">
        <v>228</v>
      </c>
      <c r="L267" s="495">
        <v>54.93</v>
      </c>
      <c r="M267" s="495">
        <v>282.93</v>
      </c>
    </row>
    <row r="268" spans="1:13" ht="16.149999999999999" customHeight="1" x14ac:dyDescent="0.25">
      <c r="A268" s="488" t="s">
        <v>835</v>
      </c>
      <c r="B268" s="495">
        <v>1</v>
      </c>
      <c r="C268" s="495">
        <v>1140</v>
      </c>
      <c r="D268" s="494">
        <v>0.5</v>
      </c>
      <c r="E268" s="495">
        <v>570</v>
      </c>
      <c r="F268" s="495">
        <v>137.31</v>
      </c>
      <c r="G268" s="495">
        <v>707.31</v>
      </c>
      <c r="H268" s="495">
        <v>1</v>
      </c>
      <c r="I268" s="495">
        <v>1140</v>
      </c>
      <c r="J268" s="494">
        <v>0.2</v>
      </c>
      <c r="K268" s="495">
        <v>228</v>
      </c>
      <c r="L268" s="495">
        <v>54.93</v>
      </c>
      <c r="M268" s="495">
        <v>282.93</v>
      </c>
    </row>
    <row r="269" spans="1:13" ht="16.149999999999999" customHeight="1" x14ac:dyDescent="0.25">
      <c r="A269" s="488" t="s">
        <v>835</v>
      </c>
      <c r="B269" s="495"/>
      <c r="C269" s="495"/>
      <c r="D269" s="494"/>
      <c r="E269" s="495"/>
      <c r="F269" s="495">
        <v>0</v>
      </c>
      <c r="G269" s="495">
        <v>0</v>
      </c>
      <c r="H269" s="495">
        <v>1</v>
      </c>
      <c r="I269" s="495">
        <v>129.87</v>
      </c>
      <c r="J269" s="494">
        <v>0.2</v>
      </c>
      <c r="K269" s="495">
        <v>25.97</v>
      </c>
      <c r="L269" s="495">
        <v>6.26</v>
      </c>
      <c r="M269" s="495">
        <v>32.229999999999997</v>
      </c>
    </row>
    <row r="270" spans="1:13" ht="16.149999999999999" customHeight="1" x14ac:dyDescent="0.25">
      <c r="A270" s="488" t="s">
        <v>835</v>
      </c>
      <c r="B270" s="495">
        <v>1</v>
      </c>
      <c r="C270" s="495">
        <v>1203</v>
      </c>
      <c r="D270" s="494">
        <v>0.5</v>
      </c>
      <c r="E270" s="495">
        <v>601.5</v>
      </c>
      <c r="F270" s="495">
        <v>144.9</v>
      </c>
      <c r="G270" s="495">
        <v>746.4</v>
      </c>
      <c r="H270" s="495"/>
      <c r="I270" s="495"/>
      <c r="J270" s="494"/>
      <c r="K270" s="495"/>
      <c r="L270" s="495"/>
      <c r="M270" s="495"/>
    </row>
    <row r="271" spans="1:13" ht="16.149999999999999" customHeight="1" x14ac:dyDescent="0.25">
      <c r="A271" s="488" t="s">
        <v>835</v>
      </c>
      <c r="B271" s="495">
        <v>0.6</v>
      </c>
      <c r="C271" s="495">
        <v>140.78</v>
      </c>
      <c r="D271" s="494">
        <v>0.5</v>
      </c>
      <c r="E271" s="495">
        <v>70.39</v>
      </c>
      <c r="F271" s="495">
        <v>16.96</v>
      </c>
      <c r="G271" s="495">
        <v>87.35</v>
      </c>
      <c r="H271" s="495"/>
      <c r="I271" s="495"/>
      <c r="J271" s="494"/>
      <c r="K271" s="495"/>
      <c r="L271" s="495"/>
      <c r="M271" s="495"/>
    </row>
    <row r="272" spans="1:13" ht="28.9" customHeight="1" x14ac:dyDescent="0.25">
      <c r="A272" s="488" t="s">
        <v>836</v>
      </c>
      <c r="B272" s="495">
        <v>1</v>
      </c>
      <c r="C272" s="495">
        <v>1507</v>
      </c>
      <c r="D272" s="494">
        <v>0.5</v>
      </c>
      <c r="E272" s="495">
        <v>753.5</v>
      </c>
      <c r="F272" s="495">
        <v>181.52</v>
      </c>
      <c r="G272" s="495">
        <v>935.02</v>
      </c>
      <c r="H272" s="495">
        <v>1</v>
      </c>
      <c r="I272" s="495">
        <v>1507</v>
      </c>
      <c r="J272" s="494">
        <v>0.2</v>
      </c>
      <c r="K272" s="495">
        <v>301.39999999999998</v>
      </c>
      <c r="L272" s="495">
        <v>72.61</v>
      </c>
      <c r="M272" s="495">
        <v>374.01</v>
      </c>
    </row>
    <row r="273" spans="1:13" ht="16.149999999999999" customHeight="1" x14ac:dyDescent="0.25">
      <c r="A273" s="488" t="s">
        <v>837</v>
      </c>
      <c r="B273" s="495">
        <v>1</v>
      </c>
      <c r="C273" s="495">
        <v>963.86</v>
      </c>
      <c r="D273" s="494">
        <v>0.5</v>
      </c>
      <c r="E273" s="495">
        <v>481.93</v>
      </c>
      <c r="F273" s="495">
        <v>116.1</v>
      </c>
      <c r="G273" s="495">
        <v>598.03</v>
      </c>
      <c r="H273" s="495">
        <v>1</v>
      </c>
      <c r="I273" s="495">
        <v>2168.69</v>
      </c>
      <c r="J273" s="494">
        <v>0.2</v>
      </c>
      <c r="K273" s="495">
        <v>433.74</v>
      </c>
      <c r="L273" s="495">
        <v>104.49</v>
      </c>
      <c r="M273" s="495">
        <v>538.23</v>
      </c>
    </row>
    <row r="274" spans="1:13" ht="16.149999999999999" customHeight="1" x14ac:dyDescent="0.25">
      <c r="A274" s="488" t="s">
        <v>837</v>
      </c>
      <c r="B274" s="495">
        <v>1</v>
      </c>
      <c r="C274" s="495">
        <v>1272.3</v>
      </c>
      <c r="D274" s="494">
        <v>0.3</v>
      </c>
      <c r="E274" s="495">
        <v>381.69</v>
      </c>
      <c r="F274" s="495">
        <v>91.95</v>
      </c>
      <c r="G274" s="495">
        <v>473.64</v>
      </c>
      <c r="H274" s="495"/>
      <c r="I274" s="495"/>
      <c r="J274" s="494"/>
      <c r="K274" s="495"/>
      <c r="L274" s="495"/>
      <c r="M274" s="495"/>
    </row>
    <row r="275" spans="1:13" ht="16.149999999999999" customHeight="1" x14ac:dyDescent="0.25">
      <c r="A275" s="488" t="s">
        <v>837</v>
      </c>
      <c r="B275" s="495">
        <v>0.5</v>
      </c>
      <c r="C275" s="495">
        <v>819.27</v>
      </c>
      <c r="D275" s="494">
        <v>0.3</v>
      </c>
      <c r="E275" s="495">
        <v>245.78</v>
      </c>
      <c r="F275" s="495">
        <v>59.21</v>
      </c>
      <c r="G275" s="495">
        <v>304.99</v>
      </c>
      <c r="H275" s="495">
        <v>0.5</v>
      </c>
      <c r="I275" s="495">
        <v>828.92</v>
      </c>
      <c r="J275" s="494">
        <v>0.2</v>
      </c>
      <c r="K275" s="495">
        <v>165.78</v>
      </c>
      <c r="L275" s="495">
        <v>39.94</v>
      </c>
      <c r="M275" s="495">
        <v>205.72</v>
      </c>
    </row>
    <row r="276" spans="1:13" ht="16.149999999999999" customHeight="1" x14ac:dyDescent="0.25">
      <c r="A276" s="488" t="s">
        <v>837</v>
      </c>
      <c r="B276" s="495">
        <v>0.3</v>
      </c>
      <c r="C276" s="495">
        <v>693.97</v>
      </c>
      <c r="D276" s="494">
        <v>0.3</v>
      </c>
      <c r="E276" s="495">
        <v>208.19</v>
      </c>
      <c r="F276" s="495">
        <v>50.15</v>
      </c>
      <c r="G276" s="495">
        <v>258.33999999999997</v>
      </c>
      <c r="H276" s="495">
        <v>0.3</v>
      </c>
      <c r="I276" s="495">
        <v>462.65</v>
      </c>
      <c r="J276" s="494">
        <v>0.2</v>
      </c>
      <c r="K276" s="495">
        <v>92.53</v>
      </c>
      <c r="L276" s="495">
        <v>22.29</v>
      </c>
      <c r="M276" s="495">
        <v>114.82</v>
      </c>
    </row>
    <row r="277" spans="1:13" s="703" customFormat="1" ht="16.149999999999999" customHeight="1" x14ac:dyDescent="0.25">
      <c r="A277" s="488" t="s">
        <v>837</v>
      </c>
      <c r="B277" s="495">
        <v>0.12</v>
      </c>
      <c r="C277" s="495">
        <v>154.22999999999999</v>
      </c>
      <c r="D277" s="494">
        <v>0.3</v>
      </c>
      <c r="E277" s="495">
        <v>46.27</v>
      </c>
      <c r="F277" s="495">
        <v>11.15</v>
      </c>
      <c r="G277" s="495">
        <v>57.42</v>
      </c>
      <c r="H277" s="495"/>
      <c r="I277" s="495"/>
      <c r="J277" s="494"/>
      <c r="K277" s="495"/>
      <c r="L277" s="495"/>
      <c r="M277" s="495"/>
    </row>
    <row r="278" spans="1:13" ht="25.5" customHeight="1" x14ac:dyDescent="0.25">
      <c r="A278" s="488" t="s">
        <v>837</v>
      </c>
      <c r="B278" s="495">
        <v>0.25</v>
      </c>
      <c r="C278" s="495">
        <v>347</v>
      </c>
      <c r="D278" s="494">
        <v>0.3</v>
      </c>
      <c r="E278" s="495">
        <v>104.1</v>
      </c>
      <c r="F278" s="495">
        <v>25.08</v>
      </c>
      <c r="G278" s="495">
        <v>129.18</v>
      </c>
      <c r="H278" s="495">
        <v>0.25</v>
      </c>
      <c r="I278" s="495">
        <v>578.32000000000005</v>
      </c>
      <c r="J278" s="494">
        <v>0.2</v>
      </c>
      <c r="K278" s="495">
        <v>115.66</v>
      </c>
      <c r="L278" s="495">
        <v>27.86</v>
      </c>
      <c r="M278" s="495">
        <v>143.51999999999998</v>
      </c>
    </row>
    <row r="279" spans="1:13" ht="16.149999999999999" customHeight="1" x14ac:dyDescent="0.25">
      <c r="A279" s="488" t="s">
        <v>837</v>
      </c>
      <c r="B279" s="495"/>
      <c r="C279" s="495"/>
      <c r="D279" s="494"/>
      <c r="E279" s="495"/>
      <c r="F279" s="495">
        <v>0</v>
      </c>
      <c r="G279" s="495">
        <v>0</v>
      </c>
      <c r="H279" s="495">
        <v>0.25</v>
      </c>
      <c r="I279" s="495">
        <v>462.65</v>
      </c>
      <c r="J279" s="494">
        <v>0.2</v>
      </c>
      <c r="K279" s="495">
        <v>92.53</v>
      </c>
      <c r="L279" s="495">
        <v>22.29</v>
      </c>
      <c r="M279" s="495">
        <v>114.82</v>
      </c>
    </row>
    <row r="280" spans="1:13" ht="16.149999999999999" customHeight="1" x14ac:dyDescent="0.25">
      <c r="A280" s="488" t="s">
        <v>837</v>
      </c>
      <c r="B280" s="495">
        <v>0.75</v>
      </c>
      <c r="C280" s="495">
        <v>462.66</v>
      </c>
      <c r="D280" s="494">
        <v>0.5</v>
      </c>
      <c r="E280" s="495">
        <v>231.33</v>
      </c>
      <c r="F280" s="495">
        <v>55.73</v>
      </c>
      <c r="G280" s="495">
        <v>287.06</v>
      </c>
      <c r="H280" s="495">
        <v>0.75</v>
      </c>
      <c r="I280" s="495">
        <v>1571.09</v>
      </c>
      <c r="J280" s="494">
        <v>0.2</v>
      </c>
      <c r="K280" s="495">
        <v>314.22000000000003</v>
      </c>
      <c r="L280" s="495">
        <v>75.7</v>
      </c>
      <c r="M280" s="495">
        <v>389.92</v>
      </c>
    </row>
    <row r="281" spans="1:13" ht="16.149999999999999" customHeight="1" x14ac:dyDescent="0.25">
      <c r="A281" s="488" t="s">
        <v>837</v>
      </c>
      <c r="B281" s="495">
        <v>0.75</v>
      </c>
      <c r="C281" s="495">
        <v>1108.43</v>
      </c>
      <c r="D281" s="494">
        <v>0.3</v>
      </c>
      <c r="E281" s="495">
        <v>332.53</v>
      </c>
      <c r="F281" s="495">
        <v>80.11</v>
      </c>
      <c r="G281" s="495">
        <v>412.64</v>
      </c>
      <c r="H281" s="495"/>
      <c r="I281" s="495"/>
      <c r="J281" s="494"/>
      <c r="K281" s="495"/>
      <c r="L281" s="495"/>
      <c r="M281" s="495"/>
    </row>
    <row r="282" spans="1:13" ht="16.149999999999999" customHeight="1" x14ac:dyDescent="0.25">
      <c r="A282" s="488" t="s">
        <v>837</v>
      </c>
      <c r="B282" s="495">
        <v>0.3</v>
      </c>
      <c r="C282" s="495">
        <v>616.87</v>
      </c>
      <c r="D282" s="494">
        <v>0.3</v>
      </c>
      <c r="E282" s="495">
        <v>185.06</v>
      </c>
      <c r="F282" s="495">
        <v>44.58</v>
      </c>
      <c r="G282" s="495">
        <v>229.64</v>
      </c>
      <c r="H282" s="495">
        <v>0.3</v>
      </c>
      <c r="I282" s="495">
        <v>462.65</v>
      </c>
      <c r="J282" s="494">
        <v>0.2</v>
      </c>
      <c r="K282" s="495">
        <v>92.53</v>
      </c>
      <c r="L282" s="495">
        <v>22.29</v>
      </c>
      <c r="M282" s="495">
        <v>114.82</v>
      </c>
    </row>
    <row r="283" spans="1:13" ht="16.149999999999999" customHeight="1" x14ac:dyDescent="0.25">
      <c r="A283" s="488" t="s">
        <v>837</v>
      </c>
      <c r="B283" s="495">
        <v>0.75</v>
      </c>
      <c r="C283" s="495">
        <v>1378.33</v>
      </c>
      <c r="D283" s="494">
        <v>0.3</v>
      </c>
      <c r="E283" s="495">
        <v>413.5</v>
      </c>
      <c r="F283" s="495">
        <v>99.61</v>
      </c>
      <c r="G283" s="495">
        <v>513.11</v>
      </c>
      <c r="H283" s="495">
        <v>0.75</v>
      </c>
      <c r="I283" s="495">
        <v>1156.6300000000001</v>
      </c>
      <c r="J283" s="494">
        <v>0.2</v>
      </c>
      <c r="K283" s="495">
        <v>231.33</v>
      </c>
      <c r="L283" s="495">
        <v>55.73</v>
      </c>
      <c r="M283" s="495">
        <v>287.06</v>
      </c>
    </row>
    <row r="284" spans="1:13" ht="16.149999999999999" customHeight="1" x14ac:dyDescent="0.25">
      <c r="A284" s="488" t="s">
        <v>837</v>
      </c>
      <c r="B284" s="495">
        <v>0.5</v>
      </c>
      <c r="C284" s="495">
        <v>462.67</v>
      </c>
      <c r="D284" s="494">
        <v>0.3</v>
      </c>
      <c r="E284" s="495">
        <v>138.80000000000001</v>
      </c>
      <c r="F284" s="495">
        <v>33.44</v>
      </c>
      <c r="G284" s="495">
        <v>172.24</v>
      </c>
      <c r="H284" s="495">
        <v>0.5</v>
      </c>
      <c r="I284" s="495">
        <v>462.65</v>
      </c>
      <c r="J284" s="494">
        <v>0.2</v>
      </c>
      <c r="K284" s="495">
        <v>92.53</v>
      </c>
      <c r="L284" s="495">
        <v>22.29</v>
      </c>
      <c r="M284" s="495">
        <v>114.82</v>
      </c>
    </row>
    <row r="285" spans="1:13" ht="16.149999999999999" customHeight="1" x14ac:dyDescent="0.25">
      <c r="A285" s="488" t="s">
        <v>837</v>
      </c>
      <c r="B285" s="495">
        <v>0.1</v>
      </c>
      <c r="C285" s="495">
        <v>308.43</v>
      </c>
      <c r="D285" s="494">
        <v>0.3</v>
      </c>
      <c r="E285" s="495">
        <v>92.53</v>
      </c>
      <c r="F285" s="495">
        <v>22.29</v>
      </c>
      <c r="G285" s="495">
        <v>114.82</v>
      </c>
      <c r="H285" s="495"/>
      <c r="I285" s="495"/>
      <c r="J285" s="494"/>
      <c r="K285" s="495"/>
      <c r="L285" s="495"/>
      <c r="M285" s="495"/>
    </row>
    <row r="286" spans="1:13" ht="16.149999999999999" customHeight="1" x14ac:dyDescent="0.25">
      <c r="A286" s="488" t="s">
        <v>837</v>
      </c>
      <c r="B286" s="495">
        <v>1</v>
      </c>
      <c r="C286" s="495">
        <v>1889.17</v>
      </c>
      <c r="D286" s="494">
        <v>0.3</v>
      </c>
      <c r="E286" s="495">
        <v>566.75</v>
      </c>
      <c r="F286" s="495">
        <v>136.53</v>
      </c>
      <c r="G286" s="495">
        <v>703.28</v>
      </c>
      <c r="H286" s="495">
        <v>1</v>
      </c>
      <c r="I286" s="495">
        <v>1706.03</v>
      </c>
      <c r="J286" s="494">
        <v>0.2</v>
      </c>
      <c r="K286" s="495">
        <v>341.21</v>
      </c>
      <c r="L286" s="495">
        <v>82.2</v>
      </c>
      <c r="M286" s="495">
        <v>423.40999999999997</v>
      </c>
    </row>
    <row r="287" spans="1:13" ht="16.149999999999999" customHeight="1" x14ac:dyDescent="0.25">
      <c r="A287" s="488" t="s">
        <v>837</v>
      </c>
      <c r="B287" s="495">
        <v>0.25</v>
      </c>
      <c r="C287" s="495">
        <v>125.3</v>
      </c>
      <c r="D287" s="494">
        <v>0.3</v>
      </c>
      <c r="E287" s="495">
        <v>37.590000000000003</v>
      </c>
      <c r="F287" s="495">
        <v>9.06</v>
      </c>
      <c r="G287" s="495">
        <v>46.650000000000006</v>
      </c>
      <c r="H287" s="495">
        <v>0.25</v>
      </c>
      <c r="I287" s="495">
        <v>375.91</v>
      </c>
      <c r="J287" s="494">
        <v>0.2</v>
      </c>
      <c r="K287" s="495">
        <v>75.180000000000007</v>
      </c>
      <c r="L287" s="495">
        <v>18.11</v>
      </c>
      <c r="M287" s="495">
        <v>93.29</v>
      </c>
    </row>
    <row r="288" spans="1:13" ht="16.149999999999999" customHeight="1" x14ac:dyDescent="0.25">
      <c r="A288" s="488" t="s">
        <v>837</v>
      </c>
      <c r="B288" s="495">
        <v>0.25</v>
      </c>
      <c r="C288" s="495">
        <v>347</v>
      </c>
      <c r="D288" s="494">
        <v>0.3</v>
      </c>
      <c r="E288" s="495">
        <v>104.1</v>
      </c>
      <c r="F288" s="495">
        <v>25.08</v>
      </c>
      <c r="G288" s="495">
        <v>129.18</v>
      </c>
      <c r="H288" s="495"/>
      <c r="I288" s="495"/>
      <c r="J288" s="494"/>
      <c r="K288" s="495"/>
      <c r="L288" s="495"/>
      <c r="M288" s="495"/>
    </row>
    <row r="289" spans="1:13" ht="16.149999999999999" customHeight="1" x14ac:dyDescent="0.25">
      <c r="A289" s="488" t="s">
        <v>837</v>
      </c>
      <c r="B289" s="495">
        <v>0.35</v>
      </c>
      <c r="C289" s="495">
        <v>539.77</v>
      </c>
      <c r="D289" s="494">
        <v>0.3</v>
      </c>
      <c r="E289" s="495">
        <v>161.93</v>
      </c>
      <c r="F289" s="495">
        <v>39.01</v>
      </c>
      <c r="G289" s="495">
        <v>200.94</v>
      </c>
      <c r="H289" s="495">
        <v>0.35</v>
      </c>
      <c r="I289" s="495">
        <v>539.76</v>
      </c>
      <c r="J289" s="494">
        <v>0.2</v>
      </c>
      <c r="K289" s="495">
        <v>107.95</v>
      </c>
      <c r="L289" s="495">
        <v>26.01</v>
      </c>
      <c r="M289" s="495">
        <v>133.96</v>
      </c>
    </row>
    <row r="290" spans="1:13" ht="16.149999999999999" customHeight="1" x14ac:dyDescent="0.25">
      <c r="A290" s="488" t="s">
        <v>837</v>
      </c>
      <c r="B290" s="495">
        <v>0.25</v>
      </c>
      <c r="C290" s="495">
        <v>915.67</v>
      </c>
      <c r="D290" s="494">
        <v>0.3</v>
      </c>
      <c r="E290" s="495">
        <v>274.7</v>
      </c>
      <c r="F290" s="495">
        <v>66.180000000000007</v>
      </c>
      <c r="G290" s="495">
        <v>340.88</v>
      </c>
      <c r="H290" s="495">
        <v>0.25</v>
      </c>
      <c r="I290" s="495">
        <v>655.42</v>
      </c>
      <c r="J290" s="494">
        <v>0.2</v>
      </c>
      <c r="K290" s="495">
        <v>131.08000000000001</v>
      </c>
      <c r="L290" s="495">
        <v>31.58</v>
      </c>
      <c r="M290" s="495">
        <v>162.66000000000003</v>
      </c>
    </row>
    <row r="291" spans="1:13" ht="16.149999999999999" customHeight="1" x14ac:dyDescent="0.25">
      <c r="A291" s="488" t="s">
        <v>837</v>
      </c>
      <c r="B291" s="495">
        <v>0.5</v>
      </c>
      <c r="C291" s="495">
        <v>231.34</v>
      </c>
      <c r="D291" s="494">
        <v>0.5</v>
      </c>
      <c r="E291" s="495">
        <v>115.67</v>
      </c>
      <c r="F291" s="495">
        <v>27.86</v>
      </c>
      <c r="G291" s="495">
        <v>143.53</v>
      </c>
      <c r="H291" s="495">
        <v>0.5</v>
      </c>
      <c r="I291" s="495">
        <v>915.67</v>
      </c>
      <c r="J291" s="494">
        <v>0.2</v>
      </c>
      <c r="K291" s="495">
        <v>183.13</v>
      </c>
      <c r="L291" s="495">
        <v>44.12</v>
      </c>
      <c r="M291" s="495">
        <v>227.25</v>
      </c>
    </row>
    <row r="292" spans="1:13" ht="16.149999999999999" customHeight="1" x14ac:dyDescent="0.25">
      <c r="A292" s="488" t="s">
        <v>837</v>
      </c>
      <c r="B292" s="495">
        <v>0.5</v>
      </c>
      <c r="C292" s="495">
        <v>1359.03</v>
      </c>
      <c r="D292" s="494">
        <v>0.3</v>
      </c>
      <c r="E292" s="495">
        <v>407.71</v>
      </c>
      <c r="F292" s="495">
        <v>98.22</v>
      </c>
      <c r="G292" s="495">
        <v>505.92999999999995</v>
      </c>
      <c r="H292" s="495"/>
      <c r="I292" s="495"/>
      <c r="J292" s="494"/>
      <c r="K292" s="495"/>
      <c r="L292" s="495"/>
      <c r="M292" s="495"/>
    </row>
    <row r="293" spans="1:13" ht="16.149999999999999" customHeight="1" x14ac:dyDescent="0.25">
      <c r="A293" s="488" t="s">
        <v>837</v>
      </c>
      <c r="B293" s="495">
        <v>0.25</v>
      </c>
      <c r="C293" s="495">
        <v>231.33</v>
      </c>
      <c r="D293" s="494">
        <v>0.3</v>
      </c>
      <c r="E293" s="495">
        <v>69.400000000000006</v>
      </c>
      <c r="F293" s="495">
        <v>16.72</v>
      </c>
      <c r="G293" s="495">
        <v>86.12</v>
      </c>
      <c r="H293" s="495"/>
      <c r="I293" s="495"/>
      <c r="J293" s="494"/>
      <c r="K293" s="495"/>
      <c r="L293" s="495"/>
      <c r="M293" s="495"/>
    </row>
    <row r="294" spans="1:13" ht="16.149999999999999" customHeight="1" x14ac:dyDescent="0.25">
      <c r="A294" s="488" t="s">
        <v>837</v>
      </c>
      <c r="B294" s="495">
        <v>0.1</v>
      </c>
      <c r="C294" s="495">
        <v>684.33</v>
      </c>
      <c r="D294" s="494">
        <v>0.3</v>
      </c>
      <c r="E294" s="495">
        <v>205.3</v>
      </c>
      <c r="F294" s="495">
        <v>49.46</v>
      </c>
      <c r="G294" s="495">
        <v>254.76000000000002</v>
      </c>
      <c r="H294" s="495">
        <v>0.1</v>
      </c>
      <c r="I294" s="495">
        <v>154.22</v>
      </c>
      <c r="J294" s="494">
        <v>0.2</v>
      </c>
      <c r="K294" s="495">
        <v>30.84</v>
      </c>
      <c r="L294" s="495">
        <v>7.43</v>
      </c>
      <c r="M294" s="495">
        <v>38.269999999999996</v>
      </c>
    </row>
    <row r="295" spans="1:13" ht="16.149999999999999" customHeight="1" x14ac:dyDescent="0.25">
      <c r="A295" s="488" t="s">
        <v>837</v>
      </c>
      <c r="B295" s="495">
        <v>0.05</v>
      </c>
      <c r="C295" s="495">
        <v>616.87</v>
      </c>
      <c r="D295" s="494">
        <v>0.3</v>
      </c>
      <c r="E295" s="495">
        <v>185.06</v>
      </c>
      <c r="F295" s="495">
        <v>44.58</v>
      </c>
      <c r="G295" s="495">
        <v>229.64</v>
      </c>
      <c r="H295" s="495">
        <v>0.05</v>
      </c>
      <c r="I295" s="495">
        <v>77.11</v>
      </c>
      <c r="J295" s="494">
        <v>0.2</v>
      </c>
      <c r="K295" s="495">
        <v>15.42</v>
      </c>
      <c r="L295" s="495">
        <v>3.71</v>
      </c>
      <c r="M295" s="495">
        <v>19.13</v>
      </c>
    </row>
    <row r="296" spans="1:13" ht="16.149999999999999" customHeight="1" x14ac:dyDescent="0.25">
      <c r="A296" s="488" t="s">
        <v>837</v>
      </c>
      <c r="B296" s="495">
        <v>0.75</v>
      </c>
      <c r="C296" s="495">
        <v>462.66</v>
      </c>
      <c r="D296" s="494">
        <v>0.5</v>
      </c>
      <c r="E296" s="495">
        <v>231.33</v>
      </c>
      <c r="F296" s="495">
        <v>55.73</v>
      </c>
      <c r="G296" s="495">
        <v>287.06</v>
      </c>
      <c r="H296" s="495">
        <v>0.75</v>
      </c>
      <c r="I296" s="495">
        <v>1387.96</v>
      </c>
      <c r="J296" s="494">
        <v>0.2</v>
      </c>
      <c r="K296" s="495">
        <v>277.58999999999997</v>
      </c>
      <c r="L296" s="495">
        <v>66.87</v>
      </c>
      <c r="M296" s="495">
        <v>344.46</v>
      </c>
    </row>
    <row r="297" spans="1:13" ht="16.149999999999999" customHeight="1" x14ac:dyDescent="0.25">
      <c r="A297" s="488" t="s">
        <v>837</v>
      </c>
      <c r="B297" s="495">
        <v>0.75</v>
      </c>
      <c r="C297" s="495">
        <v>925.3</v>
      </c>
      <c r="D297" s="494">
        <v>0.3</v>
      </c>
      <c r="E297" s="495">
        <v>277.58999999999997</v>
      </c>
      <c r="F297" s="495">
        <v>66.87</v>
      </c>
      <c r="G297" s="495">
        <v>344.46</v>
      </c>
      <c r="H297" s="495"/>
      <c r="I297" s="495"/>
      <c r="J297" s="494"/>
      <c r="K297" s="495"/>
      <c r="L297" s="495"/>
      <c r="M297" s="495"/>
    </row>
    <row r="298" spans="1:13" ht="16.149999999999999" customHeight="1" x14ac:dyDescent="0.25">
      <c r="A298" s="488" t="s">
        <v>837</v>
      </c>
      <c r="B298" s="495">
        <v>1</v>
      </c>
      <c r="C298" s="495">
        <v>462.66</v>
      </c>
      <c r="D298" s="494">
        <v>0.5</v>
      </c>
      <c r="E298" s="495">
        <v>231.33</v>
      </c>
      <c r="F298" s="495">
        <v>55.73</v>
      </c>
      <c r="G298" s="495">
        <v>287.06</v>
      </c>
      <c r="H298" s="495">
        <v>1</v>
      </c>
      <c r="I298" s="495">
        <v>1098.8</v>
      </c>
      <c r="J298" s="494">
        <v>0.2</v>
      </c>
      <c r="K298" s="495">
        <v>219.76</v>
      </c>
      <c r="L298" s="495">
        <v>52.94</v>
      </c>
      <c r="M298" s="495">
        <v>272.7</v>
      </c>
    </row>
    <row r="299" spans="1:13" ht="16.149999999999999" customHeight="1" x14ac:dyDescent="0.25">
      <c r="A299" s="488" t="s">
        <v>837</v>
      </c>
      <c r="B299" s="495">
        <v>1</v>
      </c>
      <c r="C299" s="495">
        <v>1590.37</v>
      </c>
      <c r="D299" s="494">
        <v>0.3</v>
      </c>
      <c r="E299" s="495">
        <v>477.11</v>
      </c>
      <c r="F299" s="495">
        <v>114.94</v>
      </c>
      <c r="G299" s="495">
        <v>592.04999999999995</v>
      </c>
      <c r="H299" s="495"/>
      <c r="I299" s="495"/>
      <c r="J299" s="494"/>
      <c r="K299" s="495"/>
      <c r="L299" s="495"/>
      <c r="M299" s="495"/>
    </row>
    <row r="300" spans="1:13" ht="16.149999999999999" customHeight="1" x14ac:dyDescent="0.25">
      <c r="A300" s="488" t="s">
        <v>837</v>
      </c>
      <c r="B300" s="495">
        <v>0.5</v>
      </c>
      <c r="C300" s="495">
        <v>693.97</v>
      </c>
      <c r="D300" s="494">
        <v>0.3</v>
      </c>
      <c r="E300" s="495">
        <v>208.19</v>
      </c>
      <c r="F300" s="495">
        <v>50.15</v>
      </c>
      <c r="G300" s="495">
        <v>258.33999999999997</v>
      </c>
      <c r="H300" s="495">
        <v>0.5</v>
      </c>
      <c r="I300" s="495">
        <v>693.98</v>
      </c>
      <c r="J300" s="494">
        <v>0.2</v>
      </c>
      <c r="K300" s="495">
        <v>138.80000000000001</v>
      </c>
      <c r="L300" s="495">
        <v>33.44</v>
      </c>
      <c r="M300" s="495">
        <v>172.24</v>
      </c>
    </row>
    <row r="301" spans="1:13" ht="16.149999999999999" customHeight="1" x14ac:dyDescent="0.25">
      <c r="A301" s="488" t="s">
        <v>837</v>
      </c>
      <c r="B301" s="495">
        <v>0.75</v>
      </c>
      <c r="C301" s="495">
        <v>1002.4</v>
      </c>
      <c r="D301" s="494">
        <v>0.3</v>
      </c>
      <c r="E301" s="495">
        <v>300.72000000000003</v>
      </c>
      <c r="F301" s="495">
        <v>72.44</v>
      </c>
      <c r="G301" s="495">
        <v>373.16</v>
      </c>
      <c r="H301" s="495">
        <v>0.75</v>
      </c>
      <c r="I301" s="495">
        <v>1744.59</v>
      </c>
      <c r="J301" s="494">
        <v>0.2</v>
      </c>
      <c r="K301" s="495">
        <v>348.92</v>
      </c>
      <c r="L301" s="495">
        <v>84.05</v>
      </c>
      <c r="M301" s="495">
        <v>432.97</v>
      </c>
    </row>
    <row r="302" spans="1:13" ht="16.149999999999999" customHeight="1" x14ac:dyDescent="0.25">
      <c r="A302" s="488" t="s">
        <v>837</v>
      </c>
      <c r="B302" s="495">
        <v>1</v>
      </c>
      <c r="C302" s="495">
        <v>462.66</v>
      </c>
      <c r="D302" s="494">
        <v>0.5</v>
      </c>
      <c r="E302" s="495">
        <v>231.33</v>
      </c>
      <c r="F302" s="495">
        <v>55.73</v>
      </c>
      <c r="G302" s="495">
        <v>287.06</v>
      </c>
      <c r="H302" s="495">
        <v>1</v>
      </c>
      <c r="I302" s="495">
        <v>1889.17</v>
      </c>
      <c r="J302" s="494">
        <v>0.2</v>
      </c>
      <c r="K302" s="495">
        <v>377.83</v>
      </c>
      <c r="L302" s="495">
        <v>91.02</v>
      </c>
      <c r="M302" s="495">
        <v>468.84999999999997</v>
      </c>
    </row>
    <row r="303" spans="1:13" ht="16.149999999999999" customHeight="1" x14ac:dyDescent="0.25">
      <c r="A303" s="488" t="s">
        <v>837</v>
      </c>
      <c r="B303" s="495">
        <v>1</v>
      </c>
      <c r="C303" s="495">
        <v>1503.63</v>
      </c>
      <c r="D303" s="494">
        <v>0.3</v>
      </c>
      <c r="E303" s="495">
        <v>451.09</v>
      </c>
      <c r="F303" s="495">
        <v>108.67</v>
      </c>
      <c r="G303" s="495">
        <v>559.76</v>
      </c>
      <c r="H303" s="495"/>
      <c r="I303" s="495"/>
      <c r="J303" s="494"/>
      <c r="K303" s="495"/>
      <c r="L303" s="495"/>
      <c r="M303" s="495"/>
    </row>
    <row r="304" spans="1:13" ht="16.149999999999999" customHeight="1" x14ac:dyDescent="0.25">
      <c r="A304" s="488" t="s">
        <v>837</v>
      </c>
      <c r="B304" s="495">
        <v>1</v>
      </c>
      <c r="C304" s="495">
        <v>771.1</v>
      </c>
      <c r="D304" s="494">
        <v>0.3</v>
      </c>
      <c r="E304" s="495">
        <v>231.33</v>
      </c>
      <c r="F304" s="495">
        <v>55.73</v>
      </c>
      <c r="G304" s="495">
        <v>287.06</v>
      </c>
      <c r="H304" s="495">
        <v>1</v>
      </c>
      <c r="I304" s="495">
        <v>1310.85</v>
      </c>
      <c r="J304" s="494">
        <v>0.2</v>
      </c>
      <c r="K304" s="495">
        <v>262.17</v>
      </c>
      <c r="L304" s="495">
        <v>63.16</v>
      </c>
      <c r="M304" s="495">
        <v>325.33000000000004</v>
      </c>
    </row>
    <row r="305" spans="1:13" ht="16.149999999999999" customHeight="1" x14ac:dyDescent="0.25">
      <c r="A305" s="488" t="s">
        <v>837</v>
      </c>
      <c r="B305" s="495">
        <v>1</v>
      </c>
      <c r="C305" s="495">
        <v>2043.37</v>
      </c>
      <c r="D305" s="494">
        <v>0.3</v>
      </c>
      <c r="E305" s="495">
        <v>613.01</v>
      </c>
      <c r="F305" s="495">
        <v>147.66999999999999</v>
      </c>
      <c r="G305" s="495">
        <v>760.68</v>
      </c>
      <c r="H305" s="495">
        <v>1</v>
      </c>
      <c r="I305" s="495">
        <v>1918.08</v>
      </c>
      <c r="J305" s="494">
        <v>0.2</v>
      </c>
      <c r="K305" s="495">
        <v>383.62</v>
      </c>
      <c r="L305" s="495">
        <v>92.41</v>
      </c>
      <c r="M305" s="495">
        <v>476.03</v>
      </c>
    </row>
    <row r="306" spans="1:13" ht="16.149999999999999" customHeight="1" x14ac:dyDescent="0.25">
      <c r="A306" s="488" t="s">
        <v>837</v>
      </c>
      <c r="B306" s="495">
        <v>0.1</v>
      </c>
      <c r="C306" s="495">
        <v>231.33</v>
      </c>
      <c r="D306" s="494">
        <v>0.3</v>
      </c>
      <c r="E306" s="495">
        <v>69.400000000000006</v>
      </c>
      <c r="F306" s="495">
        <v>16.72</v>
      </c>
      <c r="G306" s="495">
        <v>86.12</v>
      </c>
      <c r="H306" s="495">
        <v>0.1</v>
      </c>
      <c r="I306" s="495">
        <v>231.33</v>
      </c>
      <c r="J306" s="494">
        <v>0.2</v>
      </c>
      <c r="K306" s="495">
        <v>46.27</v>
      </c>
      <c r="L306" s="495">
        <v>11.15</v>
      </c>
      <c r="M306" s="495">
        <v>57.42</v>
      </c>
    </row>
    <row r="307" spans="1:13" ht="16.149999999999999" customHeight="1" x14ac:dyDescent="0.25">
      <c r="A307" s="488" t="s">
        <v>837</v>
      </c>
      <c r="B307" s="495">
        <v>0.3</v>
      </c>
      <c r="C307" s="495">
        <v>240.97</v>
      </c>
      <c r="D307" s="494">
        <v>0.3</v>
      </c>
      <c r="E307" s="495">
        <v>72.290000000000006</v>
      </c>
      <c r="F307" s="495">
        <v>17.41</v>
      </c>
      <c r="G307" s="495">
        <v>89.7</v>
      </c>
      <c r="H307" s="495">
        <v>0.3</v>
      </c>
      <c r="I307" s="495">
        <v>462.65</v>
      </c>
      <c r="J307" s="494">
        <v>0.2</v>
      </c>
      <c r="K307" s="495">
        <v>92.53</v>
      </c>
      <c r="L307" s="495">
        <v>22.29</v>
      </c>
      <c r="M307" s="495">
        <v>114.82</v>
      </c>
    </row>
    <row r="308" spans="1:13" ht="16.149999999999999" customHeight="1" x14ac:dyDescent="0.25">
      <c r="A308" s="488" t="s">
        <v>837</v>
      </c>
      <c r="B308" s="495">
        <v>0.05</v>
      </c>
      <c r="C308" s="495">
        <v>231.33</v>
      </c>
      <c r="D308" s="494">
        <v>0.3</v>
      </c>
      <c r="E308" s="495">
        <v>69.400000000000006</v>
      </c>
      <c r="F308" s="495">
        <v>16.72</v>
      </c>
      <c r="G308" s="495">
        <v>86.12</v>
      </c>
      <c r="H308" s="495">
        <v>0.05</v>
      </c>
      <c r="I308" s="495">
        <v>231.33</v>
      </c>
      <c r="J308" s="494">
        <v>0.2</v>
      </c>
      <c r="K308" s="495">
        <v>46.27</v>
      </c>
      <c r="L308" s="495">
        <v>11.15</v>
      </c>
      <c r="M308" s="495">
        <v>57.42</v>
      </c>
    </row>
    <row r="309" spans="1:13" ht="16.149999999999999" customHeight="1" x14ac:dyDescent="0.25">
      <c r="A309" s="488" t="s">
        <v>837</v>
      </c>
      <c r="B309" s="495">
        <v>0.5</v>
      </c>
      <c r="C309" s="495">
        <v>857.83</v>
      </c>
      <c r="D309" s="494">
        <v>0.3</v>
      </c>
      <c r="E309" s="495">
        <v>257.35000000000002</v>
      </c>
      <c r="F309" s="495">
        <v>62</v>
      </c>
      <c r="G309" s="495">
        <v>319.35000000000002</v>
      </c>
      <c r="H309" s="495">
        <v>0.5</v>
      </c>
      <c r="I309" s="495">
        <v>356.63</v>
      </c>
      <c r="J309" s="494">
        <v>0.2</v>
      </c>
      <c r="K309" s="495">
        <v>71.33</v>
      </c>
      <c r="L309" s="495">
        <v>17.18</v>
      </c>
      <c r="M309" s="495">
        <v>88.509999999999991</v>
      </c>
    </row>
    <row r="310" spans="1:13" ht="16.149999999999999" customHeight="1" x14ac:dyDescent="0.25">
      <c r="A310" s="488" t="s">
        <v>837</v>
      </c>
      <c r="B310" s="495">
        <v>0.5</v>
      </c>
      <c r="C310" s="495">
        <v>1397.6</v>
      </c>
      <c r="D310" s="494">
        <v>0.3</v>
      </c>
      <c r="E310" s="495">
        <v>419.28</v>
      </c>
      <c r="F310" s="495">
        <v>101</v>
      </c>
      <c r="G310" s="495">
        <v>520.28</v>
      </c>
      <c r="H310" s="495">
        <v>0.5</v>
      </c>
      <c r="I310" s="495">
        <v>703.62</v>
      </c>
      <c r="J310" s="494">
        <v>0.2</v>
      </c>
      <c r="K310" s="495">
        <v>140.72</v>
      </c>
      <c r="L310" s="495">
        <v>33.9</v>
      </c>
      <c r="M310" s="495">
        <v>174.62</v>
      </c>
    </row>
    <row r="311" spans="1:13" ht="16.149999999999999" customHeight="1" x14ac:dyDescent="0.25">
      <c r="A311" s="488" t="s">
        <v>837</v>
      </c>
      <c r="B311" s="495">
        <v>0.25</v>
      </c>
      <c r="C311" s="495">
        <v>462.67</v>
      </c>
      <c r="D311" s="494">
        <v>0.3</v>
      </c>
      <c r="E311" s="495">
        <v>138.80000000000001</v>
      </c>
      <c r="F311" s="495">
        <v>33.44</v>
      </c>
      <c r="G311" s="495">
        <v>172.24</v>
      </c>
      <c r="H311" s="495">
        <v>0.25</v>
      </c>
      <c r="I311" s="495">
        <v>462.65</v>
      </c>
      <c r="J311" s="494">
        <v>0.2</v>
      </c>
      <c r="K311" s="495">
        <v>92.53</v>
      </c>
      <c r="L311" s="495">
        <v>22.29</v>
      </c>
      <c r="M311" s="495">
        <v>114.82</v>
      </c>
    </row>
    <row r="312" spans="1:13" ht="16.149999999999999" customHeight="1" x14ac:dyDescent="0.25">
      <c r="A312" s="488" t="s">
        <v>837</v>
      </c>
      <c r="B312" s="495">
        <v>0.25</v>
      </c>
      <c r="C312" s="495">
        <v>703.63</v>
      </c>
      <c r="D312" s="494">
        <v>0.3</v>
      </c>
      <c r="E312" s="495">
        <v>211.09</v>
      </c>
      <c r="F312" s="495">
        <v>50.85</v>
      </c>
      <c r="G312" s="495">
        <v>261.94</v>
      </c>
      <c r="H312" s="495">
        <v>0.25</v>
      </c>
      <c r="I312" s="495">
        <v>578.32000000000005</v>
      </c>
      <c r="J312" s="494">
        <v>0.2</v>
      </c>
      <c r="K312" s="495">
        <v>115.66</v>
      </c>
      <c r="L312" s="495">
        <v>27.86</v>
      </c>
      <c r="M312" s="495">
        <v>143.51999999999998</v>
      </c>
    </row>
    <row r="313" spans="1:13" ht="16.149999999999999" customHeight="1" x14ac:dyDescent="0.25">
      <c r="A313" s="488" t="s">
        <v>837</v>
      </c>
      <c r="B313" s="495">
        <v>0.25</v>
      </c>
      <c r="C313" s="495">
        <v>1455.43</v>
      </c>
      <c r="D313" s="494">
        <v>0.3</v>
      </c>
      <c r="E313" s="495">
        <v>436.63</v>
      </c>
      <c r="F313" s="495">
        <v>105.18</v>
      </c>
      <c r="G313" s="495">
        <v>541.80999999999995</v>
      </c>
      <c r="H313" s="495">
        <v>0.25</v>
      </c>
      <c r="I313" s="495">
        <v>1503.62</v>
      </c>
      <c r="J313" s="494">
        <v>0.2</v>
      </c>
      <c r="K313" s="495">
        <v>300.72000000000003</v>
      </c>
      <c r="L313" s="495">
        <v>72.44</v>
      </c>
      <c r="M313" s="495">
        <v>373.16</v>
      </c>
    </row>
    <row r="314" spans="1:13" ht="16.149999999999999" customHeight="1" x14ac:dyDescent="0.25">
      <c r="A314" s="488" t="s">
        <v>837</v>
      </c>
      <c r="B314" s="495">
        <v>0.5</v>
      </c>
      <c r="C314" s="495">
        <v>462.66</v>
      </c>
      <c r="D314" s="494">
        <v>0.5</v>
      </c>
      <c r="E314" s="495">
        <v>231.33</v>
      </c>
      <c r="F314" s="495">
        <v>55.73</v>
      </c>
      <c r="G314" s="495">
        <v>287.06</v>
      </c>
      <c r="H314" s="495"/>
      <c r="I314" s="495"/>
      <c r="J314" s="494"/>
      <c r="K314" s="495"/>
      <c r="L314" s="495"/>
      <c r="M314" s="495"/>
    </row>
    <row r="315" spans="1:13" ht="16.149999999999999" customHeight="1" x14ac:dyDescent="0.25">
      <c r="A315" s="488" t="s">
        <v>837</v>
      </c>
      <c r="B315" s="495">
        <v>0.5</v>
      </c>
      <c r="C315" s="495">
        <v>231.33</v>
      </c>
      <c r="D315" s="494">
        <v>0.3</v>
      </c>
      <c r="E315" s="495">
        <v>69.400000000000006</v>
      </c>
      <c r="F315" s="495">
        <v>16.72</v>
      </c>
      <c r="G315" s="495">
        <v>86.12</v>
      </c>
      <c r="H315" s="495"/>
      <c r="I315" s="495"/>
      <c r="J315" s="494"/>
      <c r="K315" s="495"/>
      <c r="L315" s="495"/>
      <c r="M315" s="495"/>
    </row>
    <row r="316" spans="1:13" ht="16.149999999999999" customHeight="1" x14ac:dyDescent="0.25">
      <c r="A316" s="488" t="s">
        <v>837</v>
      </c>
      <c r="B316" s="495">
        <v>0.25</v>
      </c>
      <c r="C316" s="495">
        <v>115.66</v>
      </c>
      <c r="D316" s="494">
        <v>0.5</v>
      </c>
      <c r="E316" s="495">
        <v>57.83</v>
      </c>
      <c r="F316" s="495">
        <v>13.93</v>
      </c>
      <c r="G316" s="495">
        <v>71.759999999999991</v>
      </c>
      <c r="H316" s="495">
        <v>0.25</v>
      </c>
      <c r="I316" s="495">
        <v>1089.1600000000001</v>
      </c>
      <c r="J316" s="494">
        <v>0.2</v>
      </c>
      <c r="K316" s="495">
        <v>217.83</v>
      </c>
      <c r="L316" s="495">
        <v>52.48</v>
      </c>
      <c r="M316" s="495">
        <v>270.31</v>
      </c>
    </row>
    <row r="317" spans="1:13" ht="16.149999999999999" customHeight="1" x14ac:dyDescent="0.25">
      <c r="A317" s="488" t="s">
        <v>837</v>
      </c>
      <c r="B317" s="495">
        <v>0.25</v>
      </c>
      <c r="C317" s="495">
        <v>838.57</v>
      </c>
      <c r="D317" s="494">
        <v>0.3</v>
      </c>
      <c r="E317" s="495">
        <v>251.57</v>
      </c>
      <c r="F317" s="495">
        <v>60.6</v>
      </c>
      <c r="G317" s="495">
        <v>312.17</v>
      </c>
      <c r="H317" s="495"/>
      <c r="I317" s="495"/>
      <c r="J317" s="494"/>
      <c r="K317" s="495"/>
      <c r="L317" s="495"/>
      <c r="M317" s="495"/>
    </row>
    <row r="318" spans="1:13" ht="16.149999999999999" customHeight="1" x14ac:dyDescent="0.25">
      <c r="A318" s="488" t="s">
        <v>837</v>
      </c>
      <c r="B318" s="495">
        <v>0.51</v>
      </c>
      <c r="C318" s="495">
        <v>539.77</v>
      </c>
      <c r="D318" s="494">
        <v>0.3</v>
      </c>
      <c r="E318" s="495">
        <v>161.93</v>
      </c>
      <c r="F318" s="495">
        <v>39.01</v>
      </c>
      <c r="G318" s="495">
        <v>200.94</v>
      </c>
      <c r="H318" s="495">
        <v>0.51</v>
      </c>
      <c r="I318" s="495">
        <v>771.09</v>
      </c>
      <c r="J318" s="494">
        <v>0.2</v>
      </c>
      <c r="K318" s="495">
        <v>154.22</v>
      </c>
      <c r="L318" s="495">
        <v>37.15</v>
      </c>
      <c r="M318" s="495">
        <v>191.37</v>
      </c>
    </row>
    <row r="319" spans="1:13" ht="16.149999999999999" customHeight="1" x14ac:dyDescent="0.25">
      <c r="A319" s="488" t="s">
        <v>837</v>
      </c>
      <c r="B319" s="495">
        <v>0.5</v>
      </c>
      <c r="C319" s="495">
        <v>828.93</v>
      </c>
      <c r="D319" s="494">
        <v>0.3</v>
      </c>
      <c r="E319" s="495">
        <v>248.68</v>
      </c>
      <c r="F319" s="495">
        <v>59.91</v>
      </c>
      <c r="G319" s="495">
        <v>308.59000000000003</v>
      </c>
      <c r="H319" s="495">
        <v>0.5</v>
      </c>
      <c r="I319" s="495">
        <v>703.62</v>
      </c>
      <c r="J319" s="494">
        <v>0.2</v>
      </c>
      <c r="K319" s="495">
        <v>140.72</v>
      </c>
      <c r="L319" s="495">
        <v>33.9</v>
      </c>
      <c r="M319" s="495">
        <v>174.62</v>
      </c>
    </row>
    <row r="320" spans="1:13" ht="16.149999999999999" customHeight="1" x14ac:dyDescent="0.25">
      <c r="A320" s="488" t="s">
        <v>838</v>
      </c>
      <c r="B320" s="495"/>
      <c r="C320" s="495"/>
      <c r="D320" s="494"/>
      <c r="E320" s="495"/>
      <c r="F320" s="495">
        <v>0</v>
      </c>
      <c r="G320" s="495">
        <v>0</v>
      </c>
      <c r="H320" s="495">
        <v>0.9</v>
      </c>
      <c r="I320" s="495">
        <v>1227.4000000000001</v>
      </c>
      <c r="J320" s="494">
        <v>0.2</v>
      </c>
      <c r="K320" s="495">
        <v>245.48</v>
      </c>
      <c r="L320" s="495">
        <v>59.14</v>
      </c>
      <c r="M320" s="495">
        <v>304.62</v>
      </c>
    </row>
    <row r="321" spans="1:13" ht="16.149999999999999" customHeight="1" x14ac:dyDescent="0.25">
      <c r="A321" s="488" t="s">
        <v>839</v>
      </c>
      <c r="B321" s="495">
        <v>0.75</v>
      </c>
      <c r="C321" s="495">
        <v>908.17</v>
      </c>
      <c r="D321" s="494">
        <v>0.3</v>
      </c>
      <c r="E321" s="495">
        <v>272.45</v>
      </c>
      <c r="F321" s="495">
        <v>65.63</v>
      </c>
      <c r="G321" s="495">
        <v>338.08</v>
      </c>
      <c r="H321" s="495">
        <v>0.75</v>
      </c>
      <c r="I321" s="495">
        <v>548.74</v>
      </c>
      <c r="J321" s="494">
        <v>0.2</v>
      </c>
      <c r="K321" s="495">
        <v>109.75</v>
      </c>
      <c r="L321" s="495">
        <v>26.44</v>
      </c>
      <c r="M321" s="495">
        <v>136.19</v>
      </c>
    </row>
    <row r="322" spans="1:13" ht="16.149999999999999" customHeight="1" x14ac:dyDescent="0.25">
      <c r="A322" s="488" t="s">
        <v>840</v>
      </c>
      <c r="B322" s="495">
        <v>0.25</v>
      </c>
      <c r="C322" s="495">
        <v>539.77</v>
      </c>
      <c r="D322" s="494">
        <v>0.3</v>
      </c>
      <c r="E322" s="495">
        <v>161.93</v>
      </c>
      <c r="F322" s="495">
        <v>39.01</v>
      </c>
      <c r="G322" s="495">
        <v>200.94</v>
      </c>
      <c r="H322" s="495">
        <v>0.25</v>
      </c>
      <c r="I322" s="495">
        <v>385.54</v>
      </c>
      <c r="J322" s="494">
        <v>0.2</v>
      </c>
      <c r="K322" s="495">
        <v>77.11</v>
      </c>
      <c r="L322" s="495">
        <v>18.579999999999998</v>
      </c>
      <c r="M322" s="495">
        <v>95.69</v>
      </c>
    </row>
    <row r="323" spans="1:13" ht="16.149999999999999" customHeight="1" x14ac:dyDescent="0.25">
      <c r="A323" s="488" t="s">
        <v>840</v>
      </c>
      <c r="B323" s="495">
        <v>0.25</v>
      </c>
      <c r="C323" s="495">
        <v>616.87</v>
      </c>
      <c r="D323" s="494">
        <v>0.3</v>
      </c>
      <c r="E323" s="495">
        <v>185.06</v>
      </c>
      <c r="F323" s="495">
        <v>44.58</v>
      </c>
      <c r="G323" s="495">
        <v>229.64</v>
      </c>
      <c r="H323" s="495">
        <v>0.25</v>
      </c>
      <c r="I323" s="495">
        <v>771.09</v>
      </c>
      <c r="J323" s="494">
        <v>0.2</v>
      </c>
      <c r="K323" s="495">
        <v>154.22</v>
      </c>
      <c r="L323" s="495">
        <v>37.15</v>
      </c>
      <c r="M323" s="495">
        <v>191.37</v>
      </c>
    </row>
    <row r="324" spans="1:13" ht="16.149999999999999" customHeight="1" x14ac:dyDescent="0.25">
      <c r="A324" s="488" t="s">
        <v>840</v>
      </c>
      <c r="B324" s="495">
        <v>0.5</v>
      </c>
      <c r="C324" s="495">
        <v>1079.53</v>
      </c>
      <c r="D324" s="494">
        <v>0.3</v>
      </c>
      <c r="E324" s="495">
        <v>323.86</v>
      </c>
      <c r="F324" s="495">
        <v>78.02</v>
      </c>
      <c r="G324" s="495">
        <v>401.88</v>
      </c>
      <c r="H324" s="495">
        <v>0.5</v>
      </c>
      <c r="I324" s="495">
        <v>1002.41</v>
      </c>
      <c r="J324" s="494">
        <v>0.2</v>
      </c>
      <c r="K324" s="495">
        <v>200.48</v>
      </c>
      <c r="L324" s="495">
        <v>48.3</v>
      </c>
      <c r="M324" s="495">
        <v>248.77999999999997</v>
      </c>
    </row>
    <row r="325" spans="1:13" ht="16.149999999999999" customHeight="1" x14ac:dyDescent="0.25">
      <c r="A325" s="488" t="s">
        <v>840</v>
      </c>
      <c r="B325" s="495">
        <v>0.75</v>
      </c>
      <c r="C325" s="495">
        <v>1310.87</v>
      </c>
      <c r="D325" s="494">
        <v>0.3</v>
      </c>
      <c r="E325" s="495">
        <v>393.26</v>
      </c>
      <c r="F325" s="495">
        <v>94.74</v>
      </c>
      <c r="G325" s="495">
        <v>488</v>
      </c>
      <c r="H325" s="495">
        <v>0.75</v>
      </c>
      <c r="I325" s="495">
        <v>1233.74</v>
      </c>
      <c r="J325" s="494">
        <v>0.2</v>
      </c>
      <c r="K325" s="495">
        <v>246.75</v>
      </c>
      <c r="L325" s="495">
        <v>59.44</v>
      </c>
      <c r="M325" s="495">
        <v>306.19</v>
      </c>
    </row>
    <row r="326" spans="1:13" ht="16.149999999999999" customHeight="1" x14ac:dyDescent="0.25">
      <c r="A326" s="488" t="s">
        <v>840</v>
      </c>
      <c r="B326" s="495">
        <v>1</v>
      </c>
      <c r="C326" s="495">
        <v>1310.87</v>
      </c>
      <c r="D326" s="494">
        <v>0.3</v>
      </c>
      <c r="E326" s="495">
        <v>393.26</v>
      </c>
      <c r="F326" s="495">
        <v>94.74</v>
      </c>
      <c r="G326" s="495">
        <v>488</v>
      </c>
      <c r="H326" s="495">
        <v>1</v>
      </c>
      <c r="I326" s="495">
        <v>1696.39</v>
      </c>
      <c r="J326" s="494">
        <v>0.2</v>
      </c>
      <c r="K326" s="495">
        <v>339.28</v>
      </c>
      <c r="L326" s="495">
        <v>81.73</v>
      </c>
      <c r="M326" s="495">
        <v>421.01</v>
      </c>
    </row>
    <row r="327" spans="1:13" ht="16.149999999999999" customHeight="1" x14ac:dyDescent="0.25">
      <c r="A327" s="488" t="s">
        <v>840</v>
      </c>
      <c r="B327" s="495">
        <v>0.5</v>
      </c>
      <c r="C327" s="495">
        <v>848.2</v>
      </c>
      <c r="D327" s="494">
        <v>0.3</v>
      </c>
      <c r="E327" s="495">
        <v>254.46</v>
      </c>
      <c r="F327" s="495">
        <v>61.3</v>
      </c>
      <c r="G327" s="495">
        <v>315.76</v>
      </c>
      <c r="H327" s="495">
        <v>0.5</v>
      </c>
      <c r="I327" s="495">
        <v>1156.6300000000001</v>
      </c>
      <c r="J327" s="494">
        <v>0.2</v>
      </c>
      <c r="K327" s="495">
        <v>231.33</v>
      </c>
      <c r="L327" s="495">
        <v>55.73</v>
      </c>
      <c r="M327" s="495">
        <v>287.06</v>
      </c>
    </row>
    <row r="328" spans="1:13" ht="16.149999999999999" customHeight="1" x14ac:dyDescent="0.25">
      <c r="A328" s="488" t="s">
        <v>840</v>
      </c>
      <c r="B328" s="495">
        <v>0.5</v>
      </c>
      <c r="C328" s="495">
        <v>1465.07</v>
      </c>
      <c r="D328" s="494">
        <v>0.3</v>
      </c>
      <c r="E328" s="495">
        <v>439.52</v>
      </c>
      <c r="F328" s="495">
        <v>105.88</v>
      </c>
      <c r="G328" s="495">
        <v>545.4</v>
      </c>
      <c r="H328" s="495">
        <v>0.5</v>
      </c>
      <c r="I328" s="495">
        <v>1233.74</v>
      </c>
      <c r="J328" s="494">
        <v>0.2</v>
      </c>
      <c r="K328" s="495">
        <v>246.75</v>
      </c>
      <c r="L328" s="495">
        <v>59.44</v>
      </c>
      <c r="M328" s="495">
        <v>306.19</v>
      </c>
    </row>
    <row r="329" spans="1:13" ht="16.149999999999999" customHeight="1" x14ac:dyDescent="0.25">
      <c r="A329" s="488" t="s">
        <v>840</v>
      </c>
      <c r="B329" s="495">
        <v>0.25</v>
      </c>
      <c r="C329" s="495">
        <v>693.97</v>
      </c>
      <c r="D329" s="494">
        <v>0.3</v>
      </c>
      <c r="E329" s="495">
        <v>208.19</v>
      </c>
      <c r="F329" s="495">
        <v>50.15</v>
      </c>
      <c r="G329" s="495">
        <v>258.33999999999997</v>
      </c>
      <c r="H329" s="495">
        <v>0.25</v>
      </c>
      <c r="I329" s="495">
        <v>693.98</v>
      </c>
      <c r="J329" s="494">
        <v>0.2</v>
      </c>
      <c r="K329" s="495">
        <v>138.80000000000001</v>
      </c>
      <c r="L329" s="495">
        <v>33.44</v>
      </c>
      <c r="M329" s="495">
        <v>172.24</v>
      </c>
    </row>
    <row r="330" spans="1:13" ht="16.149999999999999" customHeight="1" x14ac:dyDescent="0.25">
      <c r="A330" s="488" t="s">
        <v>840</v>
      </c>
      <c r="B330" s="495">
        <v>0.25</v>
      </c>
      <c r="C330" s="495">
        <v>1069.8699999999999</v>
      </c>
      <c r="D330" s="494">
        <v>0.3</v>
      </c>
      <c r="E330" s="495">
        <v>320.95999999999998</v>
      </c>
      <c r="F330" s="495">
        <v>77.319999999999993</v>
      </c>
      <c r="G330" s="495">
        <v>398.28</v>
      </c>
      <c r="H330" s="495">
        <v>0.25</v>
      </c>
      <c r="I330" s="495">
        <v>925.31</v>
      </c>
      <c r="J330" s="494">
        <v>0.2</v>
      </c>
      <c r="K330" s="495">
        <v>185.06</v>
      </c>
      <c r="L330" s="495">
        <v>44.58</v>
      </c>
      <c r="M330" s="495">
        <v>229.64</v>
      </c>
    </row>
    <row r="331" spans="1:13" ht="16.149999999999999" customHeight="1" x14ac:dyDescent="0.25">
      <c r="A331" s="488" t="s">
        <v>840</v>
      </c>
      <c r="B331" s="495">
        <v>1</v>
      </c>
      <c r="C331" s="495">
        <v>2149.4</v>
      </c>
      <c r="D331" s="494">
        <v>0.3</v>
      </c>
      <c r="E331" s="495">
        <v>644.82000000000005</v>
      </c>
      <c r="F331" s="495">
        <v>155.34</v>
      </c>
      <c r="G331" s="495">
        <v>800.16000000000008</v>
      </c>
      <c r="H331" s="495">
        <v>1</v>
      </c>
      <c r="I331" s="495">
        <v>1850.61</v>
      </c>
      <c r="J331" s="494">
        <v>0.2</v>
      </c>
      <c r="K331" s="495">
        <v>370.12</v>
      </c>
      <c r="L331" s="495">
        <v>89.16</v>
      </c>
      <c r="M331" s="495">
        <v>459.28</v>
      </c>
    </row>
    <row r="332" spans="1:13" ht="16.149999999999999" customHeight="1" x14ac:dyDescent="0.25">
      <c r="A332" s="488" t="s">
        <v>840</v>
      </c>
      <c r="B332" s="495">
        <v>0.75</v>
      </c>
      <c r="C332" s="495">
        <v>1542.17</v>
      </c>
      <c r="D332" s="494">
        <v>0.3</v>
      </c>
      <c r="E332" s="495">
        <v>462.65</v>
      </c>
      <c r="F332" s="495">
        <v>111.45</v>
      </c>
      <c r="G332" s="495">
        <v>574.1</v>
      </c>
      <c r="H332" s="495">
        <v>0.75</v>
      </c>
      <c r="I332" s="495">
        <v>1233.74</v>
      </c>
      <c r="J332" s="494">
        <v>0.2</v>
      </c>
      <c r="K332" s="495">
        <v>246.75</v>
      </c>
      <c r="L332" s="495">
        <v>59.44</v>
      </c>
      <c r="M332" s="495">
        <v>306.19</v>
      </c>
    </row>
    <row r="333" spans="1:13" ht="16.149999999999999" customHeight="1" x14ac:dyDescent="0.25">
      <c r="A333" s="488" t="s">
        <v>841</v>
      </c>
      <c r="B333" s="495"/>
      <c r="C333" s="495"/>
      <c r="D333" s="494"/>
      <c r="E333" s="495"/>
      <c r="F333" s="495">
        <v>0</v>
      </c>
      <c r="G333" s="495">
        <v>0</v>
      </c>
      <c r="H333" s="495">
        <v>0.25</v>
      </c>
      <c r="I333" s="495">
        <v>304.5</v>
      </c>
      <c r="J333" s="494">
        <v>0.2</v>
      </c>
      <c r="K333" s="495">
        <v>60.9</v>
      </c>
      <c r="L333" s="495">
        <v>14.67</v>
      </c>
      <c r="M333" s="495">
        <v>75.569999999999993</v>
      </c>
    </row>
    <row r="334" spans="1:13" ht="16.149999999999999" customHeight="1" x14ac:dyDescent="0.25">
      <c r="A334" s="488" t="s">
        <v>841</v>
      </c>
      <c r="B334" s="495">
        <v>0.14000000000000001</v>
      </c>
      <c r="C334" s="495">
        <v>212.07</v>
      </c>
      <c r="D334" s="494">
        <v>0.3</v>
      </c>
      <c r="E334" s="495">
        <v>63.62</v>
      </c>
      <c r="F334" s="495">
        <v>15.33</v>
      </c>
      <c r="G334" s="495">
        <v>78.95</v>
      </c>
      <c r="H334" s="495">
        <v>0.14000000000000001</v>
      </c>
      <c r="I334" s="495">
        <v>212.05</v>
      </c>
      <c r="J334" s="494">
        <v>0.2</v>
      </c>
      <c r="K334" s="495">
        <v>42.41</v>
      </c>
      <c r="L334" s="495">
        <v>10.220000000000001</v>
      </c>
      <c r="M334" s="495">
        <v>52.629999999999995</v>
      </c>
    </row>
    <row r="335" spans="1:13" ht="16.149999999999999" customHeight="1" x14ac:dyDescent="0.25">
      <c r="A335" s="488" t="s">
        <v>841</v>
      </c>
      <c r="B335" s="495">
        <v>0.25</v>
      </c>
      <c r="C335" s="495">
        <v>693.97</v>
      </c>
      <c r="D335" s="494">
        <v>0.3</v>
      </c>
      <c r="E335" s="495">
        <v>208.19</v>
      </c>
      <c r="F335" s="495">
        <v>50.15</v>
      </c>
      <c r="G335" s="495">
        <v>258.33999999999997</v>
      </c>
      <c r="H335" s="495">
        <v>0.25</v>
      </c>
      <c r="I335" s="495">
        <v>693.98</v>
      </c>
      <c r="J335" s="494">
        <v>0.2</v>
      </c>
      <c r="K335" s="495">
        <v>138.80000000000001</v>
      </c>
      <c r="L335" s="495">
        <v>33.44</v>
      </c>
      <c r="M335" s="495">
        <v>172.24</v>
      </c>
    </row>
    <row r="336" spans="1:13" ht="16.149999999999999" customHeight="1" x14ac:dyDescent="0.25">
      <c r="A336" s="488" t="s">
        <v>841</v>
      </c>
      <c r="B336" s="495">
        <v>0.25</v>
      </c>
      <c r="C336" s="495">
        <v>462.67</v>
      </c>
      <c r="D336" s="494">
        <v>0.3</v>
      </c>
      <c r="E336" s="495">
        <v>138.80000000000001</v>
      </c>
      <c r="F336" s="495">
        <v>33.44</v>
      </c>
      <c r="G336" s="495">
        <v>172.24</v>
      </c>
      <c r="H336" s="495">
        <v>0.25</v>
      </c>
      <c r="I336" s="495">
        <v>925.31</v>
      </c>
      <c r="J336" s="494">
        <v>0.2</v>
      </c>
      <c r="K336" s="495">
        <v>185.06</v>
      </c>
      <c r="L336" s="495">
        <v>44.58</v>
      </c>
      <c r="M336" s="495">
        <v>229.64</v>
      </c>
    </row>
    <row r="337" spans="1:13" ht="16.149999999999999" customHeight="1" x14ac:dyDescent="0.25">
      <c r="A337" s="488" t="s">
        <v>841</v>
      </c>
      <c r="B337" s="495">
        <v>0.25</v>
      </c>
      <c r="C337" s="495">
        <v>462.67</v>
      </c>
      <c r="D337" s="494">
        <v>0.3</v>
      </c>
      <c r="E337" s="495">
        <v>138.80000000000001</v>
      </c>
      <c r="F337" s="495">
        <v>33.44</v>
      </c>
      <c r="G337" s="495">
        <v>172.24</v>
      </c>
      <c r="H337" s="495">
        <v>0.25</v>
      </c>
      <c r="I337" s="495">
        <v>462.65</v>
      </c>
      <c r="J337" s="494">
        <v>0.2</v>
      </c>
      <c r="K337" s="495">
        <v>92.53</v>
      </c>
      <c r="L337" s="495">
        <v>22.29</v>
      </c>
      <c r="M337" s="495">
        <v>114.82</v>
      </c>
    </row>
    <row r="338" spans="1:13" ht="16.149999999999999" customHeight="1" x14ac:dyDescent="0.25">
      <c r="A338" s="488" t="s">
        <v>841</v>
      </c>
      <c r="B338" s="495">
        <v>0.25</v>
      </c>
      <c r="C338" s="495">
        <v>221.7</v>
      </c>
      <c r="D338" s="494">
        <v>0.3</v>
      </c>
      <c r="E338" s="495">
        <v>66.510000000000005</v>
      </c>
      <c r="F338" s="495">
        <v>16.02</v>
      </c>
      <c r="G338" s="495">
        <v>82.53</v>
      </c>
      <c r="H338" s="495">
        <v>0.25</v>
      </c>
      <c r="I338" s="495">
        <v>231.33</v>
      </c>
      <c r="J338" s="494">
        <v>0.2</v>
      </c>
      <c r="K338" s="495">
        <v>46.27</v>
      </c>
      <c r="L338" s="495">
        <v>11.15</v>
      </c>
      <c r="M338" s="495">
        <v>57.42</v>
      </c>
    </row>
    <row r="339" spans="1:13" ht="16.149999999999999" customHeight="1" x14ac:dyDescent="0.25">
      <c r="A339" s="488" t="s">
        <v>841</v>
      </c>
      <c r="B339" s="495">
        <v>0.14000000000000001</v>
      </c>
      <c r="C339" s="495">
        <v>212.07</v>
      </c>
      <c r="D339" s="494">
        <v>0.3</v>
      </c>
      <c r="E339" s="495">
        <v>63.62</v>
      </c>
      <c r="F339" s="495">
        <v>15.33</v>
      </c>
      <c r="G339" s="495">
        <v>78.95</v>
      </c>
      <c r="H339" s="495">
        <v>0.14000000000000001</v>
      </c>
      <c r="I339" s="495">
        <v>212.05</v>
      </c>
      <c r="J339" s="494">
        <v>0.2</v>
      </c>
      <c r="K339" s="495">
        <v>42.41</v>
      </c>
      <c r="L339" s="495">
        <v>10.220000000000001</v>
      </c>
      <c r="M339" s="495">
        <v>52.629999999999995</v>
      </c>
    </row>
    <row r="340" spans="1:13" ht="16.149999999999999" customHeight="1" x14ac:dyDescent="0.25">
      <c r="A340" s="488" t="s">
        <v>841</v>
      </c>
      <c r="B340" s="495">
        <v>0.5</v>
      </c>
      <c r="C340" s="495">
        <v>1272.3</v>
      </c>
      <c r="D340" s="494">
        <v>0.3</v>
      </c>
      <c r="E340" s="495">
        <v>381.69</v>
      </c>
      <c r="F340" s="495">
        <v>91.95</v>
      </c>
      <c r="G340" s="495">
        <v>473.64</v>
      </c>
      <c r="H340" s="495">
        <v>0.5</v>
      </c>
      <c r="I340" s="495">
        <v>1619.28</v>
      </c>
      <c r="J340" s="494">
        <v>0.2</v>
      </c>
      <c r="K340" s="495">
        <v>323.86</v>
      </c>
      <c r="L340" s="495">
        <v>78.02</v>
      </c>
      <c r="M340" s="495">
        <v>401.88</v>
      </c>
    </row>
    <row r="341" spans="1:13" ht="16.149999999999999" customHeight="1" x14ac:dyDescent="0.25">
      <c r="A341" s="488" t="s">
        <v>841</v>
      </c>
      <c r="B341" s="495">
        <v>1</v>
      </c>
      <c r="C341" s="495">
        <v>1937.37</v>
      </c>
      <c r="D341" s="494">
        <v>0.3</v>
      </c>
      <c r="E341" s="495">
        <v>581.21</v>
      </c>
      <c r="F341" s="495">
        <v>140.01</v>
      </c>
      <c r="G341" s="495">
        <v>721.22</v>
      </c>
      <c r="H341" s="495">
        <v>1</v>
      </c>
      <c r="I341" s="495">
        <v>1763.86</v>
      </c>
      <c r="J341" s="494">
        <v>0.2</v>
      </c>
      <c r="K341" s="495">
        <v>352.77</v>
      </c>
      <c r="L341" s="495">
        <v>84.98</v>
      </c>
      <c r="M341" s="495">
        <v>437.75</v>
      </c>
    </row>
    <row r="342" spans="1:13" ht="16.149999999999999" customHeight="1" x14ac:dyDescent="0.25">
      <c r="A342" s="488" t="s">
        <v>841</v>
      </c>
      <c r="B342" s="495">
        <v>0.5</v>
      </c>
      <c r="C342" s="495">
        <v>857.83</v>
      </c>
      <c r="D342" s="494">
        <v>0.3</v>
      </c>
      <c r="E342" s="495">
        <v>257.35000000000002</v>
      </c>
      <c r="F342" s="495">
        <v>62</v>
      </c>
      <c r="G342" s="495">
        <v>319.35000000000002</v>
      </c>
      <c r="H342" s="495">
        <v>0.5</v>
      </c>
      <c r="I342" s="495">
        <v>1253.02</v>
      </c>
      <c r="J342" s="494">
        <v>0.2</v>
      </c>
      <c r="K342" s="495">
        <v>250.6</v>
      </c>
      <c r="L342" s="495">
        <v>60.37</v>
      </c>
      <c r="M342" s="495">
        <v>310.96999999999997</v>
      </c>
    </row>
    <row r="343" spans="1:13" ht="16.149999999999999" customHeight="1" x14ac:dyDescent="0.25">
      <c r="A343" s="488" t="s">
        <v>841</v>
      </c>
      <c r="B343" s="495">
        <v>0.34</v>
      </c>
      <c r="C343" s="495">
        <v>337.37</v>
      </c>
      <c r="D343" s="494">
        <v>0.3</v>
      </c>
      <c r="E343" s="495">
        <v>101.21</v>
      </c>
      <c r="F343" s="495">
        <v>24.38</v>
      </c>
      <c r="G343" s="495">
        <v>125.58999999999999</v>
      </c>
      <c r="H343" s="495">
        <v>0.34</v>
      </c>
      <c r="I343" s="495">
        <v>510.85</v>
      </c>
      <c r="J343" s="494">
        <v>0.2</v>
      </c>
      <c r="K343" s="495">
        <v>102.17</v>
      </c>
      <c r="L343" s="495">
        <v>24.61</v>
      </c>
      <c r="M343" s="495">
        <v>126.78</v>
      </c>
    </row>
    <row r="344" spans="1:13" s="703" customFormat="1" ht="16.149999999999999" customHeight="1" x14ac:dyDescent="0.25">
      <c r="A344" s="488" t="s">
        <v>841</v>
      </c>
      <c r="B344" s="495">
        <v>0.36</v>
      </c>
      <c r="C344" s="495">
        <v>462.67</v>
      </c>
      <c r="D344" s="494">
        <v>0.3</v>
      </c>
      <c r="E344" s="495">
        <v>138.80000000000001</v>
      </c>
      <c r="F344" s="495">
        <v>33.44</v>
      </c>
      <c r="G344" s="495">
        <v>172.24</v>
      </c>
      <c r="H344" s="495"/>
      <c r="I344" s="495"/>
      <c r="J344" s="494"/>
      <c r="K344" s="495"/>
      <c r="L344" s="495"/>
      <c r="M344" s="495"/>
    </row>
    <row r="345" spans="1:13" ht="16.149999999999999" customHeight="1" x14ac:dyDescent="0.25">
      <c r="A345" s="488" t="s">
        <v>841</v>
      </c>
      <c r="B345" s="495"/>
      <c r="C345" s="495"/>
      <c r="D345" s="494"/>
      <c r="E345" s="495"/>
      <c r="F345" s="495">
        <v>0</v>
      </c>
      <c r="G345" s="495">
        <v>0</v>
      </c>
      <c r="H345" s="495">
        <v>0.18</v>
      </c>
      <c r="I345" s="495">
        <v>232.45</v>
      </c>
      <c r="J345" s="494">
        <v>0.2</v>
      </c>
      <c r="K345" s="495">
        <v>46.49</v>
      </c>
      <c r="L345" s="495">
        <v>11.2</v>
      </c>
      <c r="M345" s="495">
        <v>57.69</v>
      </c>
    </row>
    <row r="346" spans="1:13" ht="16.149999999999999" customHeight="1" x14ac:dyDescent="0.25">
      <c r="A346" s="488" t="s">
        <v>841</v>
      </c>
      <c r="B346" s="495"/>
      <c r="C346" s="495"/>
      <c r="D346" s="494"/>
      <c r="E346" s="495"/>
      <c r="F346" s="495">
        <v>0</v>
      </c>
      <c r="G346" s="495">
        <v>0</v>
      </c>
      <c r="H346" s="495">
        <v>0.35</v>
      </c>
      <c r="I346" s="495">
        <v>490.88</v>
      </c>
      <c r="J346" s="494">
        <v>0.2</v>
      </c>
      <c r="K346" s="495">
        <v>98.18</v>
      </c>
      <c r="L346" s="495">
        <v>23.65</v>
      </c>
      <c r="M346" s="495">
        <v>121.83000000000001</v>
      </c>
    </row>
    <row r="347" spans="1:13" ht="16.149999999999999" customHeight="1" x14ac:dyDescent="0.25">
      <c r="A347" s="488" t="s">
        <v>958</v>
      </c>
      <c r="B347" s="495">
        <v>0.9</v>
      </c>
      <c r="C347" s="495">
        <v>1242.73</v>
      </c>
      <c r="D347" s="494">
        <v>0.3</v>
      </c>
      <c r="E347" s="495">
        <v>372.82</v>
      </c>
      <c r="F347" s="495">
        <v>89.81</v>
      </c>
      <c r="G347" s="495">
        <v>462.63</v>
      </c>
      <c r="H347" s="495"/>
      <c r="I347" s="495"/>
      <c r="J347" s="494"/>
      <c r="K347" s="495"/>
      <c r="L347" s="495"/>
      <c r="M347" s="495"/>
    </row>
    <row r="348" spans="1:13" ht="16.149999999999999" customHeight="1" x14ac:dyDescent="0.25">
      <c r="A348" s="488" t="s">
        <v>842</v>
      </c>
      <c r="B348" s="495"/>
      <c r="C348" s="495"/>
      <c r="D348" s="494"/>
      <c r="E348" s="495"/>
      <c r="F348" s="495">
        <v>0</v>
      </c>
      <c r="G348" s="495">
        <v>0</v>
      </c>
      <c r="H348" s="495">
        <v>0.5</v>
      </c>
      <c r="I348" s="495">
        <v>746</v>
      </c>
      <c r="J348" s="494">
        <v>0.2</v>
      </c>
      <c r="K348" s="495">
        <v>149.19999999999999</v>
      </c>
      <c r="L348" s="495">
        <v>35.94</v>
      </c>
      <c r="M348" s="495">
        <v>185.14</v>
      </c>
    </row>
    <row r="349" spans="1:13" ht="16.149999999999999" customHeight="1" x14ac:dyDescent="0.25">
      <c r="A349" s="488" t="s">
        <v>842</v>
      </c>
      <c r="B349" s="495"/>
      <c r="C349" s="495"/>
      <c r="D349" s="494"/>
      <c r="E349" s="495"/>
      <c r="F349" s="495">
        <v>0</v>
      </c>
      <c r="G349" s="495">
        <v>0</v>
      </c>
      <c r="H349" s="495">
        <v>1</v>
      </c>
      <c r="I349" s="495">
        <v>1480</v>
      </c>
      <c r="J349" s="494">
        <v>0.2</v>
      </c>
      <c r="K349" s="495">
        <v>296</v>
      </c>
      <c r="L349" s="495">
        <v>71.31</v>
      </c>
      <c r="M349" s="495">
        <v>367.31</v>
      </c>
    </row>
    <row r="350" spans="1:13" ht="16.149999999999999" customHeight="1" x14ac:dyDescent="0.25">
      <c r="A350" s="488" t="s">
        <v>842</v>
      </c>
      <c r="B350" s="495"/>
      <c r="C350" s="495"/>
      <c r="D350" s="494"/>
      <c r="E350" s="495"/>
      <c r="F350" s="495">
        <v>0</v>
      </c>
      <c r="G350" s="495">
        <v>0</v>
      </c>
      <c r="H350" s="495">
        <v>0.75</v>
      </c>
      <c r="I350" s="495">
        <v>965.66</v>
      </c>
      <c r="J350" s="494">
        <v>0.2</v>
      </c>
      <c r="K350" s="495">
        <v>193.13</v>
      </c>
      <c r="L350" s="495">
        <v>46.53</v>
      </c>
      <c r="M350" s="495">
        <v>239.66</v>
      </c>
    </row>
    <row r="351" spans="1:13" ht="16.149999999999999" customHeight="1" x14ac:dyDescent="0.25">
      <c r="A351" s="488" t="s">
        <v>842</v>
      </c>
      <c r="B351" s="495"/>
      <c r="C351" s="495"/>
      <c r="D351" s="494"/>
      <c r="E351" s="495"/>
      <c r="F351" s="495">
        <v>0</v>
      </c>
      <c r="G351" s="495">
        <v>0</v>
      </c>
      <c r="H351" s="495">
        <v>1</v>
      </c>
      <c r="I351" s="495">
        <v>1429.5</v>
      </c>
      <c r="J351" s="494">
        <v>0.2</v>
      </c>
      <c r="K351" s="495">
        <v>285.89999999999998</v>
      </c>
      <c r="L351" s="495">
        <v>68.87</v>
      </c>
      <c r="M351" s="495">
        <v>354.77</v>
      </c>
    </row>
    <row r="352" spans="1:13" ht="16.149999999999999" customHeight="1" x14ac:dyDescent="0.25">
      <c r="A352" s="488" t="s">
        <v>842</v>
      </c>
      <c r="B352" s="495"/>
      <c r="C352" s="495"/>
      <c r="D352" s="494"/>
      <c r="E352" s="495"/>
      <c r="F352" s="495">
        <v>0</v>
      </c>
      <c r="G352" s="495">
        <v>0</v>
      </c>
      <c r="H352" s="495">
        <v>1</v>
      </c>
      <c r="I352" s="495">
        <v>494.43</v>
      </c>
      <c r="J352" s="494">
        <v>0.2</v>
      </c>
      <c r="K352" s="495">
        <v>98.89</v>
      </c>
      <c r="L352" s="495">
        <v>23.82</v>
      </c>
      <c r="M352" s="495">
        <v>122.71000000000001</v>
      </c>
    </row>
    <row r="353" spans="1:13" ht="16.149999999999999" customHeight="1" x14ac:dyDescent="0.25">
      <c r="A353" s="488" t="s">
        <v>842</v>
      </c>
      <c r="B353" s="495"/>
      <c r="C353" s="495"/>
      <c r="D353" s="494"/>
      <c r="E353" s="495"/>
      <c r="F353" s="495">
        <v>0</v>
      </c>
      <c r="G353" s="495">
        <v>0</v>
      </c>
      <c r="H353" s="495">
        <v>0.5</v>
      </c>
      <c r="I353" s="495">
        <v>635.86</v>
      </c>
      <c r="J353" s="494">
        <v>0.2</v>
      </c>
      <c r="K353" s="495">
        <v>127.17</v>
      </c>
      <c r="L353" s="495">
        <v>30.64</v>
      </c>
      <c r="M353" s="495">
        <v>157.81</v>
      </c>
    </row>
    <row r="354" spans="1:13" ht="16.149999999999999" customHeight="1" x14ac:dyDescent="0.25">
      <c r="A354" s="488" t="s">
        <v>842</v>
      </c>
      <c r="B354" s="495"/>
      <c r="C354" s="495"/>
      <c r="D354" s="494"/>
      <c r="E354" s="495"/>
      <c r="F354" s="495">
        <v>0</v>
      </c>
      <c r="G354" s="495">
        <v>0</v>
      </c>
      <c r="H354" s="495">
        <v>1</v>
      </c>
      <c r="I354" s="495">
        <v>1225.5</v>
      </c>
      <c r="J354" s="494">
        <v>0.2</v>
      </c>
      <c r="K354" s="495">
        <v>245.1</v>
      </c>
      <c r="L354" s="495">
        <v>59.04</v>
      </c>
      <c r="M354" s="495">
        <v>304.14</v>
      </c>
    </row>
    <row r="355" spans="1:13" ht="27.75" customHeight="1" x14ac:dyDescent="0.25">
      <c r="A355" s="488" t="s">
        <v>842</v>
      </c>
      <c r="B355" s="495"/>
      <c r="C355" s="495"/>
      <c r="D355" s="494"/>
      <c r="E355" s="495"/>
      <c r="F355" s="495">
        <v>0</v>
      </c>
      <c r="G355" s="495">
        <v>0</v>
      </c>
      <c r="H355" s="495">
        <v>1</v>
      </c>
      <c r="I355" s="495">
        <v>1437</v>
      </c>
      <c r="J355" s="494">
        <v>0.2</v>
      </c>
      <c r="K355" s="495">
        <v>287.39999999999998</v>
      </c>
      <c r="L355" s="495">
        <v>69.23</v>
      </c>
      <c r="M355" s="495">
        <v>356.63</v>
      </c>
    </row>
    <row r="356" spans="1:13" ht="16.149999999999999" customHeight="1" x14ac:dyDescent="0.25">
      <c r="A356" s="488" t="s">
        <v>842</v>
      </c>
      <c r="B356" s="495"/>
      <c r="C356" s="495"/>
      <c r="D356" s="494"/>
      <c r="E356" s="495"/>
      <c r="F356" s="495">
        <v>0</v>
      </c>
      <c r="G356" s="495">
        <v>0</v>
      </c>
      <c r="H356" s="495">
        <v>1</v>
      </c>
      <c r="I356" s="495">
        <v>1597</v>
      </c>
      <c r="J356" s="494">
        <v>0.2</v>
      </c>
      <c r="K356" s="495">
        <v>319.39999999999998</v>
      </c>
      <c r="L356" s="495">
        <v>76.94</v>
      </c>
      <c r="M356" s="495">
        <v>396.34</v>
      </c>
    </row>
    <row r="357" spans="1:13" ht="16.149999999999999" customHeight="1" x14ac:dyDescent="0.25">
      <c r="A357" s="488" t="s">
        <v>843</v>
      </c>
      <c r="B357" s="495"/>
      <c r="C357" s="495"/>
      <c r="D357" s="494"/>
      <c r="E357" s="495"/>
      <c r="F357" s="495">
        <v>0</v>
      </c>
      <c r="G357" s="495">
        <v>0</v>
      </c>
      <c r="H357" s="495">
        <v>1</v>
      </c>
      <c r="I357" s="495">
        <v>1407</v>
      </c>
      <c r="J357" s="494">
        <v>0.2</v>
      </c>
      <c r="K357" s="495">
        <v>281.39999999999998</v>
      </c>
      <c r="L357" s="495">
        <v>67.790000000000006</v>
      </c>
      <c r="M357" s="495">
        <v>349.19</v>
      </c>
    </row>
    <row r="358" spans="1:13" ht="16.149999999999999" customHeight="1" x14ac:dyDescent="0.25">
      <c r="A358" s="488" t="s">
        <v>844</v>
      </c>
      <c r="B358" s="495">
        <v>1</v>
      </c>
      <c r="C358" s="495">
        <v>1500.18</v>
      </c>
      <c r="D358" s="494">
        <v>0.5</v>
      </c>
      <c r="E358" s="495">
        <v>750.09</v>
      </c>
      <c r="F358" s="495">
        <v>180.7</v>
      </c>
      <c r="G358" s="495">
        <v>930.79</v>
      </c>
      <c r="H358" s="495">
        <v>1</v>
      </c>
      <c r="I358" s="495">
        <v>1346.74</v>
      </c>
      <c r="J358" s="494">
        <v>0.2</v>
      </c>
      <c r="K358" s="495">
        <v>269.35000000000002</v>
      </c>
      <c r="L358" s="495">
        <v>64.89</v>
      </c>
      <c r="M358" s="495">
        <v>334.24</v>
      </c>
    </row>
    <row r="359" spans="1:13" ht="16.149999999999999" customHeight="1" x14ac:dyDescent="0.25">
      <c r="A359" s="488" t="s">
        <v>844</v>
      </c>
      <c r="B359" s="495">
        <v>1</v>
      </c>
      <c r="C359" s="495">
        <v>1492</v>
      </c>
      <c r="D359" s="494">
        <v>0.5</v>
      </c>
      <c r="E359" s="495">
        <v>746</v>
      </c>
      <c r="F359" s="495">
        <v>179.71</v>
      </c>
      <c r="G359" s="495">
        <v>925.71</v>
      </c>
      <c r="H359" s="495">
        <v>1</v>
      </c>
      <c r="I359" s="495">
        <v>1492</v>
      </c>
      <c r="J359" s="494">
        <v>0.2</v>
      </c>
      <c r="K359" s="495">
        <v>298.39999999999998</v>
      </c>
      <c r="L359" s="495">
        <v>71.88</v>
      </c>
      <c r="M359" s="495">
        <v>370.28</v>
      </c>
    </row>
    <row r="360" spans="1:13" ht="16.149999999999999" customHeight="1" x14ac:dyDescent="0.25">
      <c r="A360" s="488" t="s">
        <v>844</v>
      </c>
      <c r="B360" s="495">
        <v>1</v>
      </c>
      <c r="C360" s="495">
        <v>1350.68</v>
      </c>
      <c r="D360" s="494">
        <v>0.5</v>
      </c>
      <c r="E360" s="495">
        <v>675.34</v>
      </c>
      <c r="F360" s="495">
        <v>162.69</v>
      </c>
      <c r="G360" s="495">
        <v>838.03</v>
      </c>
      <c r="H360" s="495">
        <v>1</v>
      </c>
      <c r="I360" s="495">
        <v>922.11</v>
      </c>
      <c r="J360" s="494">
        <v>0.2</v>
      </c>
      <c r="K360" s="495">
        <v>184.42</v>
      </c>
      <c r="L360" s="495">
        <v>44.43</v>
      </c>
      <c r="M360" s="495">
        <v>228.85</v>
      </c>
    </row>
    <row r="361" spans="1:13" ht="16.149999999999999" customHeight="1" x14ac:dyDescent="0.25">
      <c r="A361" s="488" t="s">
        <v>844</v>
      </c>
      <c r="B361" s="495">
        <v>1</v>
      </c>
      <c r="C361" s="495">
        <v>1424.18</v>
      </c>
      <c r="D361" s="494">
        <v>0.5</v>
      </c>
      <c r="E361" s="495">
        <v>712.09</v>
      </c>
      <c r="F361" s="495">
        <v>171.54</v>
      </c>
      <c r="G361" s="495">
        <v>883.63</v>
      </c>
      <c r="H361" s="495">
        <v>1</v>
      </c>
      <c r="I361" s="495">
        <v>1492</v>
      </c>
      <c r="J361" s="494">
        <v>0.2</v>
      </c>
      <c r="K361" s="495">
        <v>298.39999999999998</v>
      </c>
      <c r="L361" s="495">
        <v>71.88</v>
      </c>
      <c r="M361" s="495">
        <v>370.28</v>
      </c>
    </row>
    <row r="362" spans="1:13" ht="16.149999999999999" customHeight="1" x14ac:dyDescent="0.25">
      <c r="A362" s="488" t="s">
        <v>845</v>
      </c>
      <c r="B362" s="495">
        <v>1</v>
      </c>
      <c r="C362" s="495">
        <v>1353</v>
      </c>
      <c r="D362" s="494">
        <v>0.5</v>
      </c>
      <c r="E362" s="495">
        <v>676.5</v>
      </c>
      <c r="F362" s="495">
        <v>162.97</v>
      </c>
      <c r="G362" s="495">
        <v>839.47</v>
      </c>
      <c r="H362" s="495">
        <v>1</v>
      </c>
      <c r="I362" s="495">
        <v>1353</v>
      </c>
      <c r="J362" s="494">
        <v>0.2</v>
      </c>
      <c r="K362" s="495">
        <v>270.60000000000002</v>
      </c>
      <c r="L362" s="495">
        <v>65.19</v>
      </c>
      <c r="M362" s="495">
        <v>335.79</v>
      </c>
    </row>
    <row r="363" spans="1:13" ht="16.149999999999999" customHeight="1" x14ac:dyDescent="0.25">
      <c r="A363" s="488" t="s">
        <v>959</v>
      </c>
      <c r="B363" s="495">
        <v>1</v>
      </c>
      <c r="C363" s="495">
        <v>1028.24</v>
      </c>
      <c r="D363" s="494">
        <v>0.5</v>
      </c>
      <c r="E363" s="495">
        <v>514.12</v>
      </c>
      <c r="F363" s="495">
        <v>123.85</v>
      </c>
      <c r="G363" s="495">
        <v>637.97</v>
      </c>
      <c r="H363" s="495"/>
      <c r="I363" s="495"/>
      <c r="J363" s="494"/>
      <c r="K363" s="495"/>
      <c r="L363" s="495"/>
      <c r="M363" s="495"/>
    </row>
    <row r="364" spans="1:13" ht="16.149999999999999" customHeight="1" x14ac:dyDescent="0.25">
      <c r="A364" s="488" t="s">
        <v>846</v>
      </c>
      <c r="B364" s="495"/>
      <c r="C364" s="495"/>
      <c r="D364" s="494"/>
      <c r="E364" s="495"/>
      <c r="F364" s="495">
        <v>0</v>
      </c>
      <c r="G364" s="495">
        <v>0</v>
      </c>
      <c r="H364" s="495">
        <v>0.75</v>
      </c>
      <c r="I364" s="495">
        <v>865.14</v>
      </c>
      <c r="J364" s="494">
        <v>0.2</v>
      </c>
      <c r="K364" s="495">
        <v>173.03</v>
      </c>
      <c r="L364" s="495">
        <v>41.68</v>
      </c>
      <c r="M364" s="495">
        <v>214.71</v>
      </c>
    </row>
    <row r="365" spans="1:13" ht="16.149999999999999" customHeight="1" x14ac:dyDescent="0.25">
      <c r="A365" s="488" t="s">
        <v>374</v>
      </c>
      <c r="B365" s="495">
        <v>0.75</v>
      </c>
      <c r="C365" s="495">
        <v>233.23</v>
      </c>
      <c r="D365" s="494">
        <v>0.3</v>
      </c>
      <c r="E365" s="495">
        <v>69.97</v>
      </c>
      <c r="F365" s="495">
        <v>16.86</v>
      </c>
      <c r="G365" s="495">
        <v>86.83</v>
      </c>
      <c r="H365" s="495"/>
      <c r="I365" s="495"/>
      <c r="J365" s="494"/>
      <c r="K365" s="495"/>
      <c r="L365" s="495"/>
      <c r="M365" s="495"/>
    </row>
    <row r="366" spans="1:13" ht="16.149999999999999" customHeight="1" x14ac:dyDescent="0.25">
      <c r="A366" s="488" t="s">
        <v>374</v>
      </c>
      <c r="B366" s="495">
        <v>0.75</v>
      </c>
      <c r="C366" s="495">
        <v>606.4</v>
      </c>
      <c r="D366" s="494">
        <v>0.3</v>
      </c>
      <c r="E366" s="495">
        <v>181.92</v>
      </c>
      <c r="F366" s="495">
        <v>43.82</v>
      </c>
      <c r="G366" s="495">
        <v>225.73999999999998</v>
      </c>
      <c r="H366" s="495">
        <v>0.75</v>
      </c>
      <c r="I366" s="495">
        <v>870.73</v>
      </c>
      <c r="J366" s="494">
        <v>0.2</v>
      </c>
      <c r="K366" s="495">
        <v>174.15</v>
      </c>
      <c r="L366" s="495">
        <v>41.95</v>
      </c>
      <c r="M366" s="495">
        <v>216.10000000000002</v>
      </c>
    </row>
    <row r="367" spans="1:13" ht="16.149999999999999" customHeight="1" x14ac:dyDescent="0.25">
      <c r="A367" s="488" t="s">
        <v>847</v>
      </c>
      <c r="B367" s="495"/>
      <c r="C367" s="495"/>
      <c r="D367" s="494"/>
      <c r="E367" s="495"/>
      <c r="F367" s="495">
        <v>0</v>
      </c>
      <c r="G367" s="495">
        <v>0</v>
      </c>
      <c r="H367" s="495">
        <v>0.5</v>
      </c>
      <c r="I367" s="495">
        <v>706.5</v>
      </c>
      <c r="J367" s="494">
        <v>0.2</v>
      </c>
      <c r="K367" s="495">
        <v>141.30000000000001</v>
      </c>
      <c r="L367" s="495">
        <v>34.04</v>
      </c>
      <c r="M367" s="495">
        <v>175.34</v>
      </c>
    </row>
    <row r="368" spans="1:13" ht="16.149999999999999" customHeight="1" x14ac:dyDescent="0.25">
      <c r="A368" s="488" t="s">
        <v>847</v>
      </c>
      <c r="B368" s="495"/>
      <c r="C368" s="495"/>
      <c r="D368" s="494"/>
      <c r="E368" s="495"/>
      <c r="F368" s="495">
        <v>0</v>
      </c>
      <c r="G368" s="495">
        <v>0</v>
      </c>
      <c r="H368" s="495">
        <v>1</v>
      </c>
      <c r="I368" s="495">
        <v>1134.68</v>
      </c>
      <c r="J368" s="494">
        <v>0.2</v>
      </c>
      <c r="K368" s="495">
        <v>226.94</v>
      </c>
      <c r="L368" s="495">
        <v>54.67</v>
      </c>
      <c r="M368" s="495">
        <v>281.61</v>
      </c>
    </row>
    <row r="369" spans="1:13" ht="16.149999999999999" customHeight="1" x14ac:dyDescent="0.25">
      <c r="A369" s="488" t="s">
        <v>847</v>
      </c>
      <c r="B369" s="495"/>
      <c r="C369" s="495"/>
      <c r="D369" s="494"/>
      <c r="E369" s="495"/>
      <c r="F369" s="495">
        <v>0</v>
      </c>
      <c r="G369" s="495">
        <v>0</v>
      </c>
      <c r="H369" s="495">
        <v>1</v>
      </c>
      <c r="I369" s="495">
        <v>1328</v>
      </c>
      <c r="J369" s="494">
        <v>0.2</v>
      </c>
      <c r="K369" s="495">
        <v>265.60000000000002</v>
      </c>
      <c r="L369" s="495">
        <v>63.98</v>
      </c>
      <c r="M369" s="495">
        <v>329.58000000000004</v>
      </c>
    </row>
    <row r="370" spans="1:13" ht="16.149999999999999" customHeight="1" x14ac:dyDescent="0.25">
      <c r="A370" s="488" t="s">
        <v>847</v>
      </c>
      <c r="B370" s="495"/>
      <c r="C370" s="495"/>
      <c r="D370" s="494"/>
      <c r="E370" s="495"/>
      <c r="F370" s="495">
        <v>0</v>
      </c>
      <c r="G370" s="495">
        <v>0</v>
      </c>
      <c r="H370" s="495">
        <v>1</v>
      </c>
      <c r="I370" s="495">
        <v>1328</v>
      </c>
      <c r="J370" s="494">
        <v>0.2</v>
      </c>
      <c r="K370" s="495">
        <v>265.60000000000002</v>
      </c>
      <c r="L370" s="495">
        <v>63.98</v>
      </c>
      <c r="M370" s="495">
        <v>329.58000000000004</v>
      </c>
    </row>
    <row r="371" spans="1:13" ht="16.149999999999999" customHeight="1" x14ac:dyDescent="0.25">
      <c r="A371" s="488" t="s">
        <v>847</v>
      </c>
      <c r="B371" s="495"/>
      <c r="C371" s="495"/>
      <c r="D371" s="494"/>
      <c r="E371" s="495"/>
      <c r="F371" s="495">
        <v>0</v>
      </c>
      <c r="G371" s="495">
        <v>0</v>
      </c>
      <c r="H371" s="495">
        <v>1</v>
      </c>
      <c r="I371" s="495">
        <v>915.4</v>
      </c>
      <c r="J371" s="494">
        <v>0.2</v>
      </c>
      <c r="K371" s="495">
        <v>183.08</v>
      </c>
      <c r="L371" s="495">
        <v>44.1</v>
      </c>
      <c r="M371" s="495">
        <v>227.18</v>
      </c>
    </row>
    <row r="372" spans="1:13" ht="16.149999999999999" customHeight="1" x14ac:dyDescent="0.25">
      <c r="A372" s="488" t="s">
        <v>847</v>
      </c>
      <c r="B372" s="495"/>
      <c r="C372" s="495"/>
      <c r="D372" s="494"/>
      <c r="E372" s="495"/>
      <c r="F372" s="495">
        <v>0</v>
      </c>
      <c r="G372" s="495">
        <v>0</v>
      </c>
      <c r="H372" s="495">
        <v>1</v>
      </c>
      <c r="I372" s="495">
        <v>915.4</v>
      </c>
      <c r="J372" s="494">
        <v>0.2</v>
      </c>
      <c r="K372" s="495">
        <v>183.08</v>
      </c>
      <c r="L372" s="495">
        <v>44.1</v>
      </c>
      <c r="M372" s="495">
        <v>227.18</v>
      </c>
    </row>
    <row r="373" spans="1:13" ht="16.149999999999999" customHeight="1" x14ac:dyDescent="0.25">
      <c r="A373" s="488" t="s">
        <v>847</v>
      </c>
      <c r="B373" s="495"/>
      <c r="C373" s="495"/>
      <c r="D373" s="494"/>
      <c r="E373" s="495"/>
      <c r="F373" s="495">
        <v>0</v>
      </c>
      <c r="G373" s="495">
        <v>0</v>
      </c>
      <c r="H373" s="495">
        <v>1</v>
      </c>
      <c r="I373" s="495">
        <v>1413</v>
      </c>
      <c r="J373" s="494">
        <v>0.2</v>
      </c>
      <c r="K373" s="495">
        <v>282.60000000000002</v>
      </c>
      <c r="L373" s="495">
        <v>68.08</v>
      </c>
      <c r="M373" s="495">
        <v>350.68</v>
      </c>
    </row>
    <row r="374" spans="1:13" ht="16.149999999999999" customHeight="1" x14ac:dyDescent="0.25">
      <c r="A374" s="488" t="s">
        <v>847</v>
      </c>
      <c r="B374" s="495"/>
      <c r="C374" s="495"/>
      <c r="D374" s="494"/>
      <c r="E374" s="495"/>
      <c r="F374" s="495">
        <v>0</v>
      </c>
      <c r="G374" s="495">
        <v>0</v>
      </c>
      <c r="H374" s="495">
        <v>0.5</v>
      </c>
      <c r="I374" s="495">
        <v>707.12</v>
      </c>
      <c r="J374" s="494">
        <v>0.2</v>
      </c>
      <c r="K374" s="495">
        <v>141.41999999999999</v>
      </c>
      <c r="L374" s="495">
        <v>34.07</v>
      </c>
      <c r="M374" s="495">
        <v>175.48999999999998</v>
      </c>
    </row>
    <row r="375" spans="1:13" ht="16.149999999999999" customHeight="1" x14ac:dyDescent="0.25">
      <c r="A375" s="488" t="s">
        <v>848</v>
      </c>
      <c r="B375" s="495">
        <v>0.75</v>
      </c>
      <c r="C375" s="495">
        <v>1026.23</v>
      </c>
      <c r="D375" s="494">
        <v>0.3</v>
      </c>
      <c r="E375" s="495">
        <v>307.87</v>
      </c>
      <c r="F375" s="495">
        <v>74.17</v>
      </c>
      <c r="G375" s="495">
        <v>382.04</v>
      </c>
      <c r="H375" s="495">
        <v>0.75</v>
      </c>
      <c r="I375" s="495">
        <v>921.27</v>
      </c>
      <c r="J375" s="494">
        <v>0.2</v>
      </c>
      <c r="K375" s="495">
        <v>184.25</v>
      </c>
      <c r="L375" s="495">
        <v>44.39</v>
      </c>
      <c r="M375" s="495">
        <v>228.64</v>
      </c>
    </row>
    <row r="376" spans="1:13" ht="16.149999999999999" customHeight="1" x14ac:dyDescent="0.25">
      <c r="A376" s="488" t="s">
        <v>848</v>
      </c>
      <c r="B376" s="495"/>
      <c r="C376" s="495"/>
      <c r="D376" s="494"/>
      <c r="E376" s="495"/>
      <c r="F376" s="495">
        <v>0</v>
      </c>
      <c r="G376" s="495">
        <v>0</v>
      </c>
      <c r="H376" s="495">
        <v>0.5</v>
      </c>
      <c r="I376" s="495">
        <v>1252.3699999999999</v>
      </c>
      <c r="J376" s="494">
        <v>0.2</v>
      </c>
      <c r="K376" s="495">
        <v>250.47</v>
      </c>
      <c r="L376" s="495">
        <v>60.34</v>
      </c>
      <c r="M376" s="495">
        <v>310.81</v>
      </c>
    </row>
    <row r="377" spans="1:13" ht="16.149999999999999" customHeight="1" x14ac:dyDescent="0.25">
      <c r="A377" s="488" t="s">
        <v>848</v>
      </c>
      <c r="B377" s="495"/>
      <c r="C377" s="495"/>
      <c r="D377" s="494"/>
      <c r="E377" s="495"/>
      <c r="F377" s="495">
        <v>0</v>
      </c>
      <c r="G377" s="495">
        <v>0</v>
      </c>
      <c r="H377" s="495">
        <v>0.5</v>
      </c>
      <c r="I377" s="495">
        <v>912.05</v>
      </c>
      <c r="J377" s="494">
        <v>0.2</v>
      </c>
      <c r="K377" s="495">
        <v>182.41</v>
      </c>
      <c r="L377" s="495">
        <v>43.94</v>
      </c>
      <c r="M377" s="495">
        <v>226.35</v>
      </c>
    </row>
    <row r="378" spans="1:13" ht="16.149999999999999" customHeight="1" x14ac:dyDescent="0.25">
      <c r="A378" s="488" t="s">
        <v>658</v>
      </c>
      <c r="B378" s="495">
        <v>0.25</v>
      </c>
      <c r="C378" s="495">
        <v>303.13</v>
      </c>
      <c r="D378" s="494">
        <v>0.3</v>
      </c>
      <c r="E378" s="495">
        <v>90.94</v>
      </c>
      <c r="F378" s="495">
        <v>21.91</v>
      </c>
      <c r="G378" s="495">
        <v>112.85</v>
      </c>
      <c r="H378" s="495">
        <v>0.25</v>
      </c>
      <c r="I378" s="495">
        <v>334.58</v>
      </c>
      <c r="J378" s="494">
        <v>0.2</v>
      </c>
      <c r="K378" s="495">
        <v>66.92</v>
      </c>
      <c r="L378" s="495">
        <v>16.12</v>
      </c>
      <c r="M378" s="495">
        <v>83.04</v>
      </c>
    </row>
    <row r="379" spans="1:13" ht="16.149999999999999" customHeight="1" x14ac:dyDescent="0.25">
      <c r="A379" s="488" t="s">
        <v>658</v>
      </c>
      <c r="B379" s="495">
        <v>0.5</v>
      </c>
      <c r="C379" s="495">
        <v>701</v>
      </c>
      <c r="D379" s="494">
        <v>0.3</v>
      </c>
      <c r="E379" s="495">
        <v>210.3</v>
      </c>
      <c r="F379" s="495">
        <v>50.66</v>
      </c>
      <c r="G379" s="495">
        <v>260.96000000000004</v>
      </c>
      <c r="H379" s="495">
        <v>0.5</v>
      </c>
      <c r="I379" s="495">
        <v>708.99</v>
      </c>
      <c r="J379" s="494">
        <v>0.2</v>
      </c>
      <c r="K379" s="495">
        <v>141.80000000000001</v>
      </c>
      <c r="L379" s="495">
        <v>34.159999999999997</v>
      </c>
      <c r="M379" s="495">
        <v>175.96</v>
      </c>
    </row>
    <row r="380" spans="1:13" ht="16.149999999999999" customHeight="1" x14ac:dyDescent="0.25">
      <c r="A380" s="488" t="s">
        <v>658</v>
      </c>
      <c r="B380" s="495">
        <v>0.25</v>
      </c>
      <c r="C380" s="495">
        <v>303.13</v>
      </c>
      <c r="D380" s="494">
        <v>0.3</v>
      </c>
      <c r="E380" s="495">
        <v>90.94</v>
      </c>
      <c r="F380" s="495">
        <v>21.91</v>
      </c>
      <c r="G380" s="495">
        <v>112.85</v>
      </c>
      <c r="H380" s="495">
        <v>0.25</v>
      </c>
      <c r="I380" s="495">
        <v>286.77999999999997</v>
      </c>
      <c r="J380" s="494">
        <v>0.2</v>
      </c>
      <c r="K380" s="495">
        <v>57.36</v>
      </c>
      <c r="L380" s="495">
        <v>13.82</v>
      </c>
      <c r="M380" s="495">
        <v>71.180000000000007</v>
      </c>
    </row>
    <row r="381" spans="1:13" ht="16.149999999999999" customHeight="1" x14ac:dyDescent="0.25">
      <c r="A381" s="488" t="s">
        <v>658</v>
      </c>
      <c r="B381" s="495">
        <v>0.25</v>
      </c>
      <c r="C381" s="495">
        <v>351</v>
      </c>
      <c r="D381" s="494">
        <v>0.3</v>
      </c>
      <c r="E381" s="495">
        <v>105.3</v>
      </c>
      <c r="F381" s="495">
        <v>25.37</v>
      </c>
      <c r="G381" s="495">
        <v>130.66999999999999</v>
      </c>
      <c r="H381" s="495">
        <v>0.25</v>
      </c>
      <c r="I381" s="495">
        <v>430.17</v>
      </c>
      <c r="J381" s="494">
        <v>0.2</v>
      </c>
      <c r="K381" s="495">
        <v>86.03</v>
      </c>
      <c r="L381" s="495">
        <v>20.72</v>
      </c>
      <c r="M381" s="495">
        <v>106.75</v>
      </c>
    </row>
    <row r="382" spans="1:13" ht="16.149999999999999" customHeight="1" x14ac:dyDescent="0.25">
      <c r="A382" s="488" t="s">
        <v>658</v>
      </c>
      <c r="B382" s="495">
        <v>0.5</v>
      </c>
      <c r="C382" s="495">
        <v>701</v>
      </c>
      <c r="D382" s="494">
        <v>0.3</v>
      </c>
      <c r="E382" s="495">
        <v>210.3</v>
      </c>
      <c r="F382" s="495">
        <v>50.66</v>
      </c>
      <c r="G382" s="495">
        <v>260.96000000000004</v>
      </c>
      <c r="H382" s="495">
        <v>0.5</v>
      </c>
      <c r="I382" s="495">
        <v>334.58</v>
      </c>
      <c r="J382" s="494">
        <v>0.2</v>
      </c>
      <c r="K382" s="495">
        <v>66.92</v>
      </c>
      <c r="L382" s="495">
        <v>16.12</v>
      </c>
      <c r="M382" s="495">
        <v>83.04</v>
      </c>
    </row>
    <row r="383" spans="1:13" ht="16.149999999999999" customHeight="1" x14ac:dyDescent="0.25">
      <c r="A383" s="488" t="s">
        <v>658</v>
      </c>
      <c r="B383" s="495">
        <v>0.1</v>
      </c>
      <c r="C383" s="495">
        <v>351</v>
      </c>
      <c r="D383" s="494">
        <v>0.3</v>
      </c>
      <c r="E383" s="495">
        <v>105.3</v>
      </c>
      <c r="F383" s="495">
        <v>25.37</v>
      </c>
      <c r="G383" s="495">
        <v>130.66999999999999</v>
      </c>
      <c r="H383" s="495">
        <v>0.1</v>
      </c>
      <c r="I383" s="495">
        <v>358.48</v>
      </c>
      <c r="J383" s="494">
        <v>0.2</v>
      </c>
      <c r="K383" s="495">
        <v>71.7</v>
      </c>
      <c r="L383" s="495">
        <v>17.27</v>
      </c>
      <c r="M383" s="495">
        <v>88.97</v>
      </c>
    </row>
    <row r="384" spans="1:13" ht="16.149999999999999" customHeight="1" x14ac:dyDescent="0.25">
      <c r="A384" s="488" t="s">
        <v>658</v>
      </c>
      <c r="B384" s="495">
        <v>0.25</v>
      </c>
      <c r="C384" s="495">
        <v>287.17</v>
      </c>
      <c r="D384" s="494">
        <v>0.3</v>
      </c>
      <c r="E384" s="495">
        <v>86.15</v>
      </c>
      <c r="F384" s="495">
        <v>20.75</v>
      </c>
      <c r="G384" s="495">
        <v>106.9</v>
      </c>
      <c r="H384" s="495">
        <v>0.25</v>
      </c>
      <c r="I384" s="495">
        <v>382.38</v>
      </c>
      <c r="J384" s="494">
        <v>0.2</v>
      </c>
      <c r="K384" s="495">
        <v>76.48</v>
      </c>
      <c r="L384" s="495">
        <v>18.420000000000002</v>
      </c>
      <c r="M384" s="495">
        <v>94.9</v>
      </c>
    </row>
    <row r="385" spans="1:13" ht="16.149999999999999" customHeight="1" x14ac:dyDescent="0.25">
      <c r="A385" s="488" t="s">
        <v>658</v>
      </c>
      <c r="B385" s="495">
        <v>0.25</v>
      </c>
      <c r="C385" s="495">
        <v>351</v>
      </c>
      <c r="D385" s="494">
        <v>0.3</v>
      </c>
      <c r="E385" s="495">
        <v>105.3</v>
      </c>
      <c r="F385" s="495">
        <v>25.37</v>
      </c>
      <c r="G385" s="495">
        <v>130.66999999999999</v>
      </c>
      <c r="H385" s="495">
        <v>0.25</v>
      </c>
      <c r="I385" s="495">
        <v>454.07</v>
      </c>
      <c r="J385" s="494">
        <v>0.2</v>
      </c>
      <c r="K385" s="495">
        <v>90.81</v>
      </c>
      <c r="L385" s="495">
        <v>21.88</v>
      </c>
      <c r="M385" s="495">
        <v>112.69</v>
      </c>
    </row>
    <row r="386" spans="1:13" ht="16.149999999999999" customHeight="1" x14ac:dyDescent="0.25">
      <c r="A386" s="488" t="s">
        <v>658</v>
      </c>
      <c r="B386" s="495">
        <v>0.25</v>
      </c>
      <c r="C386" s="495">
        <v>351</v>
      </c>
      <c r="D386" s="494">
        <v>0.3</v>
      </c>
      <c r="E386" s="495">
        <v>105.3</v>
      </c>
      <c r="F386" s="495">
        <v>25.37</v>
      </c>
      <c r="G386" s="495">
        <v>130.66999999999999</v>
      </c>
      <c r="H386" s="495">
        <v>0.25</v>
      </c>
      <c r="I386" s="495">
        <v>430.17</v>
      </c>
      <c r="J386" s="494">
        <v>0.2</v>
      </c>
      <c r="K386" s="495">
        <v>86.03</v>
      </c>
      <c r="L386" s="495">
        <v>20.72</v>
      </c>
      <c r="M386" s="495">
        <v>106.75</v>
      </c>
    </row>
    <row r="387" spans="1:13" ht="16.149999999999999" customHeight="1" x14ac:dyDescent="0.25">
      <c r="A387" s="488" t="s">
        <v>658</v>
      </c>
      <c r="B387" s="495">
        <v>0.25</v>
      </c>
      <c r="C387" s="495">
        <v>351</v>
      </c>
      <c r="D387" s="494">
        <v>0.3</v>
      </c>
      <c r="E387" s="495">
        <v>105.3</v>
      </c>
      <c r="F387" s="495">
        <v>25.37</v>
      </c>
      <c r="G387" s="495">
        <v>130.66999999999999</v>
      </c>
      <c r="H387" s="495">
        <v>0.25</v>
      </c>
      <c r="I387" s="495">
        <v>310.68</v>
      </c>
      <c r="J387" s="494">
        <v>0.2</v>
      </c>
      <c r="K387" s="495">
        <v>62.14</v>
      </c>
      <c r="L387" s="495">
        <v>14.97</v>
      </c>
      <c r="M387" s="495">
        <v>77.11</v>
      </c>
    </row>
    <row r="388" spans="1:13" ht="16.149999999999999" customHeight="1" x14ac:dyDescent="0.25">
      <c r="A388" s="488" t="s">
        <v>658</v>
      </c>
      <c r="B388" s="495">
        <v>0.25</v>
      </c>
      <c r="C388" s="495">
        <v>351</v>
      </c>
      <c r="D388" s="494">
        <v>0.3</v>
      </c>
      <c r="E388" s="495">
        <v>105.3</v>
      </c>
      <c r="F388" s="495">
        <v>25.37</v>
      </c>
      <c r="G388" s="495">
        <v>130.66999999999999</v>
      </c>
      <c r="H388" s="495">
        <v>0.25</v>
      </c>
      <c r="I388" s="495">
        <v>382.38</v>
      </c>
      <c r="J388" s="494">
        <v>0.2</v>
      </c>
      <c r="K388" s="495">
        <v>76.48</v>
      </c>
      <c r="L388" s="495">
        <v>18.420000000000002</v>
      </c>
      <c r="M388" s="495">
        <v>94.9</v>
      </c>
    </row>
    <row r="389" spans="1:13" ht="16.149999999999999" customHeight="1" x14ac:dyDescent="0.25">
      <c r="A389" s="488" t="s">
        <v>658</v>
      </c>
      <c r="B389" s="495">
        <v>0.25</v>
      </c>
      <c r="C389" s="495">
        <v>351</v>
      </c>
      <c r="D389" s="494">
        <v>0.3</v>
      </c>
      <c r="E389" s="495">
        <v>105.3</v>
      </c>
      <c r="F389" s="495">
        <v>25.37</v>
      </c>
      <c r="G389" s="495">
        <v>130.66999999999999</v>
      </c>
      <c r="H389" s="495"/>
      <c r="I389" s="495"/>
      <c r="J389" s="494"/>
      <c r="K389" s="495"/>
      <c r="L389" s="495"/>
      <c r="M389" s="495"/>
    </row>
    <row r="390" spans="1:13" ht="16.149999999999999" customHeight="1" x14ac:dyDescent="0.25">
      <c r="A390" s="488" t="s">
        <v>658</v>
      </c>
      <c r="B390" s="495">
        <v>0.25</v>
      </c>
      <c r="C390" s="495">
        <v>351</v>
      </c>
      <c r="D390" s="494">
        <v>0.3</v>
      </c>
      <c r="E390" s="495">
        <v>105.3</v>
      </c>
      <c r="F390" s="495">
        <v>25.37</v>
      </c>
      <c r="G390" s="495">
        <v>130.66999999999999</v>
      </c>
      <c r="H390" s="495">
        <v>0.25</v>
      </c>
      <c r="I390" s="495">
        <v>334.58</v>
      </c>
      <c r="J390" s="494">
        <v>0.2</v>
      </c>
      <c r="K390" s="495">
        <v>66.92</v>
      </c>
      <c r="L390" s="495">
        <v>16.12</v>
      </c>
      <c r="M390" s="495">
        <v>83.04</v>
      </c>
    </row>
    <row r="391" spans="1:13" ht="16.149999999999999" customHeight="1" x14ac:dyDescent="0.25">
      <c r="A391" s="488" t="s">
        <v>658</v>
      </c>
      <c r="B391" s="495">
        <v>0.25</v>
      </c>
      <c r="C391" s="495">
        <v>382.37</v>
      </c>
      <c r="D391" s="494">
        <v>0.3</v>
      </c>
      <c r="E391" s="495">
        <v>114.71</v>
      </c>
      <c r="F391" s="495">
        <v>27.63</v>
      </c>
      <c r="G391" s="495">
        <v>142.34</v>
      </c>
      <c r="H391" s="495">
        <v>0.25</v>
      </c>
      <c r="I391" s="495">
        <v>772.72</v>
      </c>
      <c r="J391" s="494">
        <v>0.2</v>
      </c>
      <c r="K391" s="495">
        <v>154.54</v>
      </c>
      <c r="L391" s="495">
        <v>37.229999999999997</v>
      </c>
      <c r="M391" s="495">
        <v>191.76999999999998</v>
      </c>
    </row>
    <row r="392" spans="1:13" ht="16.149999999999999" customHeight="1" x14ac:dyDescent="0.25">
      <c r="A392" s="488" t="s">
        <v>658</v>
      </c>
      <c r="B392" s="495">
        <v>0.25</v>
      </c>
      <c r="C392" s="495">
        <v>271.23</v>
      </c>
      <c r="D392" s="494">
        <v>0.3</v>
      </c>
      <c r="E392" s="495">
        <v>81.37</v>
      </c>
      <c r="F392" s="495">
        <v>19.600000000000001</v>
      </c>
      <c r="G392" s="495">
        <v>100.97</v>
      </c>
      <c r="H392" s="495">
        <v>0.25</v>
      </c>
      <c r="I392" s="495">
        <v>406.28</v>
      </c>
      <c r="J392" s="494">
        <v>0.2</v>
      </c>
      <c r="K392" s="495">
        <v>81.260000000000005</v>
      </c>
      <c r="L392" s="495">
        <v>19.579999999999998</v>
      </c>
      <c r="M392" s="495">
        <v>100.84</v>
      </c>
    </row>
    <row r="393" spans="1:13" ht="16.149999999999999" customHeight="1" x14ac:dyDescent="0.25">
      <c r="A393" s="488" t="s">
        <v>658</v>
      </c>
      <c r="B393" s="495">
        <v>0.25</v>
      </c>
      <c r="C393" s="495">
        <v>255.27</v>
      </c>
      <c r="D393" s="494">
        <v>0.3</v>
      </c>
      <c r="E393" s="495">
        <v>76.58</v>
      </c>
      <c r="F393" s="495">
        <v>18.45</v>
      </c>
      <c r="G393" s="495">
        <v>95.03</v>
      </c>
      <c r="H393" s="495">
        <v>0.25</v>
      </c>
      <c r="I393" s="495">
        <v>406.28</v>
      </c>
      <c r="J393" s="494">
        <v>0.2</v>
      </c>
      <c r="K393" s="495">
        <v>81.260000000000005</v>
      </c>
      <c r="L393" s="495">
        <v>19.579999999999998</v>
      </c>
      <c r="M393" s="495">
        <v>100.84</v>
      </c>
    </row>
    <row r="394" spans="1:13" ht="16.149999999999999" customHeight="1" x14ac:dyDescent="0.25">
      <c r="A394" s="488" t="s">
        <v>658</v>
      </c>
      <c r="B394" s="495">
        <v>0.25</v>
      </c>
      <c r="C394" s="495">
        <v>351</v>
      </c>
      <c r="D394" s="494">
        <v>0.3</v>
      </c>
      <c r="E394" s="495">
        <v>105.3</v>
      </c>
      <c r="F394" s="495">
        <v>25.37</v>
      </c>
      <c r="G394" s="495">
        <v>130.66999999999999</v>
      </c>
      <c r="H394" s="495">
        <v>0.25</v>
      </c>
      <c r="I394" s="495">
        <v>493.9</v>
      </c>
      <c r="J394" s="494">
        <v>0.2</v>
      </c>
      <c r="K394" s="495">
        <v>98.78</v>
      </c>
      <c r="L394" s="495">
        <v>23.8</v>
      </c>
      <c r="M394" s="495">
        <v>122.58</v>
      </c>
    </row>
    <row r="395" spans="1:13" ht="16.149999999999999" customHeight="1" x14ac:dyDescent="0.25">
      <c r="A395" s="488" t="s">
        <v>658</v>
      </c>
      <c r="B395" s="495">
        <v>0.25</v>
      </c>
      <c r="C395" s="495">
        <v>287.17</v>
      </c>
      <c r="D395" s="494">
        <v>0.3</v>
      </c>
      <c r="E395" s="495">
        <v>86.15</v>
      </c>
      <c r="F395" s="495">
        <v>20.75</v>
      </c>
      <c r="G395" s="495">
        <v>106.9</v>
      </c>
      <c r="H395" s="495">
        <v>0.25</v>
      </c>
      <c r="I395" s="495">
        <v>716.96</v>
      </c>
      <c r="J395" s="494">
        <v>0.2</v>
      </c>
      <c r="K395" s="495">
        <v>143.38999999999999</v>
      </c>
      <c r="L395" s="495">
        <v>34.54</v>
      </c>
      <c r="M395" s="495">
        <v>177.92999999999998</v>
      </c>
    </row>
    <row r="396" spans="1:13" ht="16.149999999999999" customHeight="1" x14ac:dyDescent="0.25">
      <c r="A396" s="488" t="s">
        <v>658</v>
      </c>
      <c r="B396" s="495">
        <v>1</v>
      </c>
      <c r="C396" s="495">
        <v>1297</v>
      </c>
      <c r="D396" s="494">
        <v>0.3</v>
      </c>
      <c r="E396" s="495">
        <v>389.1</v>
      </c>
      <c r="F396" s="495">
        <v>93.73</v>
      </c>
      <c r="G396" s="495">
        <v>482.83000000000004</v>
      </c>
      <c r="H396" s="495">
        <v>1</v>
      </c>
      <c r="I396" s="495">
        <v>1297</v>
      </c>
      <c r="J396" s="494">
        <v>0.2</v>
      </c>
      <c r="K396" s="495">
        <v>259.39999999999998</v>
      </c>
      <c r="L396" s="495">
        <v>62.49</v>
      </c>
      <c r="M396" s="495">
        <v>321.89</v>
      </c>
    </row>
    <row r="397" spans="1:13" ht="16.149999999999999" customHeight="1" x14ac:dyDescent="0.25">
      <c r="A397" s="488" t="s">
        <v>22</v>
      </c>
      <c r="B397" s="495">
        <v>1</v>
      </c>
      <c r="C397" s="495">
        <v>54.68</v>
      </c>
      <c r="D397" s="494">
        <v>0.5</v>
      </c>
      <c r="E397" s="495">
        <v>27.34</v>
      </c>
      <c r="F397" s="495">
        <v>6.59</v>
      </c>
      <c r="G397" s="495">
        <v>33.93</v>
      </c>
      <c r="H397" s="495">
        <v>1</v>
      </c>
      <c r="I397" s="495">
        <v>109.33</v>
      </c>
      <c r="J397" s="494">
        <v>0.2</v>
      </c>
      <c r="K397" s="495">
        <v>21.87</v>
      </c>
      <c r="L397" s="495">
        <v>5.27</v>
      </c>
      <c r="M397" s="495">
        <v>27.14</v>
      </c>
    </row>
    <row r="398" spans="1:13" ht="16.149999999999999" customHeight="1" x14ac:dyDescent="0.25">
      <c r="A398" s="488" t="s">
        <v>22</v>
      </c>
      <c r="B398" s="495">
        <v>1</v>
      </c>
      <c r="C398" s="495">
        <v>54.68</v>
      </c>
      <c r="D398" s="494">
        <v>0.5</v>
      </c>
      <c r="E398" s="495">
        <v>27.34</v>
      </c>
      <c r="F398" s="495">
        <v>6.59</v>
      </c>
      <c r="G398" s="495">
        <v>33.93</v>
      </c>
      <c r="H398" s="495">
        <v>1</v>
      </c>
      <c r="I398" s="495">
        <v>54.67</v>
      </c>
      <c r="J398" s="494">
        <v>0.2</v>
      </c>
      <c r="K398" s="495">
        <v>10.93</v>
      </c>
      <c r="L398" s="495">
        <v>2.63</v>
      </c>
      <c r="M398" s="495">
        <v>13.559999999999999</v>
      </c>
    </row>
    <row r="399" spans="1:13" ht="16.149999999999999" customHeight="1" x14ac:dyDescent="0.25">
      <c r="A399" s="488" t="s">
        <v>22</v>
      </c>
      <c r="B399" s="495">
        <v>1</v>
      </c>
      <c r="C399" s="495">
        <v>54.68</v>
      </c>
      <c r="D399" s="494">
        <v>0.5</v>
      </c>
      <c r="E399" s="495">
        <v>27.34</v>
      </c>
      <c r="F399" s="495">
        <v>6.59</v>
      </c>
      <c r="G399" s="495">
        <v>33.93</v>
      </c>
      <c r="H399" s="495">
        <v>1</v>
      </c>
      <c r="I399" s="495">
        <v>54.67</v>
      </c>
      <c r="J399" s="494">
        <v>0.2</v>
      </c>
      <c r="K399" s="495">
        <v>10.93</v>
      </c>
      <c r="L399" s="495">
        <v>2.63</v>
      </c>
      <c r="M399" s="495">
        <v>13.559999999999999</v>
      </c>
    </row>
    <row r="400" spans="1:13" ht="16.149999999999999" customHeight="1" x14ac:dyDescent="0.25">
      <c r="A400" s="488" t="s">
        <v>22</v>
      </c>
      <c r="B400" s="495">
        <v>1</v>
      </c>
      <c r="C400" s="495">
        <v>54.68</v>
      </c>
      <c r="D400" s="494">
        <v>0.5</v>
      </c>
      <c r="E400" s="495">
        <v>27.34</v>
      </c>
      <c r="F400" s="495">
        <v>6.59</v>
      </c>
      <c r="G400" s="495">
        <v>33.93</v>
      </c>
      <c r="H400" s="495">
        <v>1</v>
      </c>
      <c r="I400" s="495">
        <v>109.33</v>
      </c>
      <c r="J400" s="494">
        <v>0.2</v>
      </c>
      <c r="K400" s="495">
        <v>21.87</v>
      </c>
      <c r="L400" s="495">
        <v>5.27</v>
      </c>
      <c r="M400" s="495">
        <v>27.14</v>
      </c>
    </row>
    <row r="401" spans="1:13" ht="16.149999999999999" customHeight="1" x14ac:dyDescent="0.25">
      <c r="A401" s="488" t="s">
        <v>22</v>
      </c>
      <c r="B401" s="495"/>
      <c r="C401" s="495"/>
      <c r="D401" s="494"/>
      <c r="E401" s="495"/>
      <c r="F401" s="495">
        <v>0</v>
      </c>
      <c r="G401" s="495">
        <v>0</v>
      </c>
      <c r="H401" s="495">
        <v>1</v>
      </c>
      <c r="I401" s="495">
        <v>109.33</v>
      </c>
      <c r="J401" s="494">
        <v>0.2</v>
      </c>
      <c r="K401" s="495">
        <v>21.87</v>
      </c>
      <c r="L401" s="495">
        <v>5.27</v>
      </c>
      <c r="M401" s="495">
        <v>27.14</v>
      </c>
    </row>
    <row r="402" spans="1:13" ht="16.149999999999999" customHeight="1" x14ac:dyDescent="0.25">
      <c r="A402" s="488" t="s">
        <v>22</v>
      </c>
      <c r="B402" s="495"/>
      <c r="C402" s="495"/>
      <c r="D402" s="494"/>
      <c r="E402" s="495"/>
      <c r="F402" s="495">
        <v>0</v>
      </c>
      <c r="G402" s="495">
        <v>0</v>
      </c>
      <c r="H402" s="495">
        <v>1</v>
      </c>
      <c r="I402" s="495">
        <v>109.33</v>
      </c>
      <c r="J402" s="494">
        <v>0.2</v>
      </c>
      <c r="K402" s="495">
        <v>21.87</v>
      </c>
      <c r="L402" s="495">
        <v>5.27</v>
      </c>
      <c r="M402" s="495">
        <v>27.14</v>
      </c>
    </row>
    <row r="403" spans="1:13" ht="16.149999999999999" customHeight="1" x14ac:dyDescent="0.25">
      <c r="A403" s="488" t="s">
        <v>22</v>
      </c>
      <c r="B403" s="495"/>
      <c r="C403" s="495"/>
      <c r="D403" s="494"/>
      <c r="E403" s="495"/>
      <c r="F403" s="495">
        <v>0</v>
      </c>
      <c r="G403" s="495">
        <v>0</v>
      </c>
      <c r="H403" s="495">
        <v>1</v>
      </c>
      <c r="I403" s="495">
        <v>164</v>
      </c>
      <c r="J403" s="494">
        <v>0.2</v>
      </c>
      <c r="K403" s="495">
        <v>32.799999999999997</v>
      </c>
      <c r="L403" s="495">
        <v>7.9</v>
      </c>
      <c r="M403" s="495">
        <v>40.699999999999996</v>
      </c>
    </row>
    <row r="404" spans="1:13" ht="16.149999999999999" customHeight="1" x14ac:dyDescent="0.25">
      <c r="A404" s="488" t="s">
        <v>22</v>
      </c>
      <c r="B404" s="495">
        <v>1</v>
      </c>
      <c r="C404" s="495">
        <v>54.68</v>
      </c>
      <c r="D404" s="494">
        <v>0.5</v>
      </c>
      <c r="E404" s="495">
        <v>27.34</v>
      </c>
      <c r="F404" s="495">
        <v>6.59</v>
      </c>
      <c r="G404" s="495">
        <v>33.93</v>
      </c>
      <c r="H404" s="495">
        <v>1</v>
      </c>
      <c r="I404" s="495">
        <v>109.33</v>
      </c>
      <c r="J404" s="494">
        <v>0.2</v>
      </c>
      <c r="K404" s="495">
        <v>21.87</v>
      </c>
      <c r="L404" s="495">
        <v>5.27</v>
      </c>
      <c r="M404" s="495">
        <v>27.14</v>
      </c>
    </row>
    <row r="405" spans="1:13" ht="16.149999999999999" customHeight="1" x14ac:dyDescent="0.25">
      <c r="A405" s="488" t="s">
        <v>22</v>
      </c>
      <c r="B405" s="495"/>
      <c r="C405" s="495"/>
      <c r="D405" s="494"/>
      <c r="E405" s="495"/>
      <c r="F405" s="495">
        <v>0</v>
      </c>
      <c r="G405" s="495">
        <v>0</v>
      </c>
      <c r="H405" s="495">
        <v>1</v>
      </c>
      <c r="I405" s="495">
        <v>109.33</v>
      </c>
      <c r="J405" s="494">
        <v>0.2</v>
      </c>
      <c r="K405" s="495">
        <v>21.87</v>
      </c>
      <c r="L405" s="495">
        <v>5.27</v>
      </c>
      <c r="M405" s="495">
        <v>27.14</v>
      </c>
    </row>
    <row r="406" spans="1:13" ht="16.149999999999999" customHeight="1" x14ac:dyDescent="0.25">
      <c r="A406" s="488" t="s">
        <v>22</v>
      </c>
      <c r="B406" s="495"/>
      <c r="C406" s="495"/>
      <c r="D406" s="494"/>
      <c r="E406" s="495"/>
      <c r="F406" s="495">
        <v>0</v>
      </c>
      <c r="G406" s="495">
        <v>0</v>
      </c>
      <c r="H406" s="495">
        <v>1</v>
      </c>
      <c r="I406" s="495">
        <v>109.33</v>
      </c>
      <c r="J406" s="494">
        <v>0.2</v>
      </c>
      <c r="K406" s="495">
        <v>21.87</v>
      </c>
      <c r="L406" s="495">
        <v>5.27</v>
      </c>
      <c r="M406" s="495">
        <v>27.14</v>
      </c>
    </row>
    <row r="407" spans="1:13" ht="16.149999999999999" customHeight="1" x14ac:dyDescent="0.25">
      <c r="A407" s="488" t="s">
        <v>22</v>
      </c>
      <c r="B407" s="495"/>
      <c r="C407" s="495"/>
      <c r="D407" s="494"/>
      <c r="E407" s="495"/>
      <c r="F407" s="495">
        <v>0</v>
      </c>
      <c r="G407" s="495">
        <v>0</v>
      </c>
      <c r="H407" s="495">
        <v>1</v>
      </c>
      <c r="I407" s="495">
        <v>109.33</v>
      </c>
      <c r="J407" s="494">
        <v>0.2</v>
      </c>
      <c r="K407" s="495">
        <v>21.87</v>
      </c>
      <c r="L407" s="495">
        <v>5.27</v>
      </c>
      <c r="M407" s="495">
        <v>27.14</v>
      </c>
    </row>
    <row r="408" spans="1:13" ht="16.149999999999999" customHeight="1" x14ac:dyDescent="0.25">
      <c r="A408" s="488" t="s">
        <v>22</v>
      </c>
      <c r="B408" s="495">
        <v>1</v>
      </c>
      <c r="C408" s="495">
        <v>82</v>
      </c>
      <c r="D408" s="494">
        <v>0.5</v>
      </c>
      <c r="E408" s="495">
        <v>41</v>
      </c>
      <c r="F408" s="495">
        <v>9.8800000000000008</v>
      </c>
      <c r="G408" s="495">
        <v>50.88</v>
      </c>
      <c r="H408" s="495">
        <v>1</v>
      </c>
      <c r="I408" s="495">
        <v>71.75</v>
      </c>
      <c r="J408" s="494">
        <v>0.2</v>
      </c>
      <c r="K408" s="495">
        <v>14.35</v>
      </c>
      <c r="L408" s="495">
        <v>3.46</v>
      </c>
      <c r="M408" s="495">
        <v>17.809999999999999</v>
      </c>
    </row>
    <row r="409" spans="1:13" ht="16.149999999999999" customHeight="1" x14ac:dyDescent="0.25">
      <c r="A409" s="488" t="s">
        <v>22</v>
      </c>
      <c r="B409" s="495">
        <v>1</v>
      </c>
      <c r="C409" s="495">
        <v>82</v>
      </c>
      <c r="D409" s="494">
        <v>0.5</v>
      </c>
      <c r="E409" s="495">
        <v>41</v>
      </c>
      <c r="F409" s="495">
        <v>9.8800000000000008</v>
      </c>
      <c r="G409" s="495">
        <v>50.88</v>
      </c>
      <c r="H409" s="495">
        <v>1</v>
      </c>
      <c r="I409" s="495">
        <v>23.92</v>
      </c>
      <c r="J409" s="494">
        <v>0.2</v>
      </c>
      <c r="K409" s="495">
        <v>4.78</v>
      </c>
      <c r="L409" s="495">
        <v>1.1499999999999999</v>
      </c>
      <c r="M409" s="495">
        <v>5.93</v>
      </c>
    </row>
    <row r="410" spans="1:13" ht="16.149999999999999" customHeight="1" x14ac:dyDescent="0.25">
      <c r="A410" s="488" t="s">
        <v>22</v>
      </c>
      <c r="B410" s="495">
        <v>1</v>
      </c>
      <c r="C410" s="495">
        <v>82</v>
      </c>
      <c r="D410" s="494">
        <v>0.5</v>
      </c>
      <c r="E410" s="495">
        <v>41</v>
      </c>
      <c r="F410" s="495">
        <v>9.8800000000000008</v>
      </c>
      <c r="G410" s="495">
        <v>50.88</v>
      </c>
      <c r="H410" s="495">
        <v>1</v>
      </c>
      <c r="I410" s="495">
        <v>71.75</v>
      </c>
      <c r="J410" s="494">
        <v>0.2</v>
      </c>
      <c r="K410" s="495">
        <v>14.35</v>
      </c>
      <c r="L410" s="495">
        <v>3.46</v>
      </c>
      <c r="M410" s="495">
        <v>17.809999999999999</v>
      </c>
    </row>
    <row r="411" spans="1:13" ht="16.149999999999999" customHeight="1" x14ac:dyDescent="0.25">
      <c r="A411" s="488" t="s">
        <v>22</v>
      </c>
      <c r="B411" s="495"/>
      <c r="C411" s="495"/>
      <c r="D411" s="494"/>
      <c r="E411" s="495"/>
      <c r="F411" s="495">
        <v>0</v>
      </c>
      <c r="G411" s="495">
        <v>0</v>
      </c>
      <c r="H411" s="495">
        <v>1</v>
      </c>
      <c r="I411" s="495">
        <v>75.17</v>
      </c>
      <c r="J411" s="494">
        <v>0.2</v>
      </c>
      <c r="K411" s="495">
        <v>15.03</v>
      </c>
      <c r="L411" s="495">
        <v>3.62</v>
      </c>
      <c r="M411" s="495">
        <v>18.649999999999999</v>
      </c>
    </row>
    <row r="412" spans="1:13" ht="16.149999999999999" customHeight="1" x14ac:dyDescent="0.25">
      <c r="A412" s="488" t="s">
        <v>22</v>
      </c>
      <c r="B412" s="495">
        <v>1</v>
      </c>
      <c r="C412" s="495">
        <v>75.180000000000007</v>
      </c>
      <c r="D412" s="494">
        <v>0.5</v>
      </c>
      <c r="E412" s="495">
        <v>37.590000000000003</v>
      </c>
      <c r="F412" s="495">
        <v>9.06</v>
      </c>
      <c r="G412" s="495">
        <v>46.650000000000006</v>
      </c>
      <c r="H412" s="495">
        <v>1</v>
      </c>
      <c r="I412" s="495">
        <v>75.17</v>
      </c>
      <c r="J412" s="494">
        <v>0.2</v>
      </c>
      <c r="K412" s="495">
        <v>15.03</v>
      </c>
      <c r="L412" s="495">
        <v>3.62</v>
      </c>
      <c r="M412" s="495">
        <v>18.649999999999999</v>
      </c>
    </row>
    <row r="413" spans="1:13" ht="16.149999999999999" customHeight="1" x14ac:dyDescent="0.25">
      <c r="A413" s="488" t="s">
        <v>22</v>
      </c>
      <c r="B413" s="495">
        <v>1</v>
      </c>
      <c r="C413" s="495">
        <v>82</v>
      </c>
      <c r="D413" s="494">
        <v>0.5</v>
      </c>
      <c r="E413" s="495">
        <v>41</v>
      </c>
      <c r="F413" s="495">
        <v>9.8800000000000008</v>
      </c>
      <c r="G413" s="495">
        <v>50.88</v>
      </c>
      <c r="H413" s="495">
        <v>1</v>
      </c>
      <c r="I413" s="495">
        <v>71.75</v>
      </c>
      <c r="J413" s="494">
        <v>0.2</v>
      </c>
      <c r="K413" s="495">
        <v>14.35</v>
      </c>
      <c r="L413" s="495">
        <v>3.46</v>
      </c>
      <c r="M413" s="495">
        <v>17.809999999999999</v>
      </c>
    </row>
    <row r="414" spans="1:13" ht="16.149999999999999" customHeight="1" x14ac:dyDescent="0.25">
      <c r="A414" s="488" t="s">
        <v>22</v>
      </c>
      <c r="B414" s="495">
        <v>1</v>
      </c>
      <c r="C414" s="495">
        <v>1202.6600000000001</v>
      </c>
      <c r="D414" s="494">
        <v>0.5</v>
      </c>
      <c r="E414" s="495">
        <v>601.33000000000004</v>
      </c>
      <c r="F414" s="495">
        <v>144.86000000000001</v>
      </c>
      <c r="G414" s="495">
        <v>746.19</v>
      </c>
      <c r="H414" s="495">
        <v>1</v>
      </c>
      <c r="I414" s="495">
        <v>1079.6600000000001</v>
      </c>
      <c r="J414" s="494">
        <v>0.2</v>
      </c>
      <c r="K414" s="495">
        <v>215.93</v>
      </c>
      <c r="L414" s="495">
        <v>52.02</v>
      </c>
      <c r="M414" s="495">
        <v>267.95</v>
      </c>
    </row>
    <row r="415" spans="1:13" ht="16.149999999999999" customHeight="1" x14ac:dyDescent="0.25">
      <c r="A415" s="488" t="s">
        <v>22</v>
      </c>
      <c r="B415" s="495">
        <v>1</v>
      </c>
      <c r="C415" s="495">
        <v>1202.6600000000001</v>
      </c>
      <c r="D415" s="494">
        <v>0.5</v>
      </c>
      <c r="E415" s="495">
        <v>601.33000000000004</v>
      </c>
      <c r="F415" s="495">
        <v>144.86000000000001</v>
      </c>
      <c r="G415" s="495">
        <v>746.19</v>
      </c>
      <c r="H415" s="495">
        <v>1</v>
      </c>
      <c r="I415" s="495">
        <v>1079.6600000000001</v>
      </c>
      <c r="J415" s="494">
        <v>0.2</v>
      </c>
      <c r="K415" s="495">
        <v>215.93</v>
      </c>
      <c r="L415" s="495">
        <v>52.02</v>
      </c>
      <c r="M415" s="495">
        <v>267.95</v>
      </c>
    </row>
    <row r="416" spans="1:13" ht="16.149999999999999" customHeight="1" x14ac:dyDescent="0.25">
      <c r="A416" s="488" t="s">
        <v>22</v>
      </c>
      <c r="B416" s="495">
        <v>1</v>
      </c>
      <c r="C416" s="495">
        <v>1202.6600000000001</v>
      </c>
      <c r="D416" s="494">
        <v>0.5</v>
      </c>
      <c r="E416" s="495">
        <v>601.33000000000004</v>
      </c>
      <c r="F416" s="495">
        <v>144.86000000000001</v>
      </c>
      <c r="G416" s="495">
        <v>746.19</v>
      </c>
      <c r="H416" s="495">
        <v>1</v>
      </c>
      <c r="I416" s="495">
        <v>1079.6600000000001</v>
      </c>
      <c r="J416" s="494">
        <v>0.2</v>
      </c>
      <c r="K416" s="495">
        <v>215.93</v>
      </c>
      <c r="L416" s="495">
        <v>52.02</v>
      </c>
      <c r="M416" s="495">
        <v>267.95</v>
      </c>
    </row>
    <row r="417" spans="1:13" ht="16.149999999999999" customHeight="1" x14ac:dyDescent="0.25">
      <c r="A417" s="488" t="s">
        <v>22</v>
      </c>
      <c r="B417" s="495">
        <v>1</v>
      </c>
      <c r="C417" s="495">
        <v>1202.6600000000001</v>
      </c>
      <c r="D417" s="494">
        <v>0.5</v>
      </c>
      <c r="E417" s="495">
        <v>601.33000000000004</v>
      </c>
      <c r="F417" s="495">
        <v>144.86000000000001</v>
      </c>
      <c r="G417" s="495">
        <v>746.19</v>
      </c>
      <c r="H417" s="495">
        <v>1</v>
      </c>
      <c r="I417" s="495">
        <v>1079.6600000000001</v>
      </c>
      <c r="J417" s="494">
        <v>0.2</v>
      </c>
      <c r="K417" s="495">
        <v>215.93</v>
      </c>
      <c r="L417" s="495">
        <v>52.02</v>
      </c>
      <c r="M417" s="495">
        <v>267.95</v>
      </c>
    </row>
    <row r="418" spans="1:13" ht="16.149999999999999" customHeight="1" x14ac:dyDescent="0.25">
      <c r="A418" s="488" t="s">
        <v>22</v>
      </c>
      <c r="B418" s="495">
        <v>1</v>
      </c>
      <c r="C418" s="495">
        <v>109.34</v>
      </c>
      <c r="D418" s="494">
        <v>0.5</v>
      </c>
      <c r="E418" s="495">
        <v>54.67</v>
      </c>
      <c r="F418" s="495">
        <v>13.17</v>
      </c>
      <c r="G418" s="495">
        <v>67.84</v>
      </c>
      <c r="H418" s="495"/>
      <c r="I418" s="495"/>
      <c r="J418" s="494"/>
      <c r="K418" s="495"/>
      <c r="L418" s="495"/>
      <c r="M418" s="495"/>
    </row>
    <row r="419" spans="1:13" ht="16.149999999999999" customHeight="1" x14ac:dyDescent="0.25">
      <c r="A419" s="488" t="s">
        <v>22</v>
      </c>
      <c r="B419" s="495">
        <v>1</v>
      </c>
      <c r="C419" s="495">
        <v>75.180000000000007</v>
      </c>
      <c r="D419" s="494">
        <v>0.5</v>
      </c>
      <c r="E419" s="495">
        <v>37.590000000000003</v>
      </c>
      <c r="F419" s="495">
        <v>9.06</v>
      </c>
      <c r="G419" s="495">
        <v>46.650000000000006</v>
      </c>
      <c r="H419" s="495">
        <v>1</v>
      </c>
      <c r="I419" s="495">
        <v>218.67</v>
      </c>
      <c r="J419" s="494">
        <v>0.2</v>
      </c>
      <c r="K419" s="495">
        <v>43.73</v>
      </c>
      <c r="L419" s="495">
        <v>10.53</v>
      </c>
      <c r="M419" s="495">
        <v>54.26</v>
      </c>
    </row>
    <row r="420" spans="1:13" ht="16.149999999999999" customHeight="1" x14ac:dyDescent="0.25">
      <c r="A420" s="488" t="s">
        <v>22</v>
      </c>
      <c r="B420" s="495">
        <v>1</v>
      </c>
      <c r="C420" s="495">
        <v>102.5</v>
      </c>
      <c r="D420" s="494">
        <v>0.5</v>
      </c>
      <c r="E420" s="495">
        <v>51.25</v>
      </c>
      <c r="F420" s="495">
        <v>12.35</v>
      </c>
      <c r="G420" s="495">
        <v>63.6</v>
      </c>
      <c r="H420" s="495"/>
      <c r="I420" s="495"/>
      <c r="J420" s="494"/>
      <c r="K420" s="495"/>
      <c r="L420" s="495"/>
      <c r="M420" s="495"/>
    </row>
    <row r="421" spans="1:13" ht="16.149999999999999" customHeight="1" x14ac:dyDescent="0.25">
      <c r="A421" s="488" t="s">
        <v>22</v>
      </c>
      <c r="B421" s="495">
        <v>1</v>
      </c>
      <c r="C421" s="495">
        <v>75.180000000000007</v>
      </c>
      <c r="D421" s="494">
        <v>0.5</v>
      </c>
      <c r="E421" s="495">
        <v>37.590000000000003</v>
      </c>
      <c r="F421" s="495">
        <v>9.06</v>
      </c>
      <c r="G421" s="495">
        <v>46.650000000000006</v>
      </c>
      <c r="H421" s="495">
        <v>1</v>
      </c>
      <c r="I421" s="495">
        <v>23.92</v>
      </c>
      <c r="J421" s="494">
        <v>0.2</v>
      </c>
      <c r="K421" s="495">
        <v>4.78</v>
      </c>
      <c r="L421" s="495">
        <v>1.1499999999999999</v>
      </c>
      <c r="M421" s="495">
        <v>5.93</v>
      </c>
    </row>
    <row r="422" spans="1:13" ht="16.149999999999999" customHeight="1" x14ac:dyDescent="0.25">
      <c r="A422" s="488" t="s">
        <v>22</v>
      </c>
      <c r="B422" s="495">
        <v>1</v>
      </c>
      <c r="C422" s="495">
        <v>710.66</v>
      </c>
      <c r="D422" s="494">
        <v>0.5</v>
      </c>
      <c r="E422" s="495">
        <v>355.33</v>
      </c>
      <c r="F422" s="495">
        <v>85.6</v>
      </c>
      <c r="G422" s="495">
        <v>440.92999999999995</v>
      </c>
      <c r="H422" s="495">
        <v>1</v>
      </c>
      <c r="I422" s="495">
        <v>1127.49</v>
      </c>
      <c r="J422" s="494">
        <v>0.2</v>
      </c>
      <c r="K422" s="495">
        <v>225.5</v>
      </c>
      <c r="L422" s="495">
        <v>54.32</v>
      </c>
      <c r="M422" s="495">
        <v>279.82</v>
      </c>
    </row>
    <row r="423" spans="1:13" ht="16.149999999999999" customHeight="1" x14ac:dyDescent="0.25">
      <c r="A423" s="488" t="s">
        <v>22</v>
      </c>
      <c r="B423" s="495">
        <v>1</v>
      </c>
      <c r="C423" s="495">
        <v>656</v>
      </c>
      <c r="D423" s="494">
        <v>0.5</v>
      </c>
      <c r="E423" s="495">
        <v>328</v>
      </c>
      <c r="F423" s="495">
        <v>79.02</v>
      </c>
      <c r="G423" s="495">
        <v>407.02</v>
      </c>
      <c r="H423" s="495">
        <v>1</v>
      </c>
      <c r="I423" s="495">
        <v>1079.6600000000001</v>
      </c>
      <c r="J423" s="494">
        <v>0.2</v>
      </c>
      <c r="K423" s="495">
        <v>215.93</v>
      </c>
      <c r="L423" s="495">
        <v>52.02</v>
      </c>
      <c r="M423" s="495">
        <v>267.95</v>
      </c>
    </row>
    <row r="424" spans="1:13" ht="16.149999999999999" customHeight="1" x14ac:dyDescent="0.25">
      <c r="A424" s="488" t="s">
        <v>22</v>
      </c>
      <c r="B424" s="495">
        <v>1</v>
      </c>
      <c r="C424" s="495">
        <v>75.180000000000007</v>
      </c>
      <c r="D424" s="494">
        <v>0.5</v>
      </c>
      <c r="E424" s="495">
        <v>37.590000000000003</v>
      </c>
      <c r="F424" s="495">
        <v>9.06</v>
      </c>
      <c r="G424" s="495">
        <v>46.650000000000006</v>
      </c>
      <c r="H424" s="495">
        <v>1</v>
      </c>
      <c r="I424" s="495">
        <v>174.25</v>
      </c>
      <c r="J424" s="494">
        <v>0.2</v>
      </c>
      <c r="K424" s="495">
        <v>34.85</v>
      </c>
      <c r="L424" s="495">
        <v>8.4</v>
      </c>
      <c r="M424" s="495">
        <v>43.25</v>
      </c>
    </row>
    <row r="425" spans="1:13" ht="16.149999999999999" customHeight="1" x14ac:dyDescent="0.25">
      <c r="A425" s="488" t="s">
        <v>22</v>
      </c>
      <c r="B425" s="495"/>
      <c r="C425" s="495"/>
      <c r="D425" s="494"/>
      <c r="E425" s="495"/>
      <c r="F425" s="495">
        <v>0</v>
      </c>
      <c r="G425" s="495">
        <v>0</v>
      </c>
      <c r="H425" s="495">
        <v>1</v>
      </c>
      <c r="I425" s="495">
        <v>765.33</v>
      </c>
      <c r="J425" s="494">
        <v>0.2</v>
      </c>
      <c r="K425" s="495">
        <v>153.07</v>
      </c>
      <c r="L425" s="495">
        <v>36.869999999999997</v>
      </c>
      <c r="M425" s="495">
        <v>189.94</v>
      </c>
    </row>
    <row r="426" spans="1:13" ht="16.149999999999999" customHeight="1" x14ac:dyDescent="0.25">
      <c r="A426" s="488" t="s">
        <v>22</v>
      </c>
      <c r="B426" s="495">
        <v>1</v>
      </c>
      <c r="C426" s="495">
        <v>1202.6600000000001</v>
      </c>
      <c r="D426" s="494">
        <v>0.5</v>
      </c>
      <c r="E426" s="495">
        <v>601.33000000000004</v>
      </c>
      <c r="F426" s="495">
        <v>144.86000000000001</v>
      </c>
      <c r="G426" s="495">
        <v>746.19</v>
      </c>
      <c r="H426" s="495">
        <v>1</v>
      </c>
      <c r="I426" s="495">
        <v>328</v>
      </c>
      <c r="J426" s="494">
        <v>0.2</v>
      </c>
      <c r="K426" s="495">
        <v>65.599999999999994</v>
      </c>
      <c r="L426" s="495">
        <v>15.8</v>
      </c>
      <c r="M426" s="495">
        <v>81.399999999999991</v>
      </c>
    </row>
    <row r="427" spans="1:13" ht="16.149999999999999" customHeight="1" x14ac:dyDescent="0.25">
      <c r="A427" s="488" t="s">
        <v>22</v>
      </c>
      <c r="B427" s="495">
        <v>1</v>
      </c>
      <c r="C427" s="495">
        <v>75.180000000000007</v>
      </c>
      <c r="D427" s="494">
        <v>0.5</v>
      </c>
      <c r="E427" s="495">
        <v>37.590000000000003</v>
      </c>
      <c r="F427" s="495">
        <v>9.06</v>
      </c>
      <c r="G427" s="495">
        <v>46.650000000000006</v>
      </c>
      <c r="H427" s="495">
        <v>1</v>
      </c>
      <c r="I427" s="495">
        <v>75.17</v>
      </c>
      <c r="J427" s="494">
        <v>0.2</v>
      </c>
      <c r="K427" s="495">
        <v>15.03</v>
      </c>
      <c r="L427" s="495">
        <v>3.62</v>
      </c>
      <c r="M427" s="495">
        <v>18.649999999999999</v>
      </c>
    </row>
    <row r="428" spans="1:13" ht="16.149999999999999" customHeight="1" x14ac:dyDescent="0.25">
      <c r="A428" s="488" t="s">
        <v>22</v>
      </c>
      <c r="B428" s="495"/>
      <c r="C428" s="495"/>
      <c r="D428" s="494"/>
      <c r="E428" s="495"/>
      <c r="F428" s="495">
        <v>0</v>
      </c>
      <c r="G428" s="495">
        <v>0</v>
      </c>
      <c r="H428" s="495">
        <v>1</v>
      </c>
      <c r="I428" s="495">
        <v>382.66</v>
      </c>
      <c r="J428" s="494">
        <v>0.2</v>
      </c>
      <c r="K428" s="495">
        <v>76.53</v>
      </c>
      <c r="L428" s="495">
        <v>18.440000000000001</v>
      </c>
      <c r="M428" s="495">
        <v>94.97</v>
      </c>
    </row>
    <row r="429" spans="1:13" ht="16.149999999999999" customHeight="1" x14ac:dyDescent="0.25">
      <c r="A429" s="488" t="s">
        <v>22</v>
      </c>
      <c r="B429" s="495">
        <v>1</v>
      </c>
      <c r="C429" s="495">
        <v>75.180000000000007</v>
      </c>
      <c r="D429" s="494">
        <v>0.5</v>
      </c>
      <c r="E429" s="495">
        <v>37.590000000000003</v>
      </c>
      <c r="F429" s="495">
        <v>9.06</v>
      </c>
      <c r="G429" s="495">
        <v>46.650000000000006</v>
      </c>
      <c r="H429" s="495">
        <v>1</v>
      </c>
      <c r="I429" s="495">
        <v>75.17</v>
      </c>
      <c r="J429" s="494">
        <v>0.2</v>
      </c>
      <c r="K429" s="495">
        <v>15.03</v>
      </c>
      <c r="L429" s="495">
        <v>3.62</v>
      </c>
      <c r="M429" s="495">
        <v>18.649999999999999</v>
      </c>
    </row>
    <row r="430" spans="1:13" ht="16.149999999999999" customHeight="1" x14ac:dyDescent="0.25">
      <c r="A430" s="488" t="s">
        <v>22</v>
      </c>
      <c r="B430" s="495">
        <v>1</v>
      </c>
      <c r="C430" s="495">
        <v>1004.5</v>
      </c>
      <c r="D430" s="494">
        <v>0.5</v>
      </c>
      <c r="E430" s="495">
        <v>502.25</v>
      </c>
      <c r="F430" s="495">
        <v>120.99</v>
      </c>
      <c r="G430" s="495">
        <v>623.24</v>
      </c>
      <c r="H430" s="495">
        <v>1</v>
      </c>
      <c r="I430" s="495">
        <v>1103.58</v>
      </c>
      <c r="J430" s="494">
        <v>0.2</v>
      </c>
      <c r="K430" s="495">
        <v>220.72</v>
      </c>
      <c r="L430" s="495">
        <v>53.17</v>
      </c>
      <c r="M430" s="495">
        <v>273.89</v>
      </c>
    </row>
    <row r="431" spans="1:13" ht="30" customHeight="1" x14ac:dyDescent="0.25">
      <c r="A431" s="488" t="s">
        <v>849</v>
      </c>
      <c r="B431" s="495">
        <v>1</v>
      </c>
      <c r="C431" s="495">
        <v>1585.17</v>
      </c>
      <c r="D431" s="494">
        <v>0.3</v>
      </c>
      <c r="E431" s="495">
        <v>475.55</v>
      </c>
      <c r="F431" s="495">
        <v>114.56</v>
      </c>
      <c r="G431" s="495">
        <v>590.11</v>
      </c>
      <c r="H431" s="495">
        <v>1</v>
      </c>
      <c r="I431" s="495">
        <v>2254.5100000000002</v>
      </c>
      <c r="J431" s="494">
        <v>0.2</v>
      </c>
      <c r="K431" s="495">
        <v>450.9</v>
      </c>
      <c r="L431" s="495">
        <v>108.62</v>
      </c>
      <c r="M431" s="495">
        <v>559.52</v>
      </c>
    </row>
    <row r="432" spans="1:13" ht="30.75" customHeight="1" x14ac:dyDescent="0.25">
      <c r="A432" s="488" t="s">
        <v>850</v>
      </c>
      <c r="B432" s="495">
        <v>1</v>
      </c>
      <c r="C432" s="495">
        <v>1906</v>
      </c>
      <c r="D432" s="494">
        <v>0.5</v>
      </c>
      <c r="E432" s="495">
        <v>953</v>
      </c>
      <c r="F432" s="495">
        <v>229.58</v>
      </c>
      <c r="G432" s="495">
        <v>1182.58</v>
      </c>
      <c r="H432" s="495">
        <v>1</v>
      </c>
      <c r="I432" s="495">
        <v>1906</v>
      </c>
      <c r="J432" s="494">
        <v>0.2</v>
      </c>
      <c r="K432" s="495">
        <v>381.2</v>
      </c>
      <c r="L432" s="495">
        <v>91.83</v>
      </c>
      <c r="M432" s="495">
        <v>473.03</v>
      </c>
    </row>
    <row r="433" spans="1:13" ht="31.9" customHeight="1" x14ac:dyDescent="0.25">
      <c r="A433" s="488" t="s">
        <v>851</v>
      </c>
      <c r="B433" s="495"/>
      <c r="C433" s="495"/>
      <c r="D433" s="494"/>
      <c r="E433" s="495"/>
      <c r="F433" s="495">
        <v>0</v>
      </c>
      <c r="G433" s="495">
        <v>0</v>
      </c>
      <c r="H433" s="495">
        <v>1</v>
      </c>
      <c r="I433" s="495">
        <v>2668</v>
      </c>
      <c r="J433" s="494">
        <v>0.2</v>
      </c>
      <c r="K433" s="495">
        <v>533.6</v>
      </c>
      <c r="L433" s="495">
        <v>128.54</v>
      </c>
      <c r="M433" s="495">
        <v>662.14</v>
      </c>
    </row>
    <row r="434" spans="1:13" ht="16.149999999999999" customHeight="1" x14ac:dyDescent="0.25">
      <c r="A434" s="488" t="s">
        <v>852</v>
      </c>
      <c r="B434" s="495">
        <v>0.25</v>
      </c>
      <c r="C434" s="495">
        <v>771.1</v>
      </c>
      <c r="D434" s="494">
        <v>0.3</v>
      </c>
      <c r="E434" s="495">
        <v>231.33</v>
      </c>
      <c r="F434" s="495">
        <v>55.73</v>
      </c>
      <c r="G434" s="495">
        <v>287.06</v>
      </c>
      <c r="H434" s="495">
        <v>0.25</v>
      </c>
      <c r="I434" s="495">
        <v>925.31</v>
      </c>
      <c r="J434" s="494">
        <v>0.2</v>
      </c>
      <c r="K434" s="495">
        <v>185.06</v>
      </c>
      <c r="L434" s="495">
        <v>44.58</v>
      </c>
      <c r="M434" s="495">
        <v>229.64</v>
      </c>
    </row>
    <row r="435" spans="1:13" ht="16.149999999999999" customHeight="1" x14ac:dyDescent="0.25">
      <c r="A435" s="488" t="s">
        <v>852</v>
      </c>
      <c r="B435" s="495">
        <v>0.25</v>
      </c>
      <c r="C435" s="495">
        <v>693.97</v>
      </c>
      <c r="D435" s="494">
        <v>0.3</v>
      </c>
      <c r="E435" s="495">
        <v>208.19</v>
      </c>
      <c r="F435" s="495">
        <v>50.15</v>
      </c>
      <c r="G435" s="495">
        <v>258.33999999999997</v>
      </c>
      <c r="H435" s="495">
        <v>0.25</v>
      </c>
      <c r="I435" s="495">
        <v>848.2</v>
      </c>
      <c r="J435" s="494">
        <v>0.2</v>
      </c>
      <c r="K435" s="495">
        <v>169.64</v>
      </c>
      <c r="L435" s="495">
        <v>40.869999999999997</v>
      </c>
      <c r="M435" s="495">
        <v>210.51</v>
      </c>
    </row>
    <row r="436" spans="1:13" ht="16.149999999999999" customHeight="1" x14ac:dyDescent="0.25">
      <c r="A436" s="488" t="s">
        <v>852</v>
      </c>
      <c r="B436" s="495">
        <v>0.41</v>
      </c>
      <c r="C436" s="495">
        <v>616.87</v>
      </c>
      <c r="D436" s="494">
        <v>0.3</v>
      </c>
      <c r="E436" s="495">
        <v>185.06</v>
      </c>
      <c r="F436" s="495">
        <v>44.58</v>
      </c>
      <c r="G436" s="495">
        <v>229.64</v>
      </c>
      <c r="H436" s="495">
        <v>0.41</v>
      </c>
      <c r="I436" s="495">
        <v>616.87</v>
      </c>
      <c r="J436" s="494">
        <v>0.2</v>
      </c>
      <c r="K436" s="495">
        <v>123.37</v>
      </c>
      <c r="L436" s="495">
        <v>29.72</v>
      </c>
      <c r="M436" s="495">
        <v>153.09</v>
      </c>
    </row>
    <row r="437" spans="1:13" ht="16.149999999999999" customHeight="1" x14ac:dyDescent="0.25">
      <c r="A437" s="488" t="s">
        <v>852</v>
      </c>
      <c r="B437" s="495">
        <v>0.25</v>
      </c>
      <c r="C437" s="495">
        <v>453</v>
      </c>
      <c r="D437" s="494">
        <v>0.3</v>
      </c>
      <c r="E437" s="495">
        <v>135.9</v>
      </c>
      <c r="F437" s="495">
        <v>32.74</v>
      </c>
      <c r="G437" s="495">
        <v>168.64000000000001</v>
      </c>
      <c r="H437" s="495">
        <v>0.25</v>
      </c>
      <c r="I437" s="495">
        <v>616.87</v>
      </c>
      <c r="J437" s="494">
        <v>0.2</v>
      </c>
      <c r="K437" s="495">
        <v>123.37</v>
      </c>
      <c r="L437" s="495">
        <v>29.72</v>
      </c>
      <c r="M437" s="495">
        <v>153.09</v>
      </c>
    </row>
    <row r="438" spans="1:13" ht="16.149999999999999" customHeight="1" x14ac:dyDescent="0.25">
      <c r="A438" s="488" t="s">
        <v>852</v>
      </c>
      <c r="B438" s="495">
        <v>0.61</v>
      </c>
      <c r="C438" s="495">
        <v>616.87</v>
      </c>
      <c r="D438" s="494">
        <v>0.3</v>
      </c>
      <c r="E438" s="495">
        <v>185.06</v>
      </c>
      <c r="F438" s="495">
        <v>44.58</v>
      </c>
      <c r="G438" s="495">
        <v>229.64</v>
      </c>
      <c r="H438" s="495">
        <v>0.61</v>
      </c>
      <c r="I438" s="495">
        <v>925.31</v>
      </c>
      <c r="J438" s="494">
        <v>0.2</v>
      </c>
      <c r="K438" s="495">
        <v>185.06</v>
      </c>
      <c r="L438" s="495">
        <v>44.58</v>
      </c>
      <c r="M438" s="495">
        <v>229.64</v>
      </c>
    </row>
    <row r="439" spans="1:13" ht="16.149999999999999" customHeight="1" x14ac:dyDescent="0.25">
      <c r="A439" s="488" t="s">
        <v>852</v>
      </c>
      <c r="B439" s="495">
        <v>0.25</v>
      </c>
      <c r="C439" s="495">
        <v>462.67</v>
      </c>
      <c r="D439" s="494">
        <v>0.3</v>
      </c>
      <c r="E439" s="495">
        <v>138.80000000000001</v>
      </c>
      <c r="F439" s="495">
        <v>33.44</v>
      </c>
      <c r="G439" s="495">
        <v>172.24</v>
      </c>
      <c r="H439" s="495">
        <v>0.25</v>
      </c>
      <c r="I439" s="495">
        <v>462.65</v>
      </c>
      <c r="J439" s="494">
        <v>0.2</v>
      </c>
      <c r="K439" s="495">
        <v>92.53</v>
      </c>
      <c r="L439" s="495">
        <v>22.29</v>
      </c>
      <c r="M439" s="495">
        <v>114.82</v>
      </c>
    </row>
    <row r="440" spans="1:13" ht="16.149999999999999" customHeight="1" x14ac:dyDescent="0.25">
      <c r="A440" s="488" t="s">
        <v>852</v>
      </c>
      <c r="B440" s="495">
        <v>0.5</v>
      </c>
      <c r="C440" s="495">
        <v>693.97</v>
      </c>
      <c r="D440" s="494">
        <v>0.3</v>
      </c>
      <c r="E440" s="495">
        <v>208.19</v>
      </c>
      <c r="F440" s="495">
        <v>50.15</v>
      </c>
      <c r="G440" s="495">
        <v>258.33999999999997</v>
      </c>
      <c r="H440" s="495">
        <v>0.5</v>
      </c>
      <c r="I440" s="495">
        <v>693.98</v>
      </c>
      <c r="J440" s="494">
        <v>0.2</v>
      </c>
      <c r="K440" s="495">
        <v>138.80000000000001</v>
      </c>
      <c r="L440" s="495">
        <v>33.44</v>
      </c>
      <c r="M440" s="495">
        <v>172.24</v>
      </c>
    </row>
    <row r="441" spans="1:13" ht="16.149999999999999" customHeight="1" x14ac:dyDescent="0.25">
      <c r="A441" s="488" t="s">
        <v>852</v>
      </c>
      <c r="B441" s="495">
        <v>0.41</v>
      </c>
      <c r="C441" s="495">
        <v>539.77</v>
      </c>
      <c r="D441" s="494">
        <v>0.3</v>
      </c>
      <c r="E441" s="495">
        <v>161.93</v>
      </c>
      <c r="F441" s="495">
        <v>39.01</v>
      </c>
      <c r="G441" s="495">
        <v>200.94</v>
      </c>
      <c r="H441" s="495">
        <v>0.41</v>
      </c>
      <c r="I441" s="495">
        <v>616.87</v>
      </c>
      <c r="J441" s="494">
        <v>0.2</v>
      </c>
      <c r="K441" s="495">
        <v>123.37</v>
      </c>
      <c r="L441" s="495">
        <v>29.72</v>
      </c>
      <c r="M441" s="495">
        <v>153.09</v>
      </c>
    </row>
    <row r="442" spans="1:13" ht="16.149999999999999" customHeight="1" x14ac:dyDescent="0.25">
      <c r="A442" s="488" t="s">
        <v>852</v>
      </c>
      <c r="B442" s="495">
        <v>0.25</v>
      </c>
      <c r="C442" s="495">
        <v>749.6</v>
      </c>
      <c r="D442" s="494">
        <v>0.3</v>
      </c>
      <c r="E442" s="495">
        <v>224.88</v>
      </c>
      <c r="F442" s="495">
        <v>54.17</v>
      </c>
      <c r="G442" s="495">
        <v>279.05</v>
      </c>
      <c r="H442" s="495">
        <v>0.25</v>
      </c>
      <c r="I442" s="495">
        <v>683.19</v>
      </c>
      <c r="J442" s="494">
        <v>0.2</v>
      </c>
      <c r="K442" s="495">
        <v>136.63999999999999</v>
      </c>
      <c r="L442" s="495">
        <v>32.92</v>
      </c>
      <c r="M442" s="495">
        <v>169.56</v>
      </c>
    </row>
    <row r="443" spans="1:13" ht="16.149999999999999" customHeight="1" x14ac:dyDescent="0.25">
      <c r="A443" s="488" t="s">
        <v>852</v>
      </c>
      <c r="B443" s="495">
        <v>0.2</v>
      </c>
      <c r="C443" s="495">
        <v>693.97</v>
      </c>
      <c r="D443" s="494">
        <v>0.3</v>
      </c>
      <c r="E443" s="495">
        <v>208.19</v>
      </c>
      <c r="F443" s="495">
        <v>50.15</v>
      </c>
      <c r="G443" s="495">
        <v>258.33999999999997</v>
      </c>
      <c r="H443" s="495">
        <v>0.2</v>
      </c>
      <c r="I443" s="495">
        <v>308.44</v>
      </c>
      <c r="J443" s="494">
        <v>0.2</v>
      </c>
      <c r="K443" s="495">
        <v>61.69</v>
      </c>
      <c r="L443" s="495">
        <v>14.86</v>
      </c>
      <c r="M443" s="495">
        <v>76.55</v>
      </c>
    </row>
    <row r="444" spans="1:13" ht="16.149999999999999" customHeight="1" x14ac:dyDescent="0.25">
      <c r="A444" s="488" t="s">
        <v>852</v>
      </c>
      <c r="B444" s="495">
        <v>0.25</v>
      </c>
      <c r="C444" s="495">
        <v>308.43</v>
      </c>
      <c r="D444" s="494">
        <v>0.3</v>
      </c>
      <c r="E444" s="495">
        <v>92.53</v>
      </c>
      <c r="F444" s="495">
        <v>22.29</v>
      </c>
      <c r="G444" s="495">
        <v>114.82</v>
      </c>
      <c r="H444" s="495">
        <v>0.25</v>
      </c>
      <c r="I444" s="495">
        <v>385.54</v>
      </c>
      <c r="J444" s="494">
        <v>0.2</v>
      </c>
      <c r="K444" s="495">
        <v>77.11</v>
      </c>
      <c r="L444" s="495">
        <v>18.579999999999998</v>
      </c>
      <c r="M444" s="495">
        <v>95.69</v>
      </c>
    </row>
    <row r="445" spans="1:13" ht="16.149999999999999" customHeight="1" x14ac:dyDescent="0.25">
      <c r="A445" s="488" t="s">
        <v>853</v>
      </c>
      <c r="B445" s="495"/>
      <c r="C445" s="495"/>
      <c r="D445" s="494"/>
      <c r="E445" s="495"/>
      <c r="F445" s="495">
        <v>0</v>
      </c>
      <c r="G445" s="495">
        <v>0</v>
      </c>
      <c r="H445" s="495">
        <v>1</v>
      </c>
      <c r="I445" s="495">
        <v>27.57</v>
      </c>
      <c r="J445" s="494">
        <v>0.2</v>
      </c>
      <c r="K445" s="495">
        <v>5.51</v>
      </c>
      <c r="L445" s="495">
        <v>1.33</v>
      </c>
      <c r="M445" s="495">
        <v>6.84</v>
      </c>
    </row>
    <row r="446" spans="1:13" ht="16.149999999999999" customHeight="1" x14ac:dyDescent="0.25">
      <c r="A446" s="488" t="s">
        <v>854</v>
      </c>
      <c r="B446" s="495"/>
      <c r="C446" s="495"/>
      <c r="D446" s="494"/>
      <c r="E446" s="495"/>
      <c r="F446" s="495">
        <v>0</v>
      </c>
      <c r="G446" s="495">
        <v>0</v>
      </c>
      <c r="H446" s="495">
        <v>1</v>
      </c>
      <c r="I446" s="495">
        <v>1006.24</v>
      </c>
      <c r="J446" s="494">
        <v>0.2</v>
      </c>
      <c r="K446" s="495">
        <v>201.25</v>
      </c>
      <c r="L446" s="495">
        <v>48.48</v>
      </c>
      <c r="M446" s="495">
        <v>249.73</v>
      </c>
    </row>
    <row r="447" spans="1:13" ht="25.5" customHeight="1" x14ac:dyDescent="0.25">
      <c r="A447" s="488" t="s">
        <v>855</v>
      </c>
      <c r="B447" s="495"/>
      <c r="C447" s="495"/>
      <c r="D447" s="494"/>
      <c r="E447" s="495"/>
      <c r="F447" s="495">
        <v>0</v>
      </c>
      <c r="G447" s="495">
        <v>0</v>
      </c>
      <c r="H447" s="495">
        <v>1</v>
      </c>
      <c r="I447" s="495">
        <v>1885</v>
      </c>
      <c r="J447" s="494">
        <v>0.2</v>
      </c>
      <c r="K447" s="495">
        <v>377</v>
      </c>
      <c r="L447" s="495">
        <v>90.82</v>
      </c>
      <c r="M447" s="495">
        <v>467.82</v>
      </c>
    </row>
    <row r="448" spans="1:13" ht="54" customHeight="1" x14ac:dyDescent="0.25">
      <c r="A448" s="489" t="s">
        <v>12</v>
      </c>
      <c r="B448" s="490">
        <f>SUM(B449:B899)</f>
        <v>205.89000000000001</v>
      </c>
      <c r="C448" s="490"/>
      <c r="D448" s="704"/>
      <c r="E448" s="490">
        <f>SUM(E449:E899)</f>
        <v>73935.33000000006</v>
      </c>
      <c r="F448" s="490">
        <f t="shared" ref="F448:G448" si="0">SUM(F449:F899)</f>
        <v>17811.129999999997</v>
      </c>
      <c r="G448" s="490">
        <f t="shared" si="0"/>
        <v>91746.459999999934</v>
      </c>
      <c r="H448" s="490">
        <f>SUM(H449:H899)</f>
        <v>341.43</v>
      </c>
      <c r="I448" s="490"/>
      <c r="J448" s="704"/>
      <c r="K448" s="490">
        <f>SUM(K449:K899)</f>
        <v>63841.910000000062</v>
      </c>
      <c r="L448" s="490">
        <f t="shared" ref="L448:M448" si="1">SUM(L449:L899)</f>
        <v>15379.69</v>
      </c>
      <c r="M448" s="490">
        <f t="shared" si="1"/>
        <v>79221.600000000035</v>
      </c>
    </row>
    <row r="449" spans="1:13" ht="20.45" customHeight="1" x14ac:dyDescent="0.25">
      <c r="A449" s="488" t="s">
        <v>718</v>
      </c>
      <c r="B449" s="495">
        <v>1</v>
      </c>
      <c r="C449" s="495">
        <v>957.13</v>
      </c>
      <c r="D449" s="494">
        <v>0.3</v>
      </c>
      <c r="E449" s="495">
        <v>287.14</v>
      </c>
      <c r="F449" s="495">
        <v>69.17</v>
      </c>
      <c r="G449" s="495">
        <v>356.31</v>
      </c>
      <c r="H449" s="495">
        <v>1</v>
      </c>
      <c r="I449" s="495">
        <v>616.16</v>
      </c>
      <c r="J449" s="494">
        <v>0.2</v>
      </c>
      <c r="K449" s="495">
        <v>123.23</v>
      </c>
      <c r="L449" s="495">
        <v>29.69</v>
      </c>
      <c r="M449" s="495">
        <v>152.92000000000002</v>
      </c>
    </row>
    <row r="450" spans="1:13" ht="20.45" customHeight="1" x14ac:dyDescent="0.25">
      <c r="A450" s="488" t="s">
        <v>856</v>
      </c>
      <c r="B450" s="495">
        <v>0.5</v>
      </c>
      <c r="C450" s="495">
        <v>464.17</v>
      </c>
      <c r="D450" s="494">
        <v>0.3</v>
      </c>
      <c r="E450" s="495">
        <v>139.25</v>
      </c>
      <c r="F450" s="495">
        <v>33.549999999999997</v>
      </c>
      <c r="G450" s="495">
        <v>172.8</v>
      </c>
      <c r="H450" s="495"/>
      <c r="I450" s="495"/>
      <c r="J450" s="494"/>
      <c r="K450" s="495"/>
      <c r="L450" s="495"/>
      <c r="M450" s="495"/>
    </row>
    <row r="451" spans="1:13" ht="20.45" customHeight="1" x14ac:dyDescent="0.25">
      <c r="A451" s="488" t="s">
        <v>856</v>
      </c>
      <c r="B451" s="495">
        <v>1</v>
      </c>
      <c r="C451" s="495">
        <v>880</v>
      </c>
      <c r="D451" s="494">
        <v>0.3</v>
      </c>
      <c r="E451" s="495">
        <v>264</v>
      </c>
      <c r="F451" s="495">
        <v>63.6</v>
      </c>
      <c r="G451" s="495">
        <v>327.60000000000002</v>
      </c>
      <c r="H451" s="495"/>
      <c r="I451" s="495"/>
      <c r="J451" s="494"/>
      <c r="K451" s="495"/>
      <c r="L451" s="495"/>
      <c r="M451" s="495"/>
    </row>
    <row r="452" spans="1:13" ht="20.45" customHeight="1" x14ac:dyDescent="0.25">
      <c r="A452" s="488" t="s">
        <v>856</v>
      </c>
      <c r="B452" s="495">
        <v>1</v>
      </c>
      <c r="C452" s="495">
        <v>880</v>
      </c>
      <c r="D452" s="494">
        <v>0.3</v>
      </c>
      <c r="E452" s="495">
        <v>264</v>
      </c>
      <c r="F452" s="495">
        <v>63.6</v>
      </c>
      <c r="G452" s="495">
        <v>327.60000000000002</v>
      </c>
      <c r="H452" s="495"/>
      <c r="I452" s="495"/>
      <c r="J452" s="494"/>
      <c r="K452" s="495"/>
      <c r="L452" s="495"/>
      <c r="M452" s="495"/>
    </row>
    <row r="453" spans="1:13" ht="20.45" customHeight="1" x14ac:dyDescent="0.25">
      <c r="A453" s="488" t="s">
        <v>856</v>
      </c>
      <c r="B453" s="495">
        <v>1</v>
      </c>
      <c r="C453" s="495">
        <v>928.37</v>
      </c>
      <c r="D453" s="494">
        <v>0.3</v>
      </c>
      <c r="E453" s="495">
        <v>278.51</v>
      </c>
      <c r="F453" s="495">
        <v>67.09</v>
      </c>
      <c r="G453" s="495">
        <v>345.6</v>
      </c>
      <c r="H453" s="495"/>
      <c r="I453" s="495"/>
      <c r="J453" s="494"/>
      <c r="K453" s="495"/>
      <c r="L453" s="495"/>
      <c r="M453" s="495"/>
    </row>
    <row r="454" spans="1:13" ht="20.45" customHeight="1" x14ac:dyDescent="0.25">
      <c r="A454" s="488" t="s">
        <v>856</v>
      </c>
      <c r="B454" s="495">
        <v>0.5</v>
      </c>
      <c r="C454" s="495">
        <v>510.6</v>
      </c>
      <c r="D454" s="494">
        <v>0.3</v>
      </c>
      <c r="E454" s="495">
        <v>153.18</v>
      </c>
      <c r="F454" s="495">
        <v>36.9</v>
      </c>
      <c r="G454" s="495">
        <v>190.08</v>
      </c>
      <c r="H454" s="495">
        <v>0.5</v>
      </c>
      <c r="I454" s="495">
        <v>458.38</v>
      </c>
      <c r="J454" s="494">
        <v>0.2</v>
      </c>
      <c r="K454" s="495">
        <v>91.68</v>
      </c>
      <c r="L454" s="495">
        <v>22.09</v>
      </c>
      <c r="M454" s="495">
        <v>113.77000000000001</v>
      </c>
    </row>
    <row r="455" spans="1:13" ht="20.45" customHeight="1" x14ac:dyDescent="0.25">
      <c r="A455" s="488" t="s">
        <v>856</v>
      </c>
      <c r="B455" s="495">
        <v>1</v>
      </c>
      <c r="C455" s="495">
        <v>968</v>
      </c>
      <c r="D455" s="494">
        <v>0.3</v>
      </c>
      <c r="E455" s="495">
        <v>290.39999999999998</v>
      </c>
      <c r="F455" s="495">
        <v>69.959999999999994</v>
      </c>
      <c r="G455" s="495">
        <v>360.35999999999996</v>
      </c>
      <c r="H455" s="495">
        <v>1</v>
      </c>
      <c r="I455" s="495">
        <v>968</v>
      </c>
      <c r="J455" s="494">
        <v>0.2</v>
      </c>
      <c r="K455" s="495">
        <v>193.6</v>
      </c>
      <c r="L455" s="495">
        <v>46.64</v>
      </c>
      <c r="M455" s="495">
        <v>240.24</v>
      </c>
    </row>
    <row r="456" spans="1:13" ht="24.75" customHeight="1" x14ac:dyDescent="0.25">
      <c r="A456" s="488" t="s">
        <v>688</v>
      </c>
      <c r="B456" s="495">
        <v>1</v>
      </c>
      <c r="C456" s="495">
        <v>1031.76</v>
      </c>
      <c r="D456" s="494">
        <v>0.5</v>
      </c>
      <c r="E456" s="495">
        <v>515.88</v>
      </c>
      <c r="F456" s="495">
        <v>124.28</v>
      </c>
      <c r="G456" s="495">
        <v>640.16</v>
      </c>
      <c r="H456" s="495">
        <v>1</v>
      </c>
      <c r="I456" s="495">
        <v>1266.26</v>
      </c>
      <c r="J456" s="494">
        <v>0.2</v>
      </c>
      <c r="K456" s="495">
        <v>253.25</v>
      </c>
      <c r="L456" s="495">
        <v>61.01</v>
      </c>
      <c r="M456" s="495">
        <v>314.26</v>
      </c>
    </row>
    <row r="457" spans="1:13" ht="26.25" customHeight="1" x14ac:dyDescent="0.25">
      <c r="A457" s="488" t="s">
        <v>688</v>
      </c>
      <c r="B457" s="495">
        <v>1</v>
      </c>
      <c r="C457" s="495">
        <v>1031.76</v>
      </c>
      <c r="D457" s="494">
        <v>0.5</v>
      </c>
      <c r="E457" s="495">
        <v>515.88</v>
      </c>
      <c r="F457" s="495">
        <v>124.28</v>
      </c>
      <c r="G457" s="495">
        <v>640.16</v>
      </c>
      <c r="H457" s="495">
        <v>1</v>
      </c>
      <c r="I457" s="495">
        <v>1175.3900000000001</v>
      </c>
      <c r="J457" s="494">
        <v>0.2</v>
      </c>
      <c r="K457" s="495">
        <v>235.08</v>
      </c>
      <c r="L457" s="495">
        <v>56.63</v>
      </c>
      <c r="M457" s="495">
        <v>291.71000000000004</v>
      </c>
    </row>
    <row r="458" spans="1:13" ht="24" customHeight="1" x14ac:dyDescent="0.25">
      <c r="A458" s="488" t="s">
        <v>688</v>
      </c>
      <c r="B458" s="495">
        <v>1</v>
      </c>
      <c r="C458" s="495">
        <v>328.28</v>
      </c>
      <c r="D458" s="494">
        <v>0.5</v>
      </c>
      <c r="E458" s="495">
        <v>164.14</v>
      </c>
      <c r="F458" s="495">
        <v>39.54</v>
      </c>
      <c r="G458" s="495">
        <v>203.67999999999998</v>
      </c>
      <c r="H458" s="495">
        <v>1</v>
      </c>
      <c r="I458" s="495">
        <v>984.87</v>
      </c>
      <c r="J458" s="494">
        <v>0.2</v>
      </c>
      <c r="K458" s="495">
        <v>196.97</v>
      </c>
      <c r="L458" s="495">
        <v>47.45</v>
      </c>
      <c r="M458" s="495">
        <v>244.42000000000002</v>
      </c>
    </row>
    <row r="459" spans="1:13" ht="24" customHeight="1" x14ac:dyDescent="0.25">
      <c r="A459" s="488" t="s">
        <v>688</v>
      </c>
      <c r="B459" s="495">
        <v>0.5</v>
      </c>
      <c r="C459" s="495">
        <v>515.88</v>
      </c>
      <c r="D459" s="494">
        <v>0.5</v>
      </c>
      <c r="E459" s="495">
        <v>257.94</v>
      </c>
      <c r="F459" s="495">
        <v>62.14</v>
      </c>
      <c r="G459" s="495">
        <v>320.08</v>
      </c>
      <c r="H459" s="495">
        <v>0.5</v>
      </c>
      <c r="I459" s="495">
        <v>468.98</v>
      </c>
      <c r="J459" s="494">
        <v>0.2</v>
      </c>
      <c r="K459" s="495">
        <v>93.8</v>
      </c>
      <c r="L459" s="495">
        <v>22.6</v>
      </c>
      <c r="M459" s="495">
        <v>116.4</v>
      </c>
    </row>
    <row r="460" spans="1:13" ht="27.75" customHeight="1" x14ac:dyDescent="0.25">
      <c r="A460" s="488" t="s">
        <v>688</v>
      </c>
      <c r="B460" s="495">
        <v>1</v>
      </c>
      <c r="C460" s="495">
        <v>1031.76</v>
      </c>
      <c r="D460" s="494">
        <v>0.5</v>
      </c>
      <c r="E460" s="495">
        <v>515.88</v>
      </c>
      <c r="F460" s="495">
        <v>124.28</v>
      </c>
      <c r="G460" s="495">
        <v>640.16</v>
      </c>
      <c r="H460" s="495">
        <v>1</v>
      </c>
      <c r="I460" s="495">
        <v>1028.83</v>
      </c>
      <c r="J460" s="494">
        <v>0.2</v>
      </c>
      <c r="K460" s="495">
        <v>205.77</v>
      </c>
      <c r="L460" s="495">
        <v>49.57</v>
      </c>
      <c r="M460" s="495">
        <v>255.34</v>
      </c>
    </row>
    <row r="461" spans="1:13" ht="25.5" customHeight="1" x14ac:dyDescent="0.25">
      <c r="A461" s="488" t="s">
        <v>688</v>
      </c>
      <c r="B461" s="495"/>
      <c r="C461" s="495"/>
      <c r="D461" s="494"/>
      <c r="E461" s="495"/>
      <c r="F461" s="495">
        <v>0</v>
      </c>
      <c r="G461" s="495">
        <v>0</v>
      </c>
      <c r="H461" s="495">
        <v>0.22</v>
      </c>
      <c r="I461" s="495">
        <v>199.32</v>
      </c>
      <c r="J461" s="494">
        <v>0.2</v>
      </c>
      <c r="K461" s="495">
        <v>39.86</v>
      </c>
      <c r="L461" s="495">
        <v>9.6</v>
      </c>
      <c r="M461" s="495">
        <v>49.46</v>
      </c>
    </row>
    <row r="462" spans="1:13" ht="33.75" customHeight="1" x14ac:dyDescent="0.25">
      <c r="A462" s="488" t="s">
        <v>688</v>
      </c>
      <c r="B462" s="495"/>
      <c r="C462" s="495"/>
      <c r="D462" s="494"/>
      <c r="E462" s="495"/>
      <c r="F462" s="495">
        <v>0</v>
      </c>
      <c r="G462" s="495">
        <v>0</v>
      </c>
      <c r="H462" s="495">
        <v>1</v>
      </c>
      <c r="I462" s="495">
        <v>146.44999999999999</v>
      </c>
      <c r="J462" s="494">
        <v>0.2</v>
      </c>
      <c r="K462" s="495">
        <v>29.29</v>
      </c>
      <c r="L462" s="495">
        <v>7.06</v>
      </c>
      <c r="M462" s="495">
        <v>36.35</v>
      </c>
    </row>
    <row r="463" spans="1:13" ht="33.75" customHeight="1" x14ac:dyDescent="0.25">
      <c r="A463" s="488" t="s">
        <v>688</v>
      </c>
      <c r="B463" s="495"/>
      <c r="C463" s="495"/>
      <c r="D463" s="494"/>
      <c r="E463" s="495"/>
      <c r="F463" s="495">
        <v>0</v>
      </c>
      <c r="G463" s="495">
        <v>0</v>
      </c>
      <c r="H463" s="495">
        <v>1</v>
      </c>
      <c r="I463" s="495">
        <v>146.44999999999999</v>
      </c>
      <c r="J463" s="494">
        <v>0.2</v>
      </c>
      <c r="K463" s="495">
        <v>29.29</v>
      </c>
      <c r="L463" s="495">
        <v>7.06</v>
      </c>
      <c r="M463" s="495">
        <v>36.35</v>
      </c>
    </row>
    <row r="464" spans="1:13" ht="33.75" customHeight="1" x14ac:dyDescent="0.25">
      <c r="A464" s="488" t="s">
        <v>688</v>
      </c>
      <c r="B464" s="495"/>
      <c r="C464" s="495"/>
      <c r="D464" s="494"/>
      <c r="E464" s="495"/>
      <c r="F464" s="495">
        <v>0</v>
      </c>
      <c r="G464" s="495">
        <v>0</v>
      </c>
      <c r="H464" s="495">
        <v>1</v>
      </c>
      <c r="I464" s="495">
        <v>422.09</v>
      </c>
      <c r="J464" s="494">
        <v>0.2</v>
      </c>
      <c r="K464" s="495">
        <v>84.42</v>
      </c>
      <c r="L464" s="495">
        <v>20.34</v>
      </c>
      <c r="M464" s="495">
        <v>104.76</v>
      </c>
    </row>
    <row r="465" spans="1:13" ht="33.75" customHeight="1" x14ac:dyDescent="0.25">
      <c r="A465" s="488" t="s">
        <v>688</v>
      </c>
      <c r="B465" s="495"/>
      <c r="C465" s="495"/>
      <c r="D465" s="494"/>
      <c r="E465" s="495"/>
      <c r="F465" s="495">
        <v>0</v>
      </c>
      <c r="G465" s="495">
        <v>0</v>
      </c>
      <c r="H465" s="495">
        <v>1</v>
      </c>
      <c r="I465" s="495">
        <v>926.24</v>
      </c>
      <c r="J465" s="494">
        <v>0.2</v>
      </c>
      <c r="K465" s="495">
        <v>185.25</v>
      </c>
      <c r="L465" s="495">
        <v>44.63</v>
      </c>
      <c r="M465" s="495">
        <v>229.88</v>
      </c>
    </row>
    <row r="466" spans="1:13" ht="33.75" customHeight="1" x14ac:dyDescent="0.25">
      <c r="A466" s="488" t="s">
        <v>688</v>
      </c>
      <c r="B466" s="495"/>
      <c r="C466" s="495"/>
      <c r="D466" s="494"/>
      <c r="E466" s="495"/>
      <c r="F466" s="495">
        <v>0</v>
      </c>
      <c r="G466" s="495">
        <v>0</v>
      </c>
      <c r="H466" s="495">
        <v>1</v>
      </c>
      <c r="I466" s="495">
        <v>926.24</v>
      </c>
      <c r="J466" s="494">
        <v>0.2</v>
      </c>
      <c r="K466" s="495">
        <v>185.25</v>
      </c>
      <c r="L466" s="495">
        <v>44.63</v>
      </c>
      <c r="M466" s="495">
        <v>229.88</v>
      </c>
    </row>
    <row r="467" spans="1:13" ht="33.75" customHeight="1" x14ac:dyDescent="0.25">
      <c r="A467" s="488" t="s">
        <v>688</v>
      </c>
      <c r="B467" s="495"/>
      <c r="C467" s="495"/>
      <c r="D467" s="494"/>
      <c r="E467" s="495"/>
      <c r="F467" s="495">
        <v>0</v>
      </c>
      <c r="G467" s="495">
        <v>0</v>
      </c>
      <c r="H467" s="495">
        <v>1</v>
      </c>
      <c r="I467" s="495">
        <v>703.48</v>
      </c>
      <c r="J467" s="494">
        <v>0.2</v>
      </c>
      <c r="K467" s="495">
        <v>140.69999999999999</v>
      </c>
      <c r="L467" s="495">
        <v>33.89</v>
      </c>
      <c r="M467" s="495">
        <v>174.58999999999997</v>
      </c>
    </row>
    <row r="468" spans="1:13" ht="33.75" customHeight="1" x14ac:dyDescent="0.25">
      <c r="A468" s="488" t="s">
        <v>688</v>
      </c>
      <c r="B468" s="495"/>
      <c r="C468" s="495"/>
      <c r="D468" s="494"/>
      <c r="E468" s="495"/>
      <c r="F468" s="495">
        <v>0</v>
      </c>
      <c r="G468" s="495">
        <v>0</v>
      </c>
      <c r="H468" s="495">
        <v>0.5</v>
      </c>
      <c r="I468" s="495">
        <v>498.63</v>
      </c>
      <c r="J468" s="494">
        <v>0.2</v>
      </c>
      <c r="K468" s="495">
        <v>99.73</v>
      </c>
      <c r="L468" s="495">
        <v>24.02</v>
      </c>
      <c r="M468" s="495">
        <v>123.75</v>
      </c>
    </row>
    <row r="469" spans="1:13" ht="33.75" customHeight="1" x14ac:dyDescent="0.25">
      <c r="A469" s="488" t="s">
        <v>688</v>
      </c>
      <c r="B469" s="495"/>
      <c r="C469" s="495"/>
      <c r="D469" s="494"/>
      <c r="E469" s="495"/>
      <c r="F469" s="495">
        <v>0</v>
      </c>
      <c r="G469" s="495">
        <v>0</v>
      </c>
      <c r="H469" s="495">
        <v>1</v>
      </c>
      <c r="I469" s="495">
        <v>926.24</v>
      </c>
      <c r="J469" s="494">
        <v>0.2</v>
      </c>
      <c r="K469" s="495">
        <v>185.25</v>
      </c>
      <c r="L469" s="495">
        <v>44.63</v>
      </c>
      <c r="M469" s="495">
        <v>229.88</v>
      </c>
    </row>
    <row r="470" spans="1:13" ht="33.75" customHeight="1" x14ac:dyDescent="0.25">
      <c r="A470" s="488" t="s">
        <v>688</v>
      </c>
      <c r="B470" s="495"/>
      <c r="C470" s="495"/>
      <c r="D470" s="494"/>
      <c r="E470" s="495"/>
      <c r="F470" s="495">
        <v>0</v>
      </c>
      <c r="G470" s="495">
        <v>0</v>
      </c>
      <c r="H470" s="495">
        <v>1</v>
      </c>
      <c r="I470" s="495">
        <v>926.24</v>
      </c>
      <c r="J470" s="494">
        <v>0.2</v>
      </c>
      <c r="K470" s="495">
        <v>185.25</v>
      </c>
      <c r="L470" s="495">
        <v>44.63</v>
      </c>
      <c r="M470" s="495">
        <v>229.88</v>
      </c>
    </row>
    <row r="471" spans="1:13" ht="33.75" customHeight="1" x14ac:dyDescent="0.25">
      <c r="A471" s="488" t="s">
        <v>688</v>
      </c>
      <c r="B471" s="495"/>
      <c r="C471" s="495"/>
      <c r="D471" s="494"/>
      <c r="E471" s="495"/>
      <c r="F471" s="495">
        <v>0</v>
      </c>
      <c r="G471" s="495">
        <v>0</v>
      </c>
      <c r="H471" s="495">
        <v>1</v>
      </c>
      <c r="I471" s="495">
        <v>997.26</v>
      </c>
      <c r="J471" s="494">
        <v>0.2</v>
      </c>
      <c r="K471" s="495">
        <v>199.45</v>
      </c>
      <c r="L471" s="495">
        <v>48.05</v>
      </c>
      <c r="M471" s="495">
        <v>247.5</v>
      </c>
    </row>
    <row r="472" spans="1:13" ht="33.75" customHeight="1" x14ac:dyDescent="0.25">
      <c r="A472" s="488" t="s">
        <v>688</v>
      </c>
      <c r="B472" s="495"/>
      <c r="C472" s="495"/>
      <c r="D472" s="494"/>
      <c r="E472" s="495"/>
      <c r="F472" s="495">
        <v>0</v>
      </c>
      <c r="G472" s="495">
        <v>0</v>
      </c>
      <c r="H472" s="495">
        <v>1</v>
      </c>
      <c r="I472" s="495">
        <v>1038</v>
      </c>
      <c r="J472" s="494">
        <v>0.2</v>
      </c>
      <c r="K472" s="495">
        <v>207.6</v>
      </c>
      <c r="L472" s="495">
        <v>50.01</v>
      </c>
      <c r="M472" s="495">
        <v>257.61</v>
      </c>
    </row>
    <row r="473" spans="1:13" ht="33.75" customHeight="1" x14ac:dyDescent="0.25">
      <c r="A473" s="488" t="s">
        <v>688</v>
      </c>
      <c r="B473" s="495"/>
      <c r="C473" s="495"/>
      <c r="D473" s="494"/>
      <c r="E473" s="495"/>
      <c r="F473" s="495">
        <v>0</v>
      </c>
      <c r="G473" s="495">
        <v>0</v>
      </c>
      <c r="H473" s="495">
        <v>1</v>
      </c>
      <c r="I473" s="495">
        <v>691.75</v>
      </c>
      <c r="J473" s="494">
        <v>0.2</v>
      </c>
      <c r="K473" s="495">
        <v>138.35</v>
      </c>
      <c r="L473" s="495">
        <v>33.33</v>
      </c>
      <c r="M473" s="495">
        <v>171.68</v>
      </c>
    </row>
    <row r="474" spans="1:13" ht="33.75" customHeight="1" x14ac:dyDescent="0.25">
      <c r="A474" s="488" t="s">
        <v>688</v>
      </c>
      <c r="B474" s="495"/>
      <c r="C474" s="495"/>
      <c r="D474" s="494"/>
      <c r="E474" s="495"/>
      <c r="F474" s="495">
        <v>0</v>
      </c>
      <c r="G474" s="495">
        <v>0</v>
      </c>
      <c r="H474" s="495">
        <v>1</v>
      </c>
      <c r="I474" s="495">
        <v>926.24</v>
      </c>
      <c r="J474" s="494">
        <v>0.2</v>
      </c>
      <c r="K474" s="495">
        <v>185.25</v>
      </c>
      <c r="L474" s="495">
        <v>44.63</v>
      </c>
      <c r="M474" s="495">
        <v>229.88</v>
      </c>
    </row>
    <row r="475" spans="1:13" ht="33.75" customHeight="1" x14ac:dyDescent="0.25">
      <c r="A475" s="488" t="s">
        <v>688</v>
      </c>
      <c r="B475" s="495"/>
      <c r="C475" s="495"/>
      <c r="D475" s="494"/>
      <c r="E475" s="495"/>
      <c r="F475" s="495">
        <v>0</v>
      </c>
      <c r="G475" s="495">
        <v>0</v>
      </c>
      <c r="H475" s="495">
        <v>1</v>
      </c>
      <c r="I475" s="495">
        <v>926.24</v>
      </c>
      <c r="J475" s="494">
        <v>0.2</v>
      </c>
      <c r="K475" s="495">
        <v>185.25</v>
      </c>
      <c r="L475" s="495">
        <v>44.63</v>
      </c>
      <c r="M475" s="495">
        <v>229.88</v>
      </c>
    </row>
    <row r="476" spans="1:13" ht="33.75" customHeight="1" x14ac:dyDescent="0.25">
      <c r="A476" s="488" t="s">
        <v>688</v>
      </c>
      <c r="B476" s="495"/>
      <c r="C476" s="495"/>
      <c r="D476" s="494"/>
      <c r="E476" s="495"/>
      <c r="F476" s="495">
        <v>0</v>
      </c>
      <c r="G476" s="495">
        <v>0</v>
      </c>
      <c r="H476" s="495">
        <v>1</v>
      </c>
      <c r="I476" s="495">
        <v>978</v>
      </c>
      <c r="J476" s="494">
        <v>0.2</v>
      </c>
      <c r="K476" s="495">
        <v>195.6</v>
      </c>
      <c r="L476" s="495">
        <v>47.12</v>
      </c>
      <c r="M476" s="495">
        <v>242.72</v>
      </c>
    </row>
    <row r="477" spans="1:13" ht="33.75" customHeight="1" x14ac:dyDescent="0.25">
      <c r="A477" s="488" t="s">
        <v>688</v>
      </c>
      <c r="B477" s="495"/>
      <c r="C477" s="495"/>
      <c r="D477" s="494"/>
      <c r="E477" s="495"/>
      <c r="F477" s="495">
        <v>0</v>
      </c>
      <c r="G477" s="495">
        <v>0</v>
      </c>
      <c r="H477" s="495">
        <v>1</v>
      </c>
      <c r="I477" s="495">
        <v>13.4</v>
      </c>
      <c r="J477" s="494">
        <v>0.2</v>
      </c>
      <c r="K477" s="495">
        <v>2.68</v>
      </c>
      <c r="L477" s="495">
        <v>0.65</v>
      </c>
      <c r="M477" s="495">
        <v>3.33</v>
      </c>
    </row>
    <row r="478" spans="1:13" ht="33.75" customHeight="1" x14ac:dyDescent="0.25">
      <c r="A478" s="488" t="s">
        <v>688</v>
      </c>
      <c r="B478" s="495"/>
      <c r="C478" s="495"/>
      <c r="D478" s="494"/>
      <c r="E478" s="495"/>
      <c r="F478" s="495">
        <v>0</v>
      </c>
      <c r="G478" s="495">
        <v>0</v>
      </c>
      <c r="H478" s="495">
        <v>1</v>
      </c>
      <c r="I478" s="495">
        <v>13.4</v>
      </c>
      <c r="J478" s="494">
        <v>0.2</v>
      </c>
      <c r="K478" s="495">
        <v>2.68</v>
      </c>
      <c r="L478" s="495">
        <v>0.65</v>
      </c>
      <c r="M478" s="495">
        <v>3.33</v>
      </c>
    </row>
    <row r="479" spans="1:13" ht="33.75" customHeight="1" x14ac:dyDescent="0.25">
      <c r="A479" s="488" t="s">
        <v>688</v>
      </c>
      <c r="B479" s="495">
        <v>0.25</v>
      </c>
      <c r="C479" s="495">
        <v>493.3</v>
      </c>
      <c r="D479" s="494">
        <v>0.3</v>
      </c>
      <c r="E479" s="495">
        <v>147.99</v>
      </c>
      <c r="F479" s="495">
        <v>35.65</v>
      </c>
      <c r="G479" s="495">
        <v>183.64000000000001</v>
      </c>
      <c r="H479" s="495">
        <v>0.25</v>
      </c>
      <c r="I479" s="495">
        <v>657.72</v>
      </c>
      <c r="J479" s="494">
        <v>0.2</v>
      </c>
      <c r="K479" s="495">
        <v>131.54</v>
      </c>
      <c r="L479" s="495">
        <v>31.69</v>
      </c>
      <c r="M479" s="495">
        <v>163.22999999999999</v>
      </c>
    </row>
    <row r="480" spans="1:13" ht="33.75" customHeight="1" x14ac:dyDescent="0.25">
      <c r="A480" s="488" t="s">
        <v>688</v>
      </c>
      <c r="B480" s="495">
        <v>1</v>
      </c>
      <c r="C480" s="495">
        <v>1229.1300000000001</v>
      </c>
      <c r="D480" s="494">
        <v>0.3</v>
      </c>
      <c r="E480" s="495">
        <v>368.74</v>
      </c>
      <c r="F480" s="495">
        <v>88.83</v>
      </c>
      <c r="G480" s="495">
        <v>457.57</v>
      </c>
      <c r="H480" s="495">
        <v>1</v>
      </c>
      <c r="I480" s="495">
        <v>614.55999999999995</v>
      </c>
      <c r="J480" s="494">
        <v>0.2</v>
      </c>
      <c r="K480" s="495">
        <v>122.91</v>
      </c>
      <c r="L480" s="495">
        <v>29.61</v>
      </c>
      <c r="M480" s="495">
        <v>152.51999999999998</v>
      </c>
    </row>
    <row r="481" spans="1:13" ht="33.75" customHeight="1" x14ac:dyDescent="0.25">
      <c r="A481" s="488" t="s">
        <v>688</v>
      </c>
      <c r="B481" s="495">
        <v>0.15</v>
      </c>
      <c r="C481" s="495">
        <v>1953</v>
      </c>
      <c r="D481" s="494">
        <v>0.3</v>
      </c>
      <c r="E481" s="495">
        <v>585.9</v>
      </c>
      <c r="F481" s="495">
        <v>141.13999999999999</v>
      </c>
      <c r="G481" s="495">
        <v>727.04</v>
      </c>
      <c r="H481" s="495">
        <v>0.15</v>
      </c>
      <c r="I481" s="495">
        <v>164.43</v>
      </c>
      <c r="J481" s="494">
        <v>0.2</v>
      </c>
      <c r="K481" s="495">
        <v>32.89</v>
      </c>
      <c r="L481" s="495">
        <v>7.92</v>
      </c>
      <c r="M481" s="495">
        <v>40.81</v>
      </c>
    </row>
    <row r="482" spans="1:13" ht="33.75" customHeight="1" x14ac:dyDescent="0.25">
      <c r="A482" s="488" t="s">
        <v>688</v>
      </c>
      <c r="B482" s="495">
        <v>1</v>
      </c>
      <c r="C482" s="495">
        <v>1325.17</v>
      </c>
      <c r="D482" s="494">
        <v>0.3</v>
      </c>
      <c r="E482" s="495">
        <v>397.55</v>
      </c>
      <c r="F482" s="495">
        <v>95.77</v>
      </c>
      <c r="G482" s="495">
        <v>493.32</v>
      </c>
      <c r="H482" s="495">
        <v>1</v>
      </c>
      <c r="I482" s="495">
        <v>1229.1300000000001</v>
      </c>
      <c r="J482" s="494">
        <v>0.2</v>
      </c>
      <c r="K482" s="495">
        <v>245.83</v>
      </c>
      <c r="L482" s="495">
        <v>59.22</v>
      </c>
      <c r="M482" s="495">
        <v>305.05</v>
      </c>
    </row>
    <row r="483" spans="1:13" ht="33.75" customHeight="1" x14ac:dyDescent="0.25">
      <c r="A483" s="488" t="s">
        <v>688</v>
      </c>
      <c r="B483" s="495">
        <v>0.15</v>
      </c>
      <c r="C483" s="495">
        <v>157.57</v>
      </c>
      <c r="D483" s="494">
        <v>0.3</v>
      </c>
      <c r="E483" s="495">
        <v>47.27</v>
      </c>
      <c r="F483" s="495">
        <v>11.39</v>
      </c>
      <c r="G483" s="495">
        <v>58.660000000000004</v>
      </c>
      <c r="H483" s="495">
        <v>0.15</v>
      </c>
      <c r="I483" s="495">
        <v>164.43</v>
      </c>
      <c r="J483" s="494">
        <v>0.2</v>
      </c>
      <c r="K483" s="495">
        <v>32.89</v>
      </c>
      <c r="L483" s="495">
        <v>7.92</v>
      </c>
      <c r="M483" s="495">
        <v>40.81</v>
      </c>
    </row>
    <row r="484" spans="1:13" ht="33.75" customHeight="1" x14ac:dyDescent="0.25">
      <c r="A484" s="488" t="s">
        <v>688</v>
      </c>
      <c r="B484" s="495">
        <v>0.5</v>
      </c>
      <c r="C484" s="495">
        <v>710.6</v>
      </c>
      <c r="D484" s="494">
        <v>0.3</v>
      </c>
      <c r="E484" s="495">
        <v>213.18</v>
      </c>
      <c r="F484" s="495">
        <v>51.36</v>
      </c>
      <c r="G484" s="495">
        <v>264.54000000000002</v>
      </c>
      <c r="H484" s="495">
        <v>0.5</v>
      </c>
      <c r="I484" s="495">
        <v>768.2</v>
      </c>
      <c r="J484" s="494">
        <v>0.2</v>
      </c>
      <c r="K484" s="495">
        <v>153.63999999999999</v>
      </c>
      <c r="L484" s="495">
        <v>37.01</v>
      </c>
      <c r="M484" s="495">
        <v>190.64999999999998</v>
      </c>
    </row>
    <row r="485" spans="1:13" ht="33.75" customHeight="1" x14ac:dyDescent="0.25">
      <c r="A485" s="488" t="s">
        <v>688</v>
      </c>
      <c r="B485" s="495">
        <v>1</v>
      </c>
      <c r="C485" s="495">
        <v>1280.33</v>
      </c>
      <c r="D485" s="494">
        <v>0.3</v>
      </c>
      <c r="E485" s="495">
        <v>384.1</v>
      </c>
      <c r="F485" s="495">
        <v>92.53</v>
      </c>
      <c r="G485" s="495">
        <v>476.63</v>
      </c>
      <c r="H485" s="495">
        <v>1</v>
      </c>
      <c r="I485" s="495">
        <v>1478.79</v>
      </c>
      <c r="J485" s="494">
        <v>0.2</v>
      </c>
      <c r="K485" s="495">
        <v>295.76</v>
      </c>
      <c r="L485" s="495">
        <v>71.25</v>
      </c>
      <c r="M485" s="495">
        <v>367.01</v>
      </c>
    </row>
    <row r="486" spans="1:13" ht="33.75" customHeight="1" x14ac:dyDescent="0.25">
      <c r="A486" s="488" t="s">
        <v>688</v>
      </c>
      <c r="B486" s="495">
        <v>1</v>
      </c>
      <c r="C486" s="495">
        <v>921.83</v>
      </c>
      <c r="D486" s="494">
        <v>0.3</v>
      </c>
      <c r="E486" s="495">
        <v>276.55</v>
      </c>
      <c r="F486" s="495">
        <v>66.62</v>
      </c>
      <c r="G486" s="495">
        <v>343.17</v>
      </c>
      <c r="H486" s="495">
        <v>1</v>
      </c>
      <c r="I486" s="495">
        <v>1382.77</v>
      </c>
      <c r="J486" s="494">
        <v>0.2</v>
      </c>
      <c r="K486" s="495">
        <v>276.55</v>
      </c>
      <c r="L486" s="495">
        <v>66.62</v>
      </c>
      <c r="M486" s="495">
        <v>343.17</v>
      </c>
    </row>
    <row r="487" spans="1:13" ht="33.75" customHeight="1" x14ac:dyDescent="0.25">
      <c r="A487" s="488" t="s">
        <v>688</v>
      </c>
      <c r="B487" s="495">
        <v>0.25</v>
      </c>
      <c r="C487" s="495">
        <v>460.93</v>
      </c>
      <c r="D487" s="494">
        <v>0.3</v>
      </c>
      <c r="E487" s="495">
        <v>138.28</v>
      </c>
      <c r="F487" s="495">
        <v>33.31</v>
      </c>
      <c r="G487" s="495">
        <v>171.59</v>
      </c>
      <c r="H487" s="495">
        <v>0.25</v>
      </c>
      <c r="I487" s="495">
        <v>460.92</v>
      </c>
      <c r="J487" s="494">
        <v>0.2</v>
      </c>
      <c r="K487" s="495">
        <v>92.18</v>
      </c>
      <c r="L487" s="495">
        <v>22.21</v>
      </c>
      <c r="M487" s="495">
        <v>114.39000000000001</v>
      </c>
    </row>
    <row r="488" spans="1:13" ht="33.75" customHeight="1" x14ac:dyDescent="0.25">
      <c r="A488" s="488" t="s">
        <v>688</v>
      </c>
      <c r="B488" s="495">
        <v>1</v>
      </c>
      <c r="C488" s="495">
        <v>153.63999999999999</v>
      </c>
      <c r="D488" s="494">
        <v>0.5</v>
      </c>
      <c r="E488" s="495">
        <v>76.819999999999993</v>
      </c>
      <c r="F488" s="495">
        <v>18.510000000000002</v>
      </c>
      <c r="G488" s="495">
        <v>95.33</v>
      </c>
      <c r="H488" s="495">
        <v>1</v>
      </c>
      <c r="I488" s="495">
        <v>1382.77</v>
      </c>
      <c r="J488" s="494">
        <v>0.2</v>
      </c>
      <c r="K488" s="495">
        <v>276.55</v>
      </c>
      <c r="L488" s="495">
        <v>66.62</v>
      </c>
      <c r="M488" s="495">
        <v>343.17</v>
      </c>
    </row>
    <row r="489" spans="1:13" ht="33.75" customHeight="1" x14ac:dyDescent="0.25">
      <c r="A489" s="488" t="s">
        <v>688</v>
      </c>
      <c r="B489" s="495">
        <v>1</v>
      </c>
      <c r="C489" s="495">
        <v>1229.1300000000001</v>
      </c>
      <c r="D489" s="494">
        <v>0.3</v>
      </c>
      <c r="E489" s="495">
        <v>368.74</v>
      </c>
      <c r="F489" s="495">
        <v>88.83</v>
      </c>
      <c r="G489" s="495">
        <v>457.57</v>
      </c>
      <c r="H489" s="495"/>
      <c r="I489" s="495"/>
      <c r="J489" s="494"/>
      <c r="K489" s="495"/>
      <c r="L489" s="495"/>
      <c r="M489" s="495"/>
    </row>
    <row r="490" spans="1:13" ht="33.75" customHeight="1" x14ac:dyDescent="0.25">
      <c r="A490" s="488" t="s">
        <v>688</v>
      </c>
      <c r="B490" s="495">
        <v>1</v>
      </c>
      <c r="C490" s="495">
        <v>1478.8</v>
      </c>
      <c r="D490" s="494">
        <v>0.3</v>
      </c>
      <c r="E490" s="495">
        <v>443.64</v>
      </c>
      <c r="F490" s="495">
        <v>106.87</v>
      </c>
      <c r="G490" s="495">
        <v>550.51</v>
      </c>
      <c r="H490" s="495">
        <v>1</v>
      </c>
      <c r="I490" s="495">
        <v>1440.38</v>
      </c>
      <c r="J490" s="494">
        <v>0.2</v>
      </c>
      <c r="K490" s="495">
        <v>288.08</v>
      </c>
      <c r="L490" s="495">
        <v>69.400000000000006</v>
      </c>
      <c r="M490" s="495">
        <v>357.48</v>
      </c>
    </row>
    <row r="491" spans="1:13" ht="33.75" customHeight="1" x14ac:dyDescent="0.25">
      <c r="A491" s="488" t="s">
        <v>688</v>
      </c>
      <c r="B491" s="495"/>
      <c r="C491" s="495"/>
      <c r="D491" s="494"/>
      <c r="E491" s="495"/>
      <c r="F491" s="495">
        <v>0</v>
      </c>
      <c r="G491" s="495">
        <v>0</v>
      </c>
      <c r="H491" s="495">
        <v>0.25</v>
      </c>
      <c r="I491" s="495">
        <v>295.77999999999997</v>
      </c>
      <c r="J491" s="494">
        <v>0.2</v>
      </c>
      <c r="K491" s="495">
        <v>59.16</v>
      </c>
      <c r="L491" s="495">
        <v>14.25</v>
      </c>
      <c r="M491" s="495">
        <v>73.41</v>
      </c>
    </row>
    <row r="492" spans="1:13" ht="33.75" customHeight="1" x14ac:dyDescent="0.25">
      <c r="A492" s="488" t="s">
        <v>688</v>
      </c>
      <c r="B492" s="495"/>
      <c r="C492" s="495"/>
      <c r="D492" s="494"/>
      <c r="E492" s="495"/>
      <c r="F492" s="495">
        <v>0</v>
      </c>
      <c r="G492" s="495">
        <v>0</v>
      </c>
      <c r="H492" s="495">
        <v>0.25</v>
      </c>
      <c r="I492" s="495">
        <v>295.77999999999997</v>
      </c>
      <c r="J492" s="494">
        <v>0.2</v>
      </c>
      <c r="K492" s="495">
        <v>59.16</v>
      </c>
      <c r="L492" s="495">
        <v>14.25</v>
      </c>
      <c r="M492" s="495">
        <v>73.41</v>
      </c>
    </row>
    <row r="493" spans="1:13" ht="33.75" customHeight="1" x14ac:dyDescent="0.25">
      <c r="A493" s="488" t="s">
        <v>688</v>
      </c>
      <c r="B493" s="495"/>
      <c r="C493" s="495"/>
      <c r="D493" s="494"/>
      <c r="E493" s="495"/>
      <c r="F493" s="495">
        <v>0</v>
      </c>
      <c r="G493" s="495">
        <v>0</v>
      </c>
      <c r="H493" s="495">
        <v>0.25</v>
      </c>
      <c r="I493" s="495">
        <v>295.77999999999997</v>
      </c>
      <c r="J493" s="494">
        <v>0.2</v>
      </c>
      <c r="K493" s="495">
        <v>59.16</v>
      </c>
      <c r="L493" s="495">
        <v>14.25</v>
      </c>
      <c r="M493" s="495">
        <v>73.41</v>
      </c>
    </row>
    <row r="494" spans="1:13" ht="33.75" customHeight="1" x14ac:dyDescent="0.25">
      <c r="A494" s="488" t="s">
        <v>688</v>
      </c>
      <c r="B494" s="495"/>
      <c r="C494" s="495"/>
      <c r="D494" s="494"/>
      <c r="E494" s="495"/>
      <c r="F494" s="495">
        <v>0</v>
      </c>
      <c r="G494" s="495">
        <v>0</v>
      </c>
      <c r="H494" s="495">
        <v>0.25</v>
      </c>
      <c r="I494" s="495">
        <v>295.77999999999997</v>
      </c>
      <c r="J494" s="494">
        <v>0.2</v>
      </c>
      <c r="K494" s="495">
        <v>59.16</v>
      </c>
      <c r="L494" s="495">
        <v>14.25</v>
      </c>
      <c r="M494" s="495">
        <v>73.41</v>
      </c>
    </row>
    <row r="495" spans="1:13" ht="33.75" customHeight="1" x14ac:dyDescent="0.25">
      <c r="A495" s="488" t="s">
        <v>688</v>
      </c>
      <c r="B495" s="495"/>
      <c r="C495" s="495"/>
      <c r="D495" s="494"/>
      <c r="E495" s="495"/>
      <c r="F495" s="495">
        <v>0</v>
      </c>
      <c r="G495" s="495">
        <v>0</v>
      </c>
      <c r="H495" s="495">
        <v>0.5</v>
      </c>
      <c r="I495" s="495">
        <v>591.54999999999995</v>
      </c>
      <c r="J495" s="494">
        <v>0.2</v>
      </c>
      <c r="K495" s="495">
        <v>118.31</v>
      </c>
      <c r="L495" s="495">
        <v>28.5</v>
      </c>
      <c r="M495" s="495">
        <v>146.81</v>
      </c>
    </row>
    <row r="496" spans="1:13" ht="33.75" customHeight="1" x14ac:dyDescent="0.25">
      <c r="A496" s="488" t="s">
        <v>688</v>
      </c>
      <c r="B496" s="495"/>
      <c r="C496" s="495"/>
      <c r="D496" s="494"/>
      <c r="E496" s="495"/>
      <c r="F496" s="495">
        <v>0</v>
      </c>
      <c r="G496" s="495">
        <v>0</v>
      </c>
      <c r="H496" s="495">
        <v>0.5</v>
      </c>
      <c r="I496" s="495">
        <v>591.54999999999995</v>
      </c>
      <c r="J496" s="494">
        <v>0.2</v>
      </c>
      <c r="K496" s="495">
        <v>118.31</v>
      </c>
      <c r="L496" s="495">
        <v>28.5</v>
      </c>
      <c r="M496" s="495">
        <v>146.81</v>
      </c>
    </row>
    <row r="497" spans="1:13" ht="33.75" customHeight="1" x14ac:dyDescent="0.25">
      <c r="A497" s="488" t="s">
        <v>688</v>
      </c>
      <c r="B497" s="495"/>
      <c r="C497" s="495"/>
      <c r="D497" s="494"/>
      <c r="E497" s="495"/>
      <c r="F497" s="495">
        <v>0</v>
      </c>
      <c r="G497" s="495">
        <v>0</v>
      </c>
      <c r="H497" s="495">
        <v>0.75</v>
      </c>
      <c r="I497" s="495">
        <v>739.44</v>
      </c>
      <c r="J497" s="494">
        <v>0.2</v>
      </c>
      <c r="K497" s="495">
        <v>147.88999999999999</v>
      </c>
      <c r="L497" s="495">
        <v>35.630000000000003</v>
      </c>
      <c r="M497" s="495">
        <v>183.51999999999998</v>
      </c>
    </row>
    <row r="498" spans="1:13" ht="33.75" customHeight="1" x14ac:dyDescent="0.25">
      <c r="A498" s="488" t="s">
        <v>688</v>
      </c>
      <c r="B498" s="495"/>
      <c r="C498" s="495"/>
      <c r="D498" s="494"/>
      <c r="E498" s="495"/>
      <c r="F498" s="495">
        <v>0</v>
      </c>
      <c r="G498" s="495">
        <v>0</v>
      </c>
      <c r="H498" s="495">
        <v>0.75</v>
      </c>
      <c r="I498" s="495">
        <v>690.14</v>
      </c>
      <c r="J498" s="494">
        <v>0.2</v>
      </c>
      <c r="K498" s="495">
        <v>138.03</v>
      </c>
      <c r="L498" s="495">
        <v>33.25</v>
      </c>
      <c r="M498" s="495">
        <v>171.28</v>
      </c>
    </row>
    <row r="499" spans="1:13" ht="33.75" customHeight="1" x14ac:dyDescent="0.25">
      <c r="A499" s="488" t="s">
        <v>688</v>
      </c>
      <c r="B499" s="495"/>
      <c r="C499" s="495"/>
      <c r="D499" s="494"/>
      <c r="E499" s="495"/>
      <c r="F499" s="495">
        <v>0</v>
      </c>
      <c r="G499" s="495">
        <v>0</v>
      </c>
      <c r="H499" s="495">
        <v>1</v>
      </c>
      <c r="I499" s="495">
        <v>1183.0999999999999</v>
      </c>
      <c r="J499" s="494">
        <v>0.2</v>
      </c>
      <c r="K499" s="495">
        <v>236.62</v>
      </c>
      <c r="L499" s="495">
        <v>57</v>
      </c>
      <c r="M499" s="495">
        <v>293.62</v>
      </c>
    </row>
    <row r="500" spans="1:13" ht="33.75" customHeight="1" x14ac:dyDescent="0.25">
      <c r="A500" s="488" t="s">
        <v>688</v>
      </c>
      <c r="B500" s="495"/>
      <c r="C500" s="495"/>
      <c r="D500" s="494"/>
      <c r="E500" s="495"/>
      <c r="F500" s="495">
        <v>0</v>
      </c>
      <c r="G500" s="495">
        <v>0</v>
      </c>
      <c r="H500" s="495">
        <v>1</v>
      </c>
      <c r="I500" s="495">
        <v>1232.4000000000001</v>
      </c>
      <c r="J500" s="494">
        <v>0.2</v>
      </c>
      <c r="K500" s="495">
        <v>246.48</v>
      </c>
      <c r="L500" s="495">
        <v>59.38</v>
      </c>
      <c r="M500" s="495">
        <v>305.86</v>
      </c>
    </row>
    <row r="501" spans="1:13" ht="33.75" customHeight="1" x14ac:dyDescent="0.25">
      <c r="A501" s="488" t="s">
        <v>688</v>
      </c>
      <c r="B501" s="495"/>
      <c r="C501" s="495"/>
      <c r="D501" s="494"/>
      <c r="E501" s="495"/>
      <c r="F501" s="495">
        <v>0</v>
      </c>
      <c r="G501" s="495">
        <v>0</v>
      </c>
      <c r="H501" s="495">
        <v>0.5</v>
      </c>
      <c r="I501" s="495">
        <v>591.54999999999995</v>
      </c>
      <c r="J501" s="494">
        <v>0.2</v>
      </c>
      <c r="K501" s="495">
        <v>118.31</v>
      </c>
      <c r="L501" s="495">
        <v>28.5</v>
      </c>
      <c r="M501" s="495">
        <v>146.81</v>
      </c>
    </row>
    <row r="502" spans="1:13" ht="33.75" customHeight="1" x14ac:dyDescent="0.25">
      <c r="A502" s="488" t="s">
        <v>688</v>
      </c>
      <c r="B502" s="495"/>
      <c r="C502" s="495"/>
      <c r="D502" s="494"/>
      <c r="E502" s="495"/>
      <c r="F502" s="495">
        <v>0</v>
      </c>
      <c r="G502" s="495">
        <v>0</v>
      </c>
      <c r="H502" s="495">
        <v>1</v>
      </c>
      <c r="I502" s="495">
        <v>1035.22</v>
      </c>
      <c r="J502" s="494">
        <v>0.2</v>
      </c>
      <c r="K502" s="495">
        <v>207.04</v>
      </c>
      <c r="L502" s="495">
        <v>49.88</v>
      </c>
      <c r="M502" s="495">
        <v>256.92</v>
      </c>
    </row>
    <row r="503" spans="1:13" ht="33.75" customHeight="1" x14ac:dyDescent="0.25">
      <c r="A503" s="488" t="s">
        <v>688</v>
      </c>
      <c r="B503" s="495"/>
      <c r="C503" s="495"/>
      <c r="D503" s="494"/>
      <c r="E503" s="495"/>
      <c r="F503" s="495">
        <v>0</v>
      </c>
      <c r="G503" s="495">
        <v>0</v>
      </c>
      <c r="H503" s="495">
        <v>0.75</v>
      </c>
      <c r="I503" s="495">
        <v>739.44</v>
      </c>
      <c r="J503" s="494">
        <v>0.2</v>
      </c>
      <c r="K503" s="495">
        <v>147.88999999999999</v>
      </c>
      <c r="L503" s="495">
        <v>35.630000000000003</v>
      </c>
      <c r="M503" s="495">
        <v>183.51999999999998</v>
      </c>
    </row>
    <row r="504" spans="1:13" ht="33.75" customHeight="1" x14ac:dyDescent="0.25">
      <c r="A504" s="488" t="s">
        <v>688</v>
      </c>
      <c r="B504" s="495"/>
      <c r="C504" s="495"/>
      <c r="D504" s="494"/>
      <c r="E504" s="495"/>
      <c r="F504" s="495">
        <v>0</v>
      </c>
      <c r="G504" s="495">
        <v>0</v>
      </c>
      <c r="H504" s="495">
        <v>0.5</v>
      </c>
      <c r="I504" s="495">
        <v>591.54999999999995</v>
      </c>
      <c r="J504" s="494">
        <v>0.2</v>
      </c>
      <c r="K504" s="495">
        <v>118.31</v>
      </c>
      <c r="L504" s="495">
        <v>28.5</v>
      </c>
      <c r="M504" s="495">
        <v>146.81</v>
      </c>
    </row>
    <row r="505" spans="1:13" ht="33.75" customHeight="1" x14ac:dyDescent="0.25">
      <c r="A505" s="488" t="s">
        <v>688</v>
      </c>
      <c r="B505" s="495"/>
      <c r="C505" s="495"/>
      <c r="D505" s="494"/>
      <c r="E505" s="495"/>
      <c r="F505" s="495">
        <v>0</v>
      </c>
      <c r="G505" s="495">
        <v>0</v>
      </c>
      <c r="H505" s="495">
        <v>0.5</v>
      </c>
      <c r="I505" s="495">
        <v>1183.0999999999999</v>
      </c>
      <c r="J505" s="494">
        <v>0.2</v>
      </c>
      <c r="K505" s="495">
        <v>236.62</v>
      </c>
      <c r="L505" s="495">
        <v>57</v>
      </c>
      <c r="M505" s="495">
        <v>293.62</v>
      </c>
    </row>
    <row r="506" spans="1:13" ht="33.75" customHeight="1" x14ac:dyDescent="0.25">
      <c r="A506" s="488" t="s">
        <v>960</v>
      </c>
      <c r="B506" s="495"/>
      <c r="C506" s="495"/>
      <c r="D506" s="494"/>
      <c r="E506" s="495"/>
      <c r="F506" s="495">
        <v>0</v>
      </c>
      <c r="G506" s="495">
        <v>0</v>
      </c>
      <c r="H506" s="495">
        <v>1</v>
      </c>
      <c r="I506" s="495">
        <v>1238</v>
      </c>
      <c r="J506" s="494">
        <v>0.2</v>
      </c>
      <c r="K506" s="495">
        <v>247.6</v>
      </c>
      <c r="L506" s="495">
        <v>59.65</v>
      </c>
      <c r="M506" s="495">
        <v>307.25</v>
      </c>
    </row>
    <row r="507" spans="1:13" ht="33.75" customHeight="1" x14ac:dyDescent="0.25">
      <c r="A507" s="488" t="s">
        <v>857</v>
      </c>
      <c r="B507" s="495"/>
      <c r="C507" s="495"/>
      <c r="D507" s="494"/>
      <c r="E507" s="495"/>
      <c r="F507" s="495">
        <v>0</v>
      </c>
      <c r="G507" s="495">
        <v>0</v>
      </c>
      <c r="H507" s="495">
        <v>1</v>
      </c>
      <c r="I507" s="495">
        <v>1550</v>
      </c>
      <c r="J507" s="494">
        <v>0.2</v>
      </c>
      <c r="K507" s="495">
        <v>310</v>
      </c>
      <c r="L507" s="495">
        <v>74.680000000000007</v>
      </c>
      <c r="M507" s="495">
        <v>384.68</v>
      </c>
    </row>
    <row r="508" spans="1:13" s="703" customFormat="1" ht="33.75" customHeight="1" x14ac:dyDescent="0.25">
      <c r="A508" s="488" t="s">
        <v>688</v>
      </c>
      <c r="B508" s="495">
        <v>0.05</v>
      </c>
      <c r="C508" s="495">
        <v>46.04</v>
      </c>
      <c r="D508" s="494">
        <v>0.5</v>
      </c>
      <c r="E508" s="495">
        <v>23.02</v>
      </c>
      <c r="F508" s="495">
        <v>5.55</v>
      </c>
      <c r="G508" s="495">
        <v>28.57</v>
      </c>
      <c r="H508" s="495"/>
      <c r="I508" s="495"/>
      <c r="J508" s="494"/>
      <c r="K508" s="495"/>
      <c r="L508" s="495"/>
      <c r="M508" s="495"/>
    </row>
    <row r="509" spans="1:13" ht="20.45" customHeight="1" x14ac:dyDescent="0.25">
      <c r="A509" s="488" t="s">
        <v>858</v>
      </c>
      <c r="B509" s="495">
        <v>1</v>
      </c>
      <c r="C509" s="495">
        <v>1200</v>
      </c>
      <c r="D509" s="494">
        <v>0.3</v>
      </c>
      <c r="E509" s="495">
        <v>360</v>
      </c>
      <c r="F509" s="495">
        <v>86.72</v>
      </c>
      <c r="G509" s="495">
        <v>446.72</v>
      </c>
      <c r="H509" s="495">
        <v>1</v>
      </c>
      <c r="I509" s="495">
        <v>1200</v>
      </c>
      <c r="J509" s="494">
        <v>0.2</v>
      </c>
      <c r="K509" s="495">
        <v>240</v>
      </c>
      <c r="L509" s="495">
        <v>57.82</v>
      </c>
      <c r="M509" s="495">
        <v>297.82</v>
      </c>
    </row>
    <row r="510" spans="1:13" ht="20.45" customHeight="1" x14ac:dyDescent="0.25">
      <c r="A510" s="488" t="s">
        <v>858</v>
      </c>
      <c r="B510" s="495">
        <v>1</v>
      </c>
      <c r="C510" s="495">
        <v>1200</v>
      </c>
      <c r="D510" s="494">
        <v>0.3</v>
      </c>
      <c r="E510" s="495">
        <v>360</v>
      </c>
      <c r="F510" s="495">
        <v>86.72</v>
      </c>
      <c r="G510" s="495">
        <v>446.72</v>
      </c>
      <c r="H510" s="495">
        <v>1</v>
      </c>
      <c r="I510" s="495">
        <v>1200</v>
      </c>
      <c r="J510" s="494">
        <v>0.2</v>
      </c>
      <c r="K510" s="495">
        <v>240</v>
      </c>
      <c r="L510" s="495">
        <v>57.82</v>
      </c>
      <c r="M510" s="495">
        <v>297.82</v>
      </c>
    </row>
    <row r="511" spans="1:13" ht="20.45" customHeight="1" x14ac:dyDescent="0.25">
      <c r="A511" s="488" t="s">
        <v>858</v>
      </c>
      <c r="B511" s="495">
        <v>1</v>
      </c>
      <c r="C511" s="495">
        <v>1095</v>
      </c>
      <c r="D511" s="494">
        <v>0.3</v>
      </c>
      <c r="E511" s="495">
        <v>328.5</v>
      </c>
      <c r="F511" s="495">
        <v>79.14</v>
      </c>
      <c r="G511" s="495">
        <v>407.64</v>
      </c>
      <c r="H511" s="495">
        <v>1</v>
      </c>
      <c r="I511" s="495">
        <v>1606</v>
      </c>
      <c r="J511" s="494">
        <v>0.2</v>
      </c>
      <c r="K511" s="495">
        <v>321.2</v>
      </c>
      <c r="L511" s="495">
        <v>77.38</v>
      </c>
      <c r="M511" s="495">
        <v>398.58</v>
      </c>
    </row>
    <row r="512" spans="1:13" ht="20.45" customHeight="1" x14ac:dyDescent="0.25">
      <c r="A512" s="488" t="s">
        <v>21</v>
      </c>
      <c r="B512" s="495">
        <v>0.25</v>
      </c>
      <c r="C512" s="495">
        <v>241.06</v>
      </c>
      <c r="D512" s="494">
        <v>0.5</v>
      </c>
      <c r="E512" s="495">
        <v>120.53</v>
      </c>
      <c r="F512" s="495">
        <v>29.04</v>
      </c>
      <c r="G512" s="495">
        <v>149.57</v>
      </c>
      <c r="H512" s="495">
        <v>0.25</v>
      </c>
      <c r="I512" s="495">
        <v>131.49</v>
      </c>
      <c r="J512" s="494">
        <v>0.2</v>
      </c>
      <c r="K512" s="495">
        <v>26.3</v>
      </c>
      <c r="L512" s="495">
        <v>6.34</v>
      </c>
      <c r="M512" s="495">
        <v>32.64</v>
      </c>
    </row>
    <row r="513" spans="1:13" ht="20.45" customHeight="1" x14ac:dyDescent="0.25">
      <c r="A513" s="488" t="s">
        <v>21</v>
      </c>
      <c r="B513" s="495">
        <v>0.5</v>
      </c>
      <c r="C513" s="495">
        <v>507.54</v>
      </c>
      <c r="D513" s="494">
        <v>0.5</v>
      </c>
      <c r="E513" s="495">
        <v>253.77</v>
      </c>
      <c r="F513" s="495">
        <v>61.13</v>
      </c>
      <c r="G513" s="495">
        <v>314.90000000000003</v>
      </c>
      <c r="H513" s="495">
        <v>0.5</v>
      </c>
      <c r="I513" s="495">
        <v>435.03</v>
      </c>
      <c r="J513" s="494">
        <v>0.2</v>
      </c>
      <c r="K513" s="495">
        <v>87.01</v>
      </c>
      <c r="L513" s="495">
        <v>20.96</v>
      </c>
      <c r="M513" s="495">
        <v>107.97</v>
      </c>
    </row>
    <row r="514" spans="1:13" ht="20.45" customHeight="1" x14ac:dyDescent="0.25">
      <c r="A514" s="488" t="s">
        <v>21</v>
      </c>
      <c r="B514" s="495">
        <v>1</v>
      </c>
      <c r="C514" s="495">
        <v>1063.42</v>
      </c>
      <c r="D514" s="494">
        <v>0.5</v>
      </c>
      <c r="E514" s="495">
        <v>531.71</v>
      </c>
      <c r="F514" s="495">
        <v>128.09</v>
      </c>
      <c r="G514" s="495">
        <v>659.80000000000007</v>
      </c>
      <c r="H514" s="495">
        <v>1</v>
      </c>
      <c r="I514" s="495">
        <v>1160.08</v>
      </c>
      <c r="J514" s="494">
        <v>0.2</v>
      </c>
      <c r="K514" s="495">
        <v>232.02</v>
      </c>
      <c r="L514" s="495">
        <v>55.89</v>
      </c>
      <c r="M514" s="495">
        <v>287.91000000000003</v>
      </c>
    </row>
    <row r="515" spans="1:13" ht="20.45" customHeight="1" x14ac:dyDescent="0.25">
      <c r="A515" s="488" t="s">
        <v>21</v>
      </c>
      <c r="B515" s="495"/>
      <c r="C515" s="495"/>
      <c r="D515" s="494"/>
      <c r="E515" s="495"/>
      <c r="F515" s="495">
        <v>0</v>
      </c>
      <c r="G515" s="495">
        <v>0</v>
      </c>
      <c r="H515" s="495">
        <v>0.5</v>
      </c>
      <c r="I515" s="495">
        <v>693.4</v>
      </c>
      <c r="J515" s="494">
        <v>0.2</v>
      </c>
      <c r="K515" s="495">
        <v>138.68</v>
      </c>
      <c r="L515" s="495">
        <v>33.409999999999997</v>
      </c>
      <c r="M515" s="495">
        <v>172.09</v>
      </c>
    </row>
    <row r="516" spans="1:13" ht="20.45" customHeight="1" x14ac:dyDescent="0.25">
      <c r="A516" s="488" t="s">
        <v>21</v>
      </c>
      <c r="B516" s="495"/>
      <c r="C516" s="495"/>
      <c r="D516" s="494"/>
      <c r="E516" s="495"/>
      <c r="F516" s="495">
        <v>0</v>
      </c>
      <c r="G516" s="495">
        <v>0</v>
      </c>
      <c r="H516" s="495">
        <v>1</v>
      </c>
      <c r="I516" s="495">
        <v>1466.92</v>
      </c>
      <c r="J516" s="494">
        <v>0.2</v>
      </c>
      <c r="K516" s="495">
        <v>293.38</v>
      </c>
      <c r="L516" s="495">
        <v>70.680000000000007</v>
      </c>
      <c r="M516" s="495">
        <v>364.06</v>
      </c>
    </row>
    <row r="517" spans="1:13" ht="20.45" customHeight="1" x14ac:dyDescent="0.25">
      <c r="A517" s="488" t="s">
        <v>721</v>
      </c>
      <c r="B517" s="495"/>
      <c r="C517" s="495"/>
      <c r="D517" s="494"/>
      <c r="E517" s="495"/>
      <c r="F517" s="495">
        <v>0</v>
      </c>
      <c r="G517" s="495">
        <v>0</v>
      </c>
      <c r="H517" s="495">
        <v>1</v>
      </c>
      <c r="I517" s="495">
        <v>944.58</v>
      </c>
      <c r="J517" s="494">
        <v>0.2</v>
      </c>
      <c r="K517" s="495">
        <v>188.92</v>
      </c>
      <c r="L517" s="495">
        <v>45.51</v>
      </c>
      <c r="M517" s="495">
        <v>234.42999999999998</v>
      </c>
    </row>
    <row r="518" spans="1:13" ht="20.45" customHeight="1" x14ac:dyDescent="0.25">
      <c r="A518" s="488" t="s">
        <v>721</v>
      </c>
      <c r="B518" s="495"/>
      <c r="C518" s="495"/>
      <c r="D518" s="494"/>
      <c r="E518" s="495"/>
      <c r="F518" s="495">
        <v>0</v>
      </c>
      <c r="G518" s="495">
        <v>0</v>
      </c>
      <c r="H518" s="495">
        <v>1</v>
      </c>
      <c r="I518" s="495">
        <v>942.32</v>
      </c>
      <c r="J518" s="494">
        <v>0.2</v>
      </c>
      <c r="K518" s="495">
        <v>188.46</v>
      </c>
      <c r="L518" s="495">
        <v>45.4</v>
      </c>
      <c r="M518" s="495">
        <v>233.86</v>
      </c>
    </row>
    <row r="519" spans="1:13" ht="20.45" customHeight="1" x14ac:dyDescent="0.25">
      <c r="A519" s="488" t="s">
        <v>721</v>
      </c>
      <c r="B519" s="495">
        <v>1</v>
      </c>
      <c r="C519" s="495">
        <v>52.67</v>
      </c>
      <c r="D519" s="494">
        <v>0.3</v>
      </c>
      <c r="E519" s="495">
        <v>15.8</v>
      </c>
      <c r="F519" s="495">
        <v>3.81</v>
      </c>
      <c r="G519" s="495">
        <v>19.61</v>
      </c>
      <c r="H519" s="495">
        <v>1</v>
      </c>
      <c r="I519" s="495">
        <v>737.14</v>
      </c>
      <c r="J519" s="494">
        <v>0.2</v>
      </c>
      <c r="K519" s="495">
        <v>147.43</v>
      </c>
      <c r="L519" s="495">
        <v>35.520000000000003</v>
      </c>
      <c r="M519" s="495">
        <v>182.95000000000002</v>
      </c>
    </row>
    <row r="520" spans="1:13" ht="20.45" customHeight="1" x14ac:dyDescent="0.25">
      <c r="A520" s="488" t="s">
        <v>721</v>
      </c>
      <c r="B520" s="495"/>
      <c r="C520" s="495"/>
      <c r="D520" s="494"/>
      <c r="E520" s="495"/>
      <c r="F520" s="495">
        <v>0</v>
      </c>
      <c r="G520" s="495">
        <v>0</v>
      </c>
      <c r="H520" s="495">
        <v>1</v>
      </c>
      <c r="I520" s="495">
        <v>998</v>
      </c>
      <c r="J520" s="494">
        <v>0.2</v>
      </c>
      <c r="K520" s="495">
        <v>199.6</v>
      </c>
      <c r="L520" s="495">
        <v>48.08</v>
      </c>
      <c r="M520" s="495">
        <v>247.68</v>
      </c>
    </row>
    <row r="521" spans="1:13" ht="20.45" customHeight="1" x14ac:dyDescent="0.25">
      <c r="A521" s="488" t="s">
        <v>721</v>
      </c>
      <c r="B521" s="495">
        <v>1</v>
      </c>
      <c r="C521" s="495">
        <v>1101.3</v>
      </c>
      <c r="D521" s="494">
        <v>0.3</v>
      </c>
      <c r="E521" s="495">
        <v>330.39</v>
      </c>
      <c r="F521" s="495">
        <v>79.59</v>
      </c>
      <c r="G521" s="495">
        <v>409.98</v>
      </c>
      <c r="H521" s="495">
        <v>1</v>
      </c>
      <c r="I521" s="495">
        <v>1209.6400000000001</v>
      </c>
      <c r="J521" s="494">
        <v>0.2</v>
      </c>
      <c r="K521" s="495">
        <v>241.93</v>
      </c>
      <c r="L521" s="495">
        <v>58.28</v>
      </c>
      <c r="M521" s="495">
        <v>300.21000000000004</v>
      </c>
    </row>
    <row r="522" spans="1:13" ht="20.45" customHeight="1" x14ac:dyDescent="0.25">
      <c r="A522" s="488" t="s">
        <v>721</v>
      </c>
      <c r="B522" s="495">
        <v>0.5</v>
      </c>
      <c r="C522" s="495">
        <v>288.88</v>
      </c>
      <c r="D522" s="494">
        <v>0.5</v>
      </c>
      <c r="E522" s="495">
        <v>144.44</v>
      </c>
      <c r="F522" s="495">
        <v>34.799999999999997</v>
      </c>
      <c r="G522" s="495">
        <v>179.24</v>
      </c>
      <c r="H522" s="495">
        <v>0.5</v>
      </c>
      <c r="I522" s="495">
        <v>722.17</v>
      </c>
      <c r="J522" s="494">
        <v>0.2</v>
      </c>
      <c r="K522" s="495">
        <v>144.43</v>
      </c>
      <c r="L522" s="495">
        <v>34.79</v>
      </c>
      <c r="M522" s="495">
        <v>179.22</v>
      </c>
    </row>
    <row r="523" spans="1:13" ht="20.45" customHeight="1" x14ac:dyDescent="0.25">
      <c r="A523" s="488" t="s">
        <v>721</v>
      </c>
      <c r="B523" s="495">
        <v>0.5</v>
      </c>
      <c r="C523" s="495">
        <v>337</v>
      </c>
      <c r="D523" s="494">
        <v>0.3</v>
      </c>
      <c r="E523" s="495">
        <v>101.1</v>
      </c>
      <c r="F523" s="495">
        <v>24.35</v>
      </c>
      <c r="G523" s="495">
        <v>125.44999999999999</v>
      </c>
      <c r="H523" s="495"/>
      <c r="I523" s="495"/>
      <c r="J523" s="494"/>
      <c r="K523" s="495"/>
      <c r="L523" s="495"/>
      <c r="M523" s="495"/>
    </row>
    <row r="524" spans="1:13" ht="20.45" customHeight="1" x14ac:dyDescent="0.25">
      <c r="A524" s="488" t="s">
        <v>721</v>
      </c>
      <c r="B524" s="495">
        <v>0.5</v>
      </c>
      <c r="C524" s="495">
        <v>722.17</v>
      </c>
      <c r="D524" s="494">
        <v>0.3</v>
      </c>
      <c r="E524" s="495">
        <v>216.65</v>
      </c>
      <c r="F524" s="495">
        <v>52.19</v>
      </c>
      <c r="G524" s="495">
        <v>268.84000000000003</v>
      </c>
      <c r="H524" s="495">
        <v>0.5</v>
      </c>
      <c r="I524" s="495">
        <v>577.74</v>
      </c>
      <c r="J524" s="494">
        <v>0.2</v>
      </c>
      <c r="K524" s="495">
        <v>115.55</v>
      </c>
      <c r="L524" s="495">
        <v>27.84</v>
      </c>
      <c r="M524" s="495">
        <v>143.38999999999999</v>
      </c>
    </row>
    <row r="525" spans="1:13" ht="20.45" customHeight="1" x14ac:dyDescent="0.25">
      <c r="A525" s="488" t="s">
        <v>721</v>
      </c>
      <c r="B525" s="495">
        <v>0.5</v>
      </c>
      <c r="C525" s="495">
        <v>1105.7</v>
      </c>
      <c r="D525" s="494">
        <v>0.3</v>
      </c>
      <c r="E525" s="495">
        <v>331.71</v>
      </c>
      <c r="F525" s="495">
        <v>79.91</v>
      </c>
      <c r="G525" s="495">
        <v>411.62</v>
      </c>
      <c r="H525" s="495">
        <v>0.5</v>
      </c>
      <c r="I525" s="495">
        <v>1263.67</v>
      </c>
      <c r="J525" s="494">
        <v>0.2</v>
      </c>
      <c r="K525" s="495">
        <v>252.73</v>
      </c>
      <c r="L525" s="495">
        <v>60.88</v>
      </c>
      <c r="M525" s="495">
        <v>313.61</v>
      </c>
    </row>
    <row r="526" spans="1:13" ht="20.45" customHeight="1" x14ac:dyDescent="0.25">
      <c r="A526" s="488" t="s">
        <v>721</v>
      </c>
      <c r="B526" s="495">
        <v>0.5</v>
      </c>
      <c r="C526" s="495">
        <v>577.73</v>
      </c>
      <c r="D526" s="494">
        <v>0.3</v>
      </c>
      <c r="E526" s="495">
        <v>173.32</v>
      </c>
      <c r="F526" s="495">
        <v>41.75</v>
      </c>
      <c r="G526" s="495">
        <v>215.07</v>
      </c>
      <c r="H526" s="495">
        <v>0.5</v>
      </c>
      <c r="I526" s="495">
        <v>577.74</v>
      </c>
      <c r="J526" s="494">
        <v>0.2</v>
      </c>
      <c r="K526" s="495">
        <v>115.55</v>
      </c>
      <c r="L526" s="495">
        <v>27.84</v>
      </c>
      <c r="M526" s="495">
        <v>143.38999999999999</v>
      </c>
    </row>
    <row r="527" spans="1:13" ht="20.45" customHeight="1" x14ac:dyDescent="0.25">
      <c r="A527" s="488" t="s">
        <v>721</v>
      </c>
      <c r="B527" s="495">
        <v>1</v>
      </c>
      <c r="C527" s="495">
        <v>379.14</v>
      </c>
      <c r="D527" s="494">
        <v>0.5</v>
      </c>
      <c r="E527" s="495">
        <v>189.57</v>
      </c>
      <c r="F527" s="495">
        <v>45.67</v>
      </c>
      <c r="G527" s="495">
        <v>235.24</v>
      </c>
      <c r="H527" s="495">
        <v>1</v>
      </c>
      <c r="I527" s="495">
        <v>1155.48</v>
      </c>
      <c r="J527" s="494">
        <v>0.2</v>
      </c>
      <c r="K527" s="495">
        <v>231.1</v>
      </c>
      <c r="L527" s="495">
        <v>55.67</v>
      </c>
      <c r="M527" s="495">
        <v>286.77</v>
      </c>
    </row>
    <row r="528" spans="1:13" ht="20.45" customHeight="1" x14ac:dyDescent="0.25">
      <c r="A528" s="488" t="s">
        <v>721</v>
      </c>
      <c r="B528" s="495">
        <v>1</v>
      </c>
      <c r="C528" s="495">
        <v>860.6</v>
      </c>
      <c r="D528" s="494">
        <v>0.3</v>
      </c>
      <c r="E528" s="495">
        <v>258.18</v>
      </c>
      <c r="F528" s="495">
        <v>62.2</v>
      </c>
      <c r="G528" s="495">
        <v>320.38</v>
      </c>
      <c r="H528" s="495"/>
      <c r="I528" s="495"/>
      <c r="J528" s="494"/>
      <c r="K528" s="495"/>
      <c r="L528" s="495"/>
      <c r="M528" s="495"/>
    </row>
    <row r="529" spans="1:13" ht="20.45" customHeight="1" x14ac:dyDescent="0.25">
      <c r="A529" s="488" t="s">
        <v>721</v>
      </c>
      <c r="B529" s="495">
        <v>0.5</v>
      </c>
      <c r="C529" s="495">
        <v>473.87</v>
      </c>
      <c r="D529" s="494">
        <v>0.3</v>
      </c>
      <c r="E529" s="495">
        <v>142.16</v>
      </c>
      <c r="F529" s="495">
        <v>34.25</v>
      </c>
      <c r="G529" s="495">
        <v>176.41</v>
      </c>
      <c r="H529" s="495">
        <v>0.5</v>
      </c>
      <c r="I529" s="495">
        <v>454.13</v>
      </c>
      <c r="J529" s="494">
        <v>0.2</v>
      </c>
      <c r="K529" s="495">
        <v>90.83</v>
      </c>
      <c r="L529" s="495">
        <v>21.88</v>
      </c>
      <c r="M529" s="495">
        <v>112.71</v>
      </c>
    </row>
    <row r="530" spans="1:13" ht="20.45" customHeight="1" x14ac:dyDescent="0.25">
      <c r="A530" s="488" t="s">
        <v>721</v>
      </c>
      <c r="B530" s="495"/>
      <c r="C530" s="495"/>
      <c r="D530" s="494"/>
      <c r="E530" s="495"/>
      <c r="F530" s="495">
        <v>0</v>
      </c>
      <c r="G530" s="495">
        <v>0</v>
      </c>
      <c r="H530" s="495">
        <v>0.5</v>
      </c>
      <c r="I530" s="495">
        <v>577.74</v>
      </c>
      <c r="J530" s="494">
        <v>0.2</v>
      </c>
      <c r="K530" s="495">
        <v>115.55</v>
      </c>
      <c r="L530" s="495">
        <v>27.84</v>
      </c>
      <c r="M530" s="495">
        <v>143.38999999999999</v>
      </c>
    </row>
    <row r="531" spans="1:13" ht="20.45" customHeight="1" x14ac:dyDescent="0.25">
      <c r="A531" s="488" t="s">
        <v>721</v>
      </c>
      <c r="B531" s="495"/>
      <c r="C531" s="495"/>
      <c r="D531" s="494"/>
      <c r="E531" s="495"/>
      <c r="F531" s="495">
        <v>0</v>
      </c>
      <c r="G531" s="495">
        <v>0</v>
      </c>
      <c r="H531" s="495">
        <v>0.5</v>
      </c>
      <c r="I531" s="495">
        <v>608.80999999999995</v>
      </c>
      <c r="J531" s="494">
        <v>0.2</v>
      </c>
      <c r="K531" s="495">
        <v>121.76</v>
      </c>
      <c r="L531" s="495">
        <v>29.33</v>
      </c>
      <c r="M531" s="495">
        <v>151.09</v>
      </c>
    </row>
    <row r="532" spans="1:13" ht="20.45" customHeight="1" x14ac:dyDescent="0.25">
      <c r="A532" s="488" t="s">
        <v>721</v>
      </c>
      <c r="B532" s="495"/>
      <c r="C532" s="495"/>
      <c r="D532" s="494"/>
      <c r="E532" s="495"/>
      <c r="F532" s="495">
        <v>0</v>
      </c>
      <c r="G532" s="495">
        <v>0</v>
      </c>
      <c r="H532" s="495">
        <v>1</v>
      </c>
      <c r="I532" s="495">
        <v>693.4</v>
      </c>
      <c r="J532" s="494">
        <v>0.2</v>
      </c>
      <c r="K532" s="495">
        <v>138.68</v>
      </c>
      <c r="L532" s="495">
        <v>33.409999999999997</v>
      </c>
      <c r="M532" s="495">
        <v>172.09</v>
      </c>
    </row>
    <row r="533" spans="1:13" ht="20.45" customHeight="1" x14ac:dyDescent="0.25">
      <c r="A533" s="488" t="s">
        <v>721</v>
      </c>
      <c r="B533" s="495"/>
      <c r="C533" s="495"/>
      <c r="D533" s="494"/>
      <c r="E533" s="495"/>
      <c r="F533" s="495">
        <v>0</v>
      </c>
      <c r="G533" s="495">
        <v>0</v>
      </c>
      <c r="H533" s="495">
        <v>1</v>
      </c>
      <c r="I533" s="495">
        <v>1201.8900000000001</v>
      </c>
      <c r="J533" s="494">
        <v>0.2</v>
      </c>
      <c r="K533" s="495">
        <v>240.38</v>
      </c>
      <c r="L533" s="495">
        <v>57.91</v>
      </c>
      <c r="M533" s="495">
        <v>298.28999999999996</v>
      </c>
    </row>
    <row r="534" spans="1:13" ht="20.45" customHeight="1" x14ac:dyDescent="0.25">
      <c r="A534" s="488" t="s">
        <v>721</v>
      </c>
      <c r="B534" s="495"/>
      <c r="C534" s="495"/>
      <c r="D534" s="494"/>
      <c r="E534" s="495"/>
      <c r="F534" s="495">
        <v>0</v>
      </c>
      <c r="G534" s="495">
        <v>0</v>
      </c>
      <c r="H534" s="495">
        <v>0.25</v>
      </c>
      <c r="I534" s="495">
        <v>416.04</v>
      </c>
      <c r="J534" s="494">
        <v>0.2</v>
      </c>
      <c r="K534" s="495">
        <v>83.21</v>
      </c>
      <c r="L534" s="495">
        <v>20.05</v>
      </c>
      <c r="M534" s="495">
        <v>103.25999999999999</v>
      </c>
    </row>
    <row r="535" spans="1:13" ht="20.45" customHeight="1" x14ac:dyDescent="0.25">
      <c r="A535" s="488" t="s">
        <v>721</v>
      </c>
      <c r="B535" s="495"/>
      <c r="C535" s="495"/>
      <c r="D535" s="494"/>
      <c r="E535" s="495"/>
      <c r="F535" s="495">
        <v>0</v>
      </c>
      <c r="G535" s="495">
        <v>0</v>
      </c>
      <c r="H535" s="495">
        <v>1</v>
      </c>
      <c r="I535" s="495">
        <v>554.72</v>
      </c>
      <c r="J535" s="494">
        <v>0.2</v>
      </c>
      <c r="K535" s="495">
        <v>110.94</v>
      </c>
      <c r="L535" s="495">
        <v>26.73</v>
      </c>
      <c r="M535" s="495">
        <v>137.66999999999999</v>
      </c>
    </row>
    <row r="536" spans="1:13" ht="20.45" customHeight="1" x14ac:dyDescent="0.25">
      <c r="A536" s="488" t="s">
        <v>721</v>
      </c>
      <c r="B536" s="495"/>
      <c r="C536" s="495"/>
      <c r="D536" s="494"/>
      <c r="E536" s="495"/>
      <c r="F536" s="495">
        <v>0</v>
      </c>
      <c r="G536" s="495">
        <v>0</v>
      </c>
      <c r="H536" s="495">
        <v>0.25</v>
      </c>
      <c r="I536" s="495">
        <v>277.36</v>
      </c>
      <c r="J536" s="494">
        <v>0.2</v>
      </c>
      <c r="K536" s="495">
        <v>55.47</v>
      </c>
      <c r="L536" s="495">
        <v>13.36</v>
      </c>
      <c r="M536" s="495">
        <v>68.83</v>
      </c>
    </row>
    <row r="537" spans="1:13" ht="20.45" customHeight="1" x14ac:dyDescent="0.25">
      <c r="A537" s="488" t="s">
        <v>721</v>
      </c>
      <c r="B537" s="495"/>
      <c r="C537" s="495"/>
      <c r="D537" s="494"/>
      <c r="E537" s="495"/>
      <c r="F537" s="495">
        <v>0</v>
      </c>
      <c r="G537" s="495">
        <v>0</v>
      </c>
      <c r="H537" s="495">
        <v>0.25</v>
      </c>
      <c r="I537" s="495">
        <v>277.36</v>
      </c>
      <c r="J537" s="494">
        <v>0.2</v>
      </c>
      <c r="K537" s="495">
        <v>55.47</v>
      </c>
      <c r="L537" s="495">
        <v>13.36</v>
      </c>
      <c r="M537" s="495">
        <v>68.83</v>
      </c>
    </row>
    <row r="538" spans="1:13" ht="20.45" customHeight="1" x14ac:dyDescent="0.25">
      <c r="A538" s="488" t="s">
        <v>721</v>
      </c>
      <c r="B538" s="495"/>
      <c r="C538" s="495"/>
      <c r="D538" s="494"/>
      <c r="E538" s="495"/>
      <c r="F538" s="495">
        <v>0</v>
      </c>
      <c r="G538" s="495">
        <v>0</v>
      </c>
      <c r="H538" s="495">
        <v>0.5</v>
      </c>
      <c r="I538" s="495">
        <v>608.80999999999995</v>
      </c>
      <c r="J538" s="494">
        <v>0.2</v>
      </c>
      <c r="K538" s="495">
        <v>121.76</v>
      </c>
      <c r="L538" s="495">
        <v>29.33</v>
      </c>
      <c r="M538" s="495">
        <v>151.09</v>
      </c>
    </row>
    <row r="539" spans="1:13" ht="20.45" customHeight="1" x14ac:dyDescent="0.25">
      <c r="A539" s="488" t="s">
        <v>721</v>
      </c>
      <c r="B539" s="495"/>
      <c r="C539" s="495"/>
      <c r="D539" s="494"/>
      <c r="E539" s="495"/>
      <c r="F539" s="495">
        <v>0</v>
      </c>
      <c r="G539" s="495">
        <v>0</v>
      </c>
      <c r="H539" s="495">
        <v>1</v>
      </c>
      <c r="I539" s="495">
        <v>1217.6300000000001</v>
      </c>
      <c r="J539" s="494">
        <v>0.2</v>
      </c>
      <c r="K539" s="495">
        <v>243.53</v>
      </c>
      <c r="L539" s="495">
        <v>58.67</v>
      </c>
      <c r="M539" s="495">
        <v>302.2</v>
      </c>
    </row>
    <row r="540" spans="1:13" ht="20.45" customHeight="1" x14ac:dyDescent="0.25">
      <c r="A540" s="488" t="s">
        <v>721</v>
      </c>
      <c r="B540" s="495"/>
      <c r="C540" s="495"/>
      <c r="D540" s="494"/>
      <c r="E540" s="495"/>
      <c r="F540" s="495">
        <v>0</v>
      </c>
      <c r="G540" s="495">
        <v>0</v>
      </c>
      <c r="H540" s="495">
        <v>1</v>
      </c>
      <c r="I540" s="495">
        <v>1109.43</v>
      </c>
      <c r="J540" s="494">
        <v>0.2</v>
      </c>
      <c r="K540" s="495">
        <v>221.89</v>
      </c>
      <c r="L540" s="495">
        <v>53.45</v>
      </c>
      <c r="M540" s="495">
        <v>275.33999999999997</v>
      </c>
    </row>
    <row r="541" spans="1:13" ht="20.45" customHeight="1" x14ac:dyDescent="0.25">
      <c r="A541" s="488" t="s">
        <v>721</v>
      </c>
      <c r="B541" s="495"/>
      <c r="C541" s="495"/>
      <c r="D541" s="494"/>
      <c r="E541" s="495"/>
      <c r="F541" s="495">
        <v>0</v>
      </c>
      <c r="G541" s="495">
        <v>0</v>
      </c>
      <c r="H541" s="495">
        <v>0.25</v>
      </c>
      <c r="I541" s="495">
        <v>600.94000000000005</v>
      </c>
      <c r="J541" s="494">
        <v>0.2</v>
      </c>
      <c r="K541" s="495">
        <v>120.19</v>
      </c>
      <c r="L541" s="495">
        <v>28.95</v>
      </c>
      <c r="M541" s="495">
        <v>149.13999999999999</v>
      </c>
    </row>
    <row r="542" spans="1:13" ht="20.45" customHeight="1" x14ac:dyDescent="0.25">
      <c r="A542" s="488" t="s">
        <v>721</v>
      </c>
      <c r="B542" s="495"/>
      <c r="C542" s="495"/>
      <c r="D542" s="494"/>
      <c r="E542" s="495"/>
      <c r="F542" s="495">
        <v>0</v>
      </c>
      <c r="G542" s="495">
        <v>0</v>
      </c>
      <c r="H542" s="495">
        <v>1</v>
      </c>
      <c r="I542" s="495">
        <v>1217.6300000000001</v>
      </c>
      <c r="J542" s="494">
        <v>0.2</v>
      </c>
      <c r="K542" s="495">
        <v>243.53</v>
      </c>
      <c r="L542" s="495">
        <v>58.67</v>
      </c>
      <c r="M542" s="495">
        <v>302.2</v>
      </c>
    </row>
    <row r="543" spans="1:13" ht="20.45" customHeight="1" x14ac:dyDescent="0.25">
      <c r="A543" s="488" t="s">
        <v>721</v>
      </c>
      <c r="B543" s="495"/>
      <c r="C543" s="495"/>
      <c r="D543" s="494"/>
      <c r="E543" s="495"/>
      <c r="F543" s="495">
        <v>0</v>
      </c>
      <c r="G543" s="495">
        <v>0</v>
      </c>
      <c r="H543" s="495">
        <v>1</v>
      </c>
      <c r="I543" s="495">
        <v>1109.43</v>
      </c>
      <c r="J543" s="494">
        <v>0.2</v>
      </c>
      <c r="K543" s="495">
        <v>221.89</v>
      </c>
      <c r="L543" s="495">
        <v>53.45</v>
      </c>
      <c r="M543" s="495">
        <v>275.33999999999997</v>
      </c>
    </row>
    <row r="544" spans="1:13" ht="20.45" customHeight="1" x14ac:dyDescent="0.25">
      <c r="A544" s="488" t="s">
        <v>721</v>
      </c>
      <c r="B544" s="495"/>
      <c r="C544" s="495"/>
      <c r="D544" s="494"/>
      <c r="E544" s="495"/>
      <c r="F544" s="495">
        <v>0</v>
      </c>
      <c r="G544" s="495">
        <v>0</v>
      </c>
      <c r="H544" s="495">
        <v>0.5</v>
      </c>
      <c r="I544" s="495">
        <v>1109.43</v>
      </c>
      <c r="J544" s="494">
        <v>0.2</v>
      </c>
      <c r="K544" s="495">
        <v>221.89</v>
      </c>
      <c r="L544" s="495">
        <v>53.45</v>
      </c>
      <c r="M544" s="495">
        <v>275.33999999999997</v>
      </c>
    </row>
    <row r="545" spans="1:13" ht="20.45" customHeight="1" x14ac:dyDescent="0.25">
      <c r="A545" s="488" t="s">
        <v>721</v>
      </c>
      <c r="B545" s="495"/>
      <c r="C545" s="495"/>
      <c r="D545" s="494"/>
      <c r="E545" s="495"/>
      <c r="F545" s="495">
        <v>0</v>
      </c>
      <c r="G545" s="495">
        <v>0</v>
      </c>
      <c r="H545" s="495">
        <v>0.5</v>
      </c>
      <c r="I545" s="495">
        <v>608.80999999999995</v>
      </c>
      <c r="J545" s="494">
        <v>0.2</v>
      </c>
      <c r="K545" s="495">
        <v>121.76</v>
      </c>
      <c r="L545" s="495">
        <v>29.33</v>
      </c>
      <c r="M545" s="495">
        <v>151.09</v>
      </c>
    </row>
    <row r="546" spans="1:13" ht="20.45" customHeight="1" x14ac:dyDescent="0.25">
      <c r="A546" s="488" t="s">
        <v>396</v>
      </c>
      <c r="B546" s="495">
        <v>1</v>
      </c>
      <c r="C546" s="495">
        <v>931</v>
      </c>
      <c r="D546" s="494">
        <v>0.5</v>
      </c>
      <c r="E546" s="495">
        <v>465.5</v>
      </c>
      <c r="F546" s="495">
        <v>112.14</v>
      </c>
      <c r="G546" s="495">
        <v>577.64</v>
      </c>
      <c r="H546" s="495">
        <v>1</v>
      </c>
      <c r="I546" s="495">
        <v>931</v>
      </c>
      <c r="J546" s="494">
        <v>0.2</v>
      </c>
      <c r="K546" s="495">
        <v>186.2</v>
      </c>
      <c r="L546" s="495">
        <v>44.86</v>
      </c>
      <c r="M546" s="495">
        <v>231.06</v>
      </c>
    </row>
    <row r="547" spans="1:13" ht="20.45" customHeight="1" x14ac:dyDescent="0.25">
      <c r="A547" s="488" t="s">
        <v>396</v>
      </c>
      <c r="B547" s="495">
        <v>1</v>
      </c>
      <c r="C547" s="495">
        <v>80.28</v>
      </c>
      <c r="D547" s="494">
        <v>0.5</v>
      </c>
      <c r="E547" s="495">
        <v>40.14</v>
      </c>
      <c r="F547" s="495">
        <v>9.67</v>
      </c>
      <c r="G547" s="495">
        <v>49.81</v>
      </c>
      <c r="H547" s="495">
        <v>1</v>
      </c>
      <c r="I547" s="495">
        <v>190.65</v>
      </c>
      <c r="J547" s="494">
        <v>0.2</v>
      </c>
      <c r="K547" s="495">
        <v>38.130000000000003</v>
      </c>
      <c r="L547" s="495">
        <v>9.19</v>
      </c>
      <c r="M547" s="495">
        <v>47.32</v>
      </c>
    </row>
    <row r="548" spans="1:13" ht="20.45" customHeight="1" x14ac:dyDescent="0.25">
      <c r="A548" s="488" t="s">
        <v>396</v>
      </c>
      <c r="B548" s="495">
        <v>1</v>
      </c>
      <c r="C548" s="495">
        <v>423.18</v>
      </c>
      <c r="D548" s="494">
        <v>0.5</v>
      </c>
      <c r="E548" s="495">
        <v>211.59</v>
      </c>
      <c r="F548" s="495">
        <v>50.97</v>
      </c>
      <c r="G548" s="495">
        <v>262.56</v>
      </c>
      <c r="H548" s="495">
        <v>1</v>
      </c>
      <c r="I548" s="495">
        <v>931</v>
      </c>
      <c r="J548" s="494">
        <v>0.2</v>
      </c>
      <c r="K548" s="495">
        <v>186.2</v>
      </c>
      <c r="L548" s="495">
        <v>44.86</v>
      </c>
      <c r="M548" s="495">
        <v>231.06</v>
      </c>
    </row>
    <row r="549" spans="1:13" ht="20.45" customHeight="1" x14ac:dyDescent="0.25">
      <c r="A549" s="488" t="s">
        <v>396</v>
      </c>
      <c r="B549" s="495"/>
      <c r="C549" s="495"/>
      <c r="D549" s="494"/>
      <c r="E549" s="495"/>
      <c r="F549" s="495">
        <v>0</v>
      </c>
      <c r="G549" s="495">
        <v>0</v>
      </c>
      <c r="H549" s="495">
        <v>1</v>
      </c>
      <c r="I549" s="495">
        <v>242.75</v>
      </c>
      <c r="J549" s="494">
        <v>0.2</v>
      </c>
      <c r="K549" s="495">
        <v>48.55</v>
      </c>
      <c r="L549" s="495">
        <v>11.7</v>
      </c>
      <c r="M549" s="495">
        <v>60.25</v>
      </c>
    </row>
    <row r="550" spans="1:13" ht="20.45" customHeight="1" x14ac:dyDescent="0.25">
      <c r="A550" s="488" t="s">
        <v>396</v>
      </c>
      <c r="B550" s="495">
        <v>1</v>
      </c>
      <c r="C550" s="495">
        <v>931</v>
      </c>
      <c r="D550" s="494">
        <v>0.5</v>
      </c>
      <c r="E550" s="495">
        <v>465.5</v>
      </c>
      <c r="F550" s="495">
        <v>112.14</v>
      </c>
      <c r="G550" s="495">
        <v>577.64</v>
      </c>
      <c r="H550" s="495">
        <v>1</v>
      </c>
      <c r="I550" s="495">
        <v>931</v>
      </c>
      <c r="J550" s="494">
        <v>0.2</v>
      </c>
      <c r="K550" s="495">
        <v>186.2</v>
      </c>
      <c r="L550" s="495">
        <v>44.86</v>
      </c>
      <c r="M550" s="495">
        <v>231.06</v>
      </c>
    </row>
    <row r="551" spans="1:13" ht="20.45" customHeight="1" x14ac:dyDescent="0.25">
      <c r="A551" s="488" t="s">
        <v>396</v>
      </c>
      <c r="B551" s="495">
        <v>1</v>
      </c>
      <c r="C551" s="495">
        <v>931</v>
      </c>
      <c r="D551" s="494">
        <v>0.5</v>
      </c>
      <c r="E551" s="495">
        <v>465.5</v>
      </c>
      <c r="F551" s="495">
        <v>112.14</v>
      </c>
      <c r="G551" s="495">
        <v>577.64</v>
      </c>
      <c r="H551" s="495">
        <v>1</v>
      </c>
      <c r="I551" s="495">
        <v>931</v>
      </c>
      <c r="J551" s="494">
        <v>0.2</v>
      </c>
      <c r="K551" s="495">
        <v>186.2</v>
      </c>
      <c r="L551" s="495">
        <v>44.86</v>
      </c>
      <c r="M551" s="495">
        <v>231.06</v>
      </c>
    </row>
    <row r="552" spans="1:13" ht="20.45" customHeight="1" x14ac:dyDescent="0.25">
      <c r="A552" s="488" t="s">
        <v>396</v>
      </c>
      <c r="B552" s="495"/>
      <c r="C552" s="495"/>
      <c r="D552" s="494"/>
      <c r="E552" s="495"/>
      <c r="F552" s="495">
        <v>0</v>
      </c>
      <c r="G552" s="495">
        <v>0</v>
      </c>
      <c r="H552" s="495">
        <v>1</v>
      </c>
      <c r="I552" s="495">
        <v>459.91</v>
      </c>
      <c r="J552" s="494">
        <v>0.2</v>
      </c>
      <c r="K552" s="495">
        <v>91.98</v>
      </c>
      <c r="L552" s="495">
        <v>22.16</v>
      </c>
      <c r="M552" s="495">
        <v>114.14</v>
      </c>
    </row>
    <row r="553" spans="1:13" ht="20.45" customHeight="1" x14ac:dyDescent="0.25">
      <c r="A553" s="488" t="s">
        <v>396</v>
      </c>
      <c r="B553" s="495">
        <v>1</v>
      </c>
      <c r="C553" s="495">
        <v>148.6</v>
      </c>
      <c r="D553" s="494">
        <v>0.5</v>
      </c>
      <c r="E553" s="495">
        <v>74.3</v>
      </c>
      <c r="F553" s="495">
        <v>17.899999999999999</v>
      </c>
      <c r="G553" s="495">
        <v>92.199999999999989</v>
      </c>
      <c r="H553" s="495">
        <v>1</v>
      </c>
      <c r="I553" s="495">
        <v>443.58</v>
      </c>
      <c r="J553" s="494">
        <v>0.2</v>
      </c>
      <c r="K553" s="495">
        <v>88.72</v>
      </c>
      <c r="L553" s="495">
        <v>21.37</v>
      </c>
      <c r="M553" s="495">
        <v>110.09</v>
      </c>
    </row>
    <row r="554" spans="1:13" ht="16.149999999999999" customHeight="1" x14ac:dyDescent="0.25">
      <c r="A554" s="488" t="s">
        <v>396</v>
      </c>
      <c r="B554" s="495">
        <v>1</v>
      </c>
      <c r="C554" s="495">
        <v>72.44</v>
      </c>
      <c r="D554" s="494">
        <v>0.5</v>
      </c>
      <c r="E554" s="495">
        <v>36.22</v>
      </c>
      <c r="F554" s="495">
        <v>8.73</v>
      </c>
      <c r="G554" s="495">
        <v>44.95</v>
      </c>
      <c r="H554" s="495">
        <v>1</v>
      </c>
      <c r="I554" s="495">
        <v>476.24</v>
      </c>
      <c r="J554" s="494">
        <v>0.2</v>
      </c>
      <c r="K554" s="495">
        <v>95.25</v>
      </c>
      <c r="L554" s="495">
        <v>22.95</v>
      </c>
      <c r="M554" s="495">
        <v>118.2</v>
      </c>
    </row>
    <row r="555" spans="1:13" ht="16.149999999999999" customHeight="1" x14ac:dyDescent="0.25">
      <c r="A555" s="488" t="s">
        <v>396</v>
      </c>
      <c r="B555" s="495">
        <v>1</v>
      </c>
      <c r="C555" s="495">
        <v>958</v>
      </c>
      <c r="D555" s="494">
        <v>0.5</v>
      </c>
      <c r="E555" s="495">
        <v>479</v>
      </c>
      <c r="F555" s="495">
        <v>115.39</v>
      </c>
      <c r="G555" s="495">
        <v>594.39</v>
      </c>
      <c r="H555" s="495"/>
      <c r="I555" s="495"/>
      <c r="J555" s="494"/>
      <c r="K555" s="495"/>
      <c r="L555" s="495"/>
      <c r="M555" s="495"/>
    </row>
    <row r="556" spans="1:13" ht="16.149999999999999" customHeight="1" x14ac:dyDescent="0.25">
      <c r="A556" s="488" t="s">
        <v>396</v>
      </c>
      <c r="B556" s="495">
        <v>1</v>
      </c>
      <c r="C556" s="495">
        <v>931</v>
      </c>
      <c r="D556" s="494">
        <v>0.5</v>
      </c>
      <c r="E556" s="495">
        <v>465.5</v>
      </c>
      <c r="F556" s="495">
        <v>112.14</v>
      </c>
      <c r="G556" s="495">
        <v>577.64</v>
      </c>
      <c r="H556" s="495"/>
      <c r="I556" s="495"/>
      <c r="J556" s="494"/>
      <c r="K556" s="495"/>
      <c r="L556" s="495"/>
      <c r="M556" s="495"/>
    </row>
    <row r="557" spans="1:13" ht="16.149999999999999" customHeight="1" x14ac:dyDescent="0.25">
      <c r="A557" s="488" t="s">
        <v>396</v>
      </c>
      <c r="B557" s="495">
        <v>1</v>
      </c>
      <c r="C557" s="495">
        <v>609.64</v>
      </c>
      <c r="D557" s="494">
        <v>0.5</v>
      </c>
      <c r="E557" s="495">
        <v>304.82</v>
      </c>
      <c r="F557" s="495">
        <v>73.430000000000007</v>
      </c>
      <c r="G557" s="495">
        <v>378.25</v>
      </c>
      <c r="H557" s="495"/>
      <c r="I557" s="495"/>
      <c r="J557" s="494"/>
      <c r="K557" s="495"/>
      <c r="L557" s="495"/>
      <c r="M557" s="495"/>
    </row>
    <row r="558" spans="1:13" ht="16.149999999999999" customHeight="1" x14ac:dyDescent="0.25">
      <c r="A558" s="488" t="s">
        <v>396</v>
      </c>
      <c r="B558" s="495">
        <v>1</v>
      </c>
      <c r="C558" s="495">
        <v>522.54</v>
      </c>
      <c r="D558" s="494">
        <v>0.5</v>
      </c>
      <c r="E558" s="495">
        <v>261.27</v>
      </c>
      <c r="F558" s="495">
        <v>62.94</v>
      </c>
      <c r="G558" s="495">
        <v>324.20999999999998</v>
      </c>
      <c r="H558" s="495"/>
      <c r="I558" s="495"/>
      <c r="J558" s="494"/>
      <c r="K558" s="495"/>
      <c r="L558" s="495"/>
      <c r="M558" s="495"/>
    </row>
    <row r="559" spans="1:13" ht="16.149999999999999" customHeight="1" x14ac:dyDescent="0.25">
      <c r="A559" s="488" t="s">
        <v>396</v>
      </c>
      <c r="B559" s="495">
        <v>1</v>
      </c>
      <c r="C559" s="495">
        <v>931</v>
      </c>
      <c r="D559" s="494">
        <v>0.5</v>
      </c>
      <c r="E559" s="495">
        <v>465.5</v>
      </c>
      <c r="F559" s="495">
        <v>112.14</v>
      </c>
      <c r="G559" s="495">
        <v>577.64</v>
      </c>
      <c r="H559" s="495">
        <v>1</v>
      </c>
      <c r="I559" s="495">
        <v>299.04000000000002</v>
      </c>
      <c r="J559" s="494">
        <v>0.2</v>
      </c>
      <c r="K559" s="495">
        <v>59.81</v>
      </c>
      <c r="L559" s="495">
        <v>14.41</v>
      </c>
      <c r="M559" s="495">
        <v>74.22</v>
      </c>
    </row>
    <row r="560" spans="1:13" ht="16.149999999999999" customHeight="1" x14ac:dyDescent="0.25">
      <c r="A560" s="488" t="s">
        <v>396</v>
      </c>
      <c r="B560" s="495"/>
      <c r="C560" s="495"/>
      <c r="D560" s="494"/>
      <c r="E560" s="495"/>
      <c r="F560" s="495">
        <v>0</v>
      </c>
      <c r="G560" s="495">
        <v>0</v>
      </c>
      <c r="H560" s="495">
        <v>1</v>
      </c>
      <c r="I560" s="495">
        <v>209.18</v>
      </c>
      <c r="J560" s="494">
        <v>0.2</v>
      </c>
      <c r="K560" s="495">
        <v>41.84</v>
      </c>
      <c r="L560" s="495">
        <v>10.08</v>
      </c>
      <c r="M560" s="495">
        <v>51.92</v>
      </c>
    </row>
    <row r="561" spans="1:13" ht="16.149999999999999" customHeight="1" x14ac:dyDescent="0.25">
      <c r="A561" s="488" t="s">
        <v>396</v>
      </c>
      <c r="B561" s="495">
        <v>1</v>
      </c>
      <c r="C561" s="495">
        <v>931</v>
      </c>
      <c r="D561" s="494">
        <v>0.5</v>
      </c>
      <c r="E561" s="495">
        <v>465.5</v>
      </c>
      <c r="F561" s="495">
        <v>112.14</v>
      </c>
      <c r="G561" s="495">
        <v>577.64</v>
      </c>
      <c r="H561" s="495">
        <v>1</v>
      </c>
      <c r="I561" s="495">
        <v>433.09</v>
      </c>
      <c r="J561" s="494">
        <v>0.2</v>
      </c>
      <c r="K561" s="495">
        <v>86.62</v>
      </c>
      <c r="L561" s="495">
        <v>20.87</v>
      </c>
      <c r="M561" s="495">
        <v>107.49000000000001</v>
      </c>
    </row>
    <row r="562" spans="1:13" ht="16.149999999999999" customHeight="1" x14ac:dyDescent="0.25">
      <c r="A562" s="488" t="s">
        <v>396</v>
      </c>
      <c r="B562" s="495">
        <v>1</v>
      </c>
      <c r="C562" s="495">
        <v>719.4</v>
      </c>
      <c r="D562" s="494">
        <v>0.5</v>
      </c>
      <c r="E562" s="495">
        <v>359.7</v>
      </c>
      <c r="F562" s="495">
        <v>86.65</v>
      </c>
      <c r="G562" s="495">
        <v>446.35</v>
      </c>
      <c r="H562" s="495">
        <v>1</v>
      </c>
      <c r="I562" s="495">
        <v>218.02</v>
      </c>
      <c r="J562" s="494">
        <v>0.2</v>
      </c>
      <c r="K562" s="495">
        <v>43.6</v>
      </c>
      <c r="L562" s="495">
        <v>10.5</v>
      </c>
      <c r="M562" s="495">
        <v>54.1</v>
      </c>
    </row>
    <row r="563" spans="1:13" ht="16.149999999999999" customHeight="1" x14ac:dyDescent="0.25">
      <c r="A563" s="488" t="s">
        <v>396</v>
      </c>
      <c r="B563" s="495">
        <v>1</v>
      </c>
      <c r="C563" s="495">
        <v>592.46</v>
      </c>
      <c r="D563" s="494">
        <v>0.5</v>
      </c>
      <c r="E563" s="495">
        <v>296.23</v>
      </c>
      <c r="F563" s="495">
        <v>71.36</v>
      </c>
      <c r="G563" s="495">
        <v>367.59000000000003</v>
      </c>
      <c r="H563" s="495">
        <v>1</v>
      </c>
      <c r="I563" s="495">
        <v>141.41999999999999</v>
      </c>
      <c r="J563" s="494">
        <v>0.2</v>
      </c>
      <c r="K563" s="495">
        <v>28.28</v>
      </c>
      <c r="L563" s="495">
        <v>6.81</v>
      </c>
      <c r="M563" s="495">
        <v>35.090000000000003</v>
      </c>
    </row>
    <row r="564" spans="1:13" ht="16.149999999999999" customHeight="1" x14ac:dyDescent="0.25">
      <c r="A564" s="488" t="s">
        <v>396</v>
      </c>
      <c r="B564" s="495">
        <v>1</v>
      </c>
      <c r="C564" s="495">
        <v>931</v>
      </c>
      <c r="D564" s="494">
        <v>0.5</v>
      </c>
      <c r="E564" s="495">
        <v>465.5</v>
      </c>
      <c r="F564" s="495">
        <v>112.14</v>
      </c>
      <c r="G564" s="495">
        <v>577.64</v>
      </c>
      <c r="H564" s="495">
        <v>1</v>
      </c>
      <c r="I564" s="495">
        <v>931</v>
      </c>
      <c r="J564" s="494">
        <v>0.2</v>
      </c>
      <c r="K564" s="495">
        <v>186.2</v>
      </c>
      <c r="L564" s="495">
        <v>44.86</v>
      </c>
      <c r="M564" s="495">
        <v>231.06</v>
      </c>
    </row>
    <row r="565" spans="1:13" ht="16.149999999999999" customHeight="1" x14ac:dyDescent="0.25">
      <c r="A565" s="488" t="s">
        <v>396</v>
      </c>
      <c r="B565" s="495">
        <v>1</v>
      </c>
      <c r="C565" s="495">
        <v>931</v>
      </c>
      <c r="D565" s="494">
        <v>0.5</v>
      </c>
      <c r="E565" s="495">
        <v>465.5</v>
      </c>
      <c r="F565" s="495">
        <v>112.14</v>
      </c>
      <c r="G565" s="495">
        <v>577.64</v>
      </c>
      <c r="H565" s="495">
        <v>1</v>
      </c>
      <c r="I565" s="495">
        <v>394.79</v>
      </c>
      <c r="J565" s="494">
        <v>0.2</v>
      </c>
      <c r="K565" s="495">
        <v>78.959999999999994</v>
      </c>
      <c r="L565" s="495">
        <v>19.02</v>
      </c>
      <c r="M565" s="495">
        <v>97.97999999999999</v>
      </c>
    </row>
    <row r="566" spans="1:13" ht="16.149999999999999" customHeight="1" x14ac:dyDescent="0.25">
      <c r="A566" s="488" t="s">
        <v>396</v>
      </c>
      <c r="B566" s="495">
        <v>1</v>
      </c>
      <c r="C566" s="495">
        <v>837</v>
      </c>
      <c r="D566" s="494">
        <v>0.5</v>
      </c>
      <c r="E566" s="495">
        <v>418.5</v>
      </c>
      <c r="F566" s="495">
        <v>100.82</v>
      </c>
      <c r="G566" s="495">
        <v>519.31999999999994</v>
      </c>
      <c r="H566" s="495">
        <v>1</v>
      </c>
      <c r="I566" s="495">
        <v>180.12</v>
      </c>
      <c r="J566" s="494">
        <v>0.2</v>
      </c>
      <c r="K566" s="495">
        <v>36.020000000000003</v>
      </c>
      <c r="L566" s="495">
        <v>8.68</v>
      </c>
      <c r="M566" s="495">
        <v>44.7</v>
      </c>
    </row>
    <row r="567" spans="1:13" ht="16.149999999999999" customHeight="1" x14ac:dyDescent="0.25">
      <c r="A567" s="488" t="s">
        <v>396</v>
      </c>
      <c r="B567" s="495">
        <v>1</v>
      </c>
      <c r="C567" s="495">
        <v>931</v>
      </c>
      <c r="D567" s="494">
        <v>0.5</v>
      </c>
      <c r="E567" s="495">
        <v>465.5</v>
      </c>
      <c r="F567" s="495">
        <v>112.14</v>
      </c>
      <c r="G567" s="495">
        <v>577.64</v>
      </c>
      <c r="H567" s="495">
        <v>1</v>
      </c>
      <c r="I567" s="495">
        <v>50.09</v>
      </c>
      <c r="J567" s="494">
        <v>0.2</v>
      </c>
      <c r="K567" s="495">
        <v>10.02</v>
      </c>
      <c r="L567" s="495">
        <v>2.41</v>
      </c>
      <c r="M567" s="495">
        <v>12.43</v>
      </c>
    </row>
    <row r="568" spans="1:13" ht="16.149999999999999" customHeight="1" x14ac:dyDescent="0.25">
      <c r="A568" s="488" t="s">
        <v>396</v>
      </c>
      <c r="B568" s="495">
        <v>1</v>
      </c>
      <c r="C568" s="495">
        <v>931</v>
      </c>
      <c r="D568" s="494">
        <v>0.5</v>
      </c>
      <c r="E568" s="495">
        <v>465.5</v>
      </c>
      <c r="F568" s="495">
        <v>112.14</v>
      </c>
      <c r="G568" s="495">
        <v>577.64</v>
      </c>
      <c r="H568" s="495">
        <v>1</v>
      </c>
      <c r="I568" s="495">
        <v>230.39</v>
      </c>
      <c r="J568" s="494">
        <v>0.2</v>
      </c>
      <c r="K568" s="495">
        <v>46.08</v>
      </c>
      <c r="L568" s="495">
        <v>11.1</v>
      </c>
      <c r="M568" s="495">
        <v>57.18</v>
      </c>
    </row>
    <row r="569" spans="1:13" ht="16.149999999999999" customHeight="1" x14ac:dyDescent="0.25">
      <c r="A569" s="488" t="s">
        <v>396</v>
      </c>
      <c r="B569" s="495">
        <v>1</v>
      </c>
      <c r="C569" s="495">
        <v>931</v>
      </c>
      <c r="D569" s="494">
        <v>0.5</v>
      </c>
      <c r="E569" s="495">
        <v>465.5</v>
      </c>
      <c r="F569" s="495">
        <v>112.14</v>
      </c>
      <c r="G569" s="495">
        <v>577.64</v>
      </c>
      <c r="H569" s="495">
        <v>1</v>
      </c>
      <c r="I569" s="495">
        <v>931</v>
      </c>
      <c r="J569" s="494">
        <v>0.2</v>
      </c>
      <c r="K569" s="495">
        <v>186.2</v>
      </c>
      <c r="L569" s="495">
        <v>44.86</v>
      </c>
      <c r="M569" s="495">
        <v>231.06</v>
      </c>
    </row>
    <row r="570" spans="1:13" ht="16.149999999999999" customHeight="1" x14ac:dyDescent="0.25">
      <c r="A570" s="488" t="s">
        <v>396</v>
      </c>
      <c r="B570" s="495">
        <v>1</v>
      </c>
      <c r="C570" s="495">
        <v>931</v>
      </c>
      <c r="D570" s="494">
        <v>0.5</v>
      </c>
      <c r="E570" s="495">
        <v>465.5</v>
      </c>
      <c r="F570" s="495">
        <v>112.14</v>
      </c>
      <c r="G570" s="495">
        <v>577.64</v>
      </c>
      <c r="H570" s="495">
        <v>1</v>
      </c>
      <c r="I570" s="495">
        <v>297.57</v>
      </c>
      <c r="J570" s="494">
        <v>0.2</v>
      </c>
      <c r="K570" s="495">
        <v>59.51</v>
      </c>
      <c r="L570" s="495">
        <v>14.34</v>
      </c>
      <c r="M570" s="495">
        <v>73.849999999999994</v>
      </c>
    </row>
    <row r="571" spans="1:13" ht="16.149999999999999" customHeight="1" x14ac:dyDescent="0.25">
      <c r="A571" s="488" t="s">
        <v>396</v>
      </c>
      <c r="B571" s="495">
        <v>1</v>
      </c>
      <c r="C571" s="495">
        <v>931</v>
      </c>
      <c r="D571" s="494">
        <v>0.5</v>
      </c>
      <c r="E571" s="495">
        <v>465.5</v>
      </c>
      <c r="F571" s="495">
        <v>112.14</v>
      </c>
      <c r="G571" s="495">
        <v>577.64</v>
      </c>
      <c r="H571" s="495">
        <v>1</v>
      </c>
      <c r="I571" s="495">
        <v>931</v>
      </c>
      <c r="J571" s="494">
        <v>0.2</v>
      </c>
      <c r="K571" s="495">
        <v>186.2</v>
      </c>
      <c r="L571" s="495">
        <v>44.86</v>
      </c>
      <c r="M571" s="495">
        <v>231.06</v>
      </c>
    </row>
    <row r="572" spans="1:13" ht="16.149999999999999" customHeight="1" x14ac:dyDescent="0.25">
      <c r="A572" s="488" t="s">
        <v>396</v>
      </c>
      <c r="B572" s="495">
        <v>1</v>
      </c>
      <c r="C572" s="495">
        <v>931</v>
      </c>
      <c r="D572" s="494">
        <v>0.5</v>
      </c>
      <c r="E572" s="495">
        <v>465.5</v>
      </c>
      <c r="F572" s="495">
        <v>112.14</v>
      </c>
      <c r="G572" s="495">
        <v>577.64</v>
      </c>
      <c r="H572" s="495">
        <v>1</v>
      </c>
      <c r="I572" s="495">
        <v>931</v>
      </c>
      <c r="J572" s="494">
        <v>0.2</v>
      </c>
      <c r="K572" s="495">
        <v>186.2</v>
      </c>
      <c r="L572" s="495">
        <v>44.86</v>
      </c>
      <c r="M572" s="495">
        <v>231.06</v>
      </c>
    </row>
    <row r="573" spans="1:13" ht="16.149999999999999" customHeight="1" x14ac:dyDescent="0.25">
      <c r="A573" s="488" t="s">
        <v>396</v>
      </c>
      <c r="B573" s="495">
        <v>1</v>
      </c>
      <c r="C573" s="495">
        <v>931</v>
      </c>
      <c r="D573" s="494">
        <v>0.5</v>
      </c>
      <c r="E573" s="495">
        <v>465.5</v>
      </c>
      <c r="F573" s="495">
        <v>112.14</v>
      </c>
      <c r="G573" s="495">
        <v>577.64</v>
      </c>
      <c r="H573" s="495">
        <v>1</v>
      </c>
      <c r="I573" s="495">
        <v>931</v>
      </c>
      <c r="J573" s="494">
        <v>0.2</v>
      </c>
      <c r="K573" s="495">
        <v>186.2</v>
      </c>
      <c r="L573" s="495">
        <v>44.86</v>
      </c>
      <c r="M573" s="495">
        <v>231.06</v>
      </c>
    </row>
    <row r="574" spans="1:13" ht="16.149999999999999" customHeight="1" x14ac:dyDescent="0.25">
      <c r="A574" s="488" t="s">
        <v>396</v>
      </c>
      <c r="B574" s="495">
        <v>1</v>
      </c>
      <c r="C574" s="495">
        <v>931</v>
      </c>
      <c r="D574" s="494">
        <v>0.5</v>
      </c>
      <c r="E574" s="495">
        <v>465.5</v>
      </c>
      <c r="F574" s="495">
        <v>112.14</v>
      </c>
      <c r="G574" s="495">
        <v>577.64</v>
      </c>
      <c r="H574" s="495">
        <v>1</v>
      </c>
      <c r="I574" s="495">
        <v>182.66</v>
      </c>
      <c r="J574" s="494">
        <v>0.2</v>
      </c>
      <c r="K574" s="495">
        <v>36.53</v>
      </c>
      <c r="L574" s="495">
        <v>8.8000000000000007</v>
      </c>
      <c r="M574" s="495">
        <v>45.33</v>
      </c>
    </row>
    <row r="575" spans="1:13" ht="16.149999999999999" customHeight="1" x14ac:dyDescent="0.25">
      <c r="A575" s="488" t="s">
        <v>396</v>
      </c>
      <c r="B575" s="495">
        <v>1</v>
      </c>
      <c r="C575" s="495">
        <v>846.36</v>
      </c>
      <c r="D575" s="494">
        <v>0.5</v>
      </c>
      <c r="E575" s="495">
        <v>423.18</v>
      </c>
      <c r="F575" s="495">
        <v>101.94</v>
      </c>
      <c r="G575" s="495">
        <v>525.12</v>
      </c>
      <c r="H575" s="495">
        <v>1</v>
      </c>
      <c r="I575" s="495">
        <v>76.599999999999994</v>
      </c>
      <c r="J575" s="494">
        <v>0.2</v>
      </c>
      <c r="K575" s="495">
        <v>15.32</v>
      </c>
      <c r="L575" s="495">
        <v>3.69</v>
      </c>
      <c r="M575" s="495">
        <v>19.010000000000002</v>
      </c>
    </row>
    <row r="576" spans="1:13" ht="16.149999999999999" customHeight="1" x14ac:dyDescent="0.25">
      <c r="A576" s="488" t="s">
        <v>396</v>
      </c>
      <c r="B576" s="495">
        <v>1</v>
      </c>
      <c r="C576" s="495">
        <v>719.4</v>
      </c>
      <c r="D576" s="494">
        <v>0.5</v>
      </c>
      <c r="E576" s="495">
        <v>359.7</v>
      </c>
      <c r="F576" s="495">
        <v>86.65</v>
      </c>
      <c r="G576" s="495">
        <v>446.35</v>
      </c>
      <c r="H576" s="495">
        <v>1</v>
      </c>
      <c r="I576" s="495">
        <v>931</v>
      </c>
      <c r="J576" s="494">
        <v>0.2</v>
      </c>
      <c r="K576" s="495">
        <v>186.2</v>
      </c>
      <c r="L576" s="495">
        <v>44.86</v>
      </c>
      <c r="M576" s="495">
        <v>231.06</v>
      </c>
    </row>
    <row r="577" spans="1:13" ht="16.149999999999999" customHeight="1" x14ac:dyDescent="0.25">
      <c r="A577" s="488" t="s">
        <v>396</v>
      </c>
      <c r="B577" s="495">
        <v>1</v>
      </c>
      <c r="C577" s="495">
        <v>931</v>
      </c>
      <c r="D577" s="494">
        <v>0.5</v>
      </c>
      <c r="E577" s="495">
        <v>465.5</v>
      </c>
      <c r="F577" s="495">
        <v>112.14</v>
      </c>
      <c r="G577" s="495">
        <v>577.64</v>
      </c>
      <c r="H577" s="495"/>
      <c r="I577" s="495"/>
      <c r="J577" s="494"/>
      <c r="K577" s="495"/>
      <c r="L577" s="495"/>
      <c r="M577" s="495"/>
    </row>
    <row r="578" spans="1:13" ht="16.149999999999999" customHeight="1" x14ac:dyDescent="0.25">
      <c r="A578" s="488" t="s">
        <v>396</v>
      </c>
      <c r="B578" s="495">
        <v>1</v>
      </c>
      <c r="C578" s="495">
        <v>47.62</v>
      </c>
      <c r="D578" s="494">
        <v>0.5</v>
      </c>
      <c r="E578" s="495">
        <v>23.81</v>
      </c>
      <c r="F578" s="495">
        <v>5.74</v>
      </c>
      <c r="G578" s="495">
        <v>29.549999999999997</v>
      </c>
      <c r="H578" s="495"/>
      <c r="I578" s="495"/>
      <c r="J578" s="494"/>
      <c r="K578" s="495"/>
      <c r="L578" s="495"/>
      <c r="M578" s="495"/>
    </row>
    <row r="579" spans="1:13" ht="16.149999999999999" customHeight="1" x14ac:dyDescent="0.25">
      <c r="A579" s="488" t="s">
        <v>396</v>
      </c>
      <c r="B579" s="495"/>
      <c r="C579" s="495"/>
      <c r="D579" s="494"/>
      <c r="E579" s="495"/>
      <c r="F579" s="495">
        <v>0</v>
      </c>
      <c r="G579" s="495">
        <v>0</v>
      </c>
      <c r="H579" s="495">
        <v>1</v>
      </c>
      <c r="I579" s="495">
        <v>854</v>
      </c>
      <c r="J579" s="494">
        <v>0.2</v>
      </c>
      <c r="K579" s="495">
        <v>170.8</v>
      </c>
      <c r="L579" s="495">
        <v>41.15</v>
      </c>
      <c r="M579" s="495">
        <v>211.95000000000002</v>
      </c>
    </row>
    <row r="580" spans="1:13" ht="16.149999999999999" customHeight="1" x14ac:dyDescent="0.25">
      <c r="A580" s="488" t="s">
        <v>961</v>
      </c>
      <c r="B580" s="495">
        <v>1</v>
      </c>
      <c r="C580" s="495">
        <v>908</v>
      </c>
      <c r="D580" s="494">
        <v>0.3</v>
      </c>
      <c r="E580" s="495">
        <v>272.39999999999998</v>
      </c>
      <c r="F580" s="495">
        <v>65.62</v>
      </c>
      <c r="G580" s="495">
        <v>338.02</v>
      </c>
      <c r="H580" s="495"/>
      <c r="I580" s="495"/>
      <c r="J580" s="494"/>
      <c r="K580" s="495"/>
      <c r="L580" s="495"/>
      <c r="M580" s="495"/>
    </row>
    <row r="581" spans="1:13" ht="16.149999999999999" customHeight="1" x14ac:dyDescent="0.25">
      <c r="A581" s="488" t="s">
        <v>859</v>
      </c>
      <c r="B581" s="495"/>
      <c r="C581" s="495"/>
      <c r="D581" s="494"/>
      <c r="E581" s="495"/>
      <c r="F581" s="495">
        <v>0</v>
      </c>
      <c r="G581" s="495">
        <v>0</v>
      </c>
      <c r="H581" s="495">
        <v>0.9</v>
      </c>
      <c r="I581" s="495">
        <v>1218.8800000000001</v>
      </c>
      <c r="J581" s="494">
        <v>0.2</v>
      </c>
      <c r="K581" s="495">
        <v>243.78</v>
      </c>
      <c r="L581" s="495">
        <v>58.73</v>
      </c>
      <c r="M581" s="495">
        <v>302.51</v>
      </c>
    </row>
    <row r="582" spans="1:13" ht="16.149999999999999" customHeight="1" x14ac:dyDescent="0.25">
      <c r="A582" s="488" t="s">
        <v>704</v>
      </c>
      <c r="B582" s="495"/>
      <c r="C582" s="495"/>
      <c r="D582" s="494"/>
      <c r="E582" s="495"/>
      <c r="F582" s="495">
        <v>0</v>
      </c>
      <c r="G582" s="495">
        <v>0</v>
      </c>
      <c r="H582" s="495">
        <v>1</v>
      </c>
      <c r="I582" s="495">
        <v>1127.5</v>
      </c>
      <c r="J582" s="494">
        <v>0.2</v>
      </c>
      <c r="K582" s="495">
        <v>225.5</v>
      </c>
      <c r="L582" s="495">
        <v>54.32</v>
      </c>
      <c r="M582" s="495">
        <v>279.82</v>
      </c>
    </row>
    <row r="583" spans="1:13" ht="16.149999999999999" customHeight="1" x14ac:dyDescent="0.25">
      <c r="A583" s="488" t="s">
        <v>704</v>
      </c>
      <c r="B583" s="495"/>
      <c r="C583" s="495"/>
      <c r="D583" s="494"/>
      <c r="E583" s="495"/>
      <c r="F583" s="495">
        <v>0</v>
      </c>
      <c r="G583" s="495">
        <v>0</v>
      </c>
      <c r="H583" s="495">
        <v>1</v>
      </c>
      <c r="I583" s="495">
        <v>1127.5</v>
      </c>
      <c r="J583" s="494">
        <v>0.2</v>
      </c>
      <c r="K583" s="495">
        <v>225.5</v>
      </c>
      <c r="L583" s="495">
        <v>54.32</v>
      </c>
      <c r="M583" s="495">
        <v>279.82</v>
      </c>
    </row>
    <row r="584" spans="1:13" ht="16.149999999999999" customHeight="1" x14ac:dyDescent="0.25">
      <c r="A584" s="488" t="s">
        <v>704</v>
      </c>
      <c r="B584" s="495">
        <v>1</v>
      </c>
      <c r="C584" s="495">
        <v>1070</v>
      </c>
      <c r="D584" s="494">
        <v>0.5</v>
      </c>
      <c r="E584" s="495">
        <v>535</v>
      </c>
      <c r="F584" s="495">
        <v>128.88</v>
      </c>
      <c r="G584" s="495">
        <v>663.88</v>
      </c>
      <c r="H584" s="495">
        <v>1</v>
      </c>
      <c r="I584" s="495">
        <v>1070</v>
      </c>
      <c r="J584" s="494">
        <v>0.2</v>
      </c>
      <c r="K584" s="495">
        <v>214</v>
      </c>
      <c r="L584" s="495">
        <v>51.55</v>
      </c>
      <c r="M584" s="495">
        <v>265.55</v>
      </c>
    </row>
    <row r="585" spans="1:13" ht="16.149999999999999" customHeight="1" x14ac:dyDescent="0.25">
      <c r="A585" s="488" t="s">
        <v>681</v>
      </c>
      <c r="B585" s="495">
        <v>0.15</v>
      </c>
      <c r="C585" s="495">
        <v>1375</v>
      </c>
      <c r="D585" s="494">
        <v>0.5</v>
      </c>
      <c r="E585" s="495">
        <v>687.5</v>
      </c>
      <c r="F585" s="495">
        <v>165.62</v>
      </c>
      <c r="G585" s="495">
        <v>853.12</v>
      </c>
      <c r="H585" s="495">
        <v>0.15</v>
      </c>
      <c r="I585" s="495">
        <v>141.41</v>
      </c>
      <c r="J585" s="494">
        <v>0.2</v>
      </c>
      <c r="K585" s="495">
        <v>28.28</v>
      </c>
      <c r="L585" s="495">
        <v>6.81</v>
      </c>
      <c r="M585" s="495">
        <v>35.090000000000003</v>
      </c>
    </row>
    <row r="586" spans="1:13" ht="16.149999999999999" customHeight="1" x14ac:dyDescent="0.25">
      <c r="A586" s="488" t="s">
        <v>681</v>
      </c>
      <c r="B586" s="495">
        <v>1</v>
      </c>
      <c r="C586" s="495">
        <v>957.92</v>
      </c>
      <c r="D586" s="494">
        <v>0.5</v>
      </c>
      <c r="E586" s="495">
        <v>478.96</v>
      </c>
      <c r="F586" s="495">
        <v>115.38</v>
      </c>
      <c r="G586" s="495">
        <v>594.33999999999992</v>
      </c>
      <c r="H586" s="495">
        <v>1</v>
      </c>
      <c r="I586" s="495">
        <v>914.37</v>
      </c>
      <c r="J586" s="494">
        <v>0.2</v>
      </c>
      <c r="K586" s="495">
        <v>182.87</v>
      </c>
      <c r="L586" s="495">
        <v>44.05</v>
      </c>
      <c r="M586" s="495">
        <v>226.92000000000002</v>
      </c>
    </row>
    <row r="587" spans="1:13" ht="16.149999999999999" customHeight="1" x14ac:dyDescent="0.25">
      <c r="A587" s="488" t="s">
        <v>681</v>
      </c>
      <c r="B587" s="495">
        <v>0.75</v>
      </c>
      <c r="C587" s="495">
        <v>957.92</v>
      </c>
      <c r="D587" s="494">
        <v>0.5</v>
      </c>
      <c r="E587" s="495">
        <v>478.96</v>
      </c>
      <c r="F587" s="495">
        <v>115.38</v>
      </c>
      <c r="G587" s="495">
        <v>594.33999999999992</v>
      </c>
      <c r="H587" s="495">
        <v>0.75</v>
      </c>
      <c r="I587" s="495">
        <v>699.39</v>
      </c>
      <c r="J587" s="494">
        <v>0.2</v>
      </c>
      <c r="K587" s="495">
        <v>139.88</v>
      </c>
      <c r="L587" s="495">
        <v>33.700000000000003</v>
      </c>
      <c r="M587" s="495">
        <v>173.57999999999998</v>
      </c>
    </row>
    <row r="588" spans="1:13" ht="16.149999999999999" customHeight="1" x14ac:dyDescent="0.25">
      <c r="A588" s="488" t="s">
        <v>681</v>
      </c>
      <c r="B588" s="495"/>
      <c r="C588" s="495"/>
      <c r="D588" s="494"/>
      <c r="E588" s="495"/>
      <c r="F588" s="495">
        <v>0</v>
      </c>
      <c r="G588" s="495">
        <v>0</v>
      </c>
      <c r="H588" s="495">
        <v>0.75</v>
      </c>
      <c r="I588" s="495">
        <v>214.99</v>
      </c>
      <c r="J588" s="494">
        <v>0.2</v>
      </c>
      <c r="K588" s="495">
        <v>43</v>
      </c>
      <c r="L588" s="495">
        <v>10.36</v>
      </c>
      <c r="M588" s="495">
        <v>53.36</v>
      </c>
    </row>
    <row r="589" spans="1:13" ht="16.149999999999999" customHeight="1" x14ac:dyDescent="0.25">
      <c r="A589" s="488" t="s">
        <v>681</v>
      </c>
      <c r="B589" s="495">
        <v>1</v>
      </c>
      <c r="C589" s="495">
        <v>391.88</v>
      </c>
      <c r="D589" s="494">
        <v>0.5</v>
      </c>
      <c r="E589" s="495">
        <v>195.94</v>
      </c>
      <c r="F589" s="495">
        <v>47.2</v>
      </c>
      <c r="G589" s="495">
        <v>243.14</v>
      </c>
      <c r="H589" s="495">
        <v>1</v>
      </c>
      <c r="I589" s="495">
        <v>1045</v>
      </c>
      <c r="J589" s="494">
        <v>0.2</v>
      </c>
      <c r="K589" s="495">
        <v>209</v>
      </c>
      <c r="L589" s="495">
        <v>50.35</v>
      </c>
      <c r="M589" s="495">
        <v>259.35000000000002</v>
      </c>
    </row>
    <row r="590" spans="1:13" ht="16.149999999999999" customHeight="1" x14ac:dyDescent="0.25">
      <c r="A590" s="488" t="s">
        <v>681</v>
      </c>
      <c r="B590" s="495">
        <v>0.75</v>
      </c>
      <c r="C590" s="495">
        <v>718.44</v>
      </c>
      <c r="D590" s="494">
        <v>0.5</v>
      </c>
      <c r="E590" s="495">
        <v>359.22</v>
      </c>
      <c r="F590" s="495">
        <v>86.54</v>
      </c>
      <c r="G590" s="495">
        <v>445.76000000000005</v>
      </c>
      <c r="H590" s="495">
        <v>0.75</v>
      </c>
      <c r="I590" s="495">
        <v>261.25</v>
      </c>
      <c r="J590" s="494">
        <v>0.2</v>
      </c>
      <c r="K590" s="495">
        <v>52.25</v>
      </c>
      <c r="L590" s="495">
        <v>12.59</v>
      </c>
      <c r="M590" s="495">
        <v>64.84</v>
      </c>
    </row>
    <row r="591" spans="1:13" ht="16.149999999999999" customHeight="1" x14ac:dyDescent="0.25">
      <c r="A591" s="488" t="s">
        <v>681</v>
      </c>
      <c r="B591" s="495">
        <v>0.5</v>
      </c>
      <c r="C591" s="495">
        <v>304.8</v>
      </c>
      <c r="D591" s="494">
        <v>0.5</v>
      </c>
      <c r="E591" s="495">
        <v>152.4</v>
      </c>
      <c r="F591" s="495">
        <v>36.71</v>
      </c>
      <c r="G591" s="495">
        <v>189.11</v>
      </c>
      <c r="H591" s="495">
        <v>0.5</v>
      </c>
      <c r="I591" s="495">
        <v>391.87</v>
      </c>
      <c r="J591" s="494">
        <v>0.2</v>
      </c>
      <c r="K591" s="495">
        <v>78.37</v>
      </c>
      <c r="L591" s="495">
        <v>18.88</v>
      </c>
      <c r="M591" s="495">
        <v>97.25</v>
      </c>
    </row>
    <row r="592" spans="1:13" ht="16.149999999999999" customHeight="1" x14ac:dyDescent="0.25">
      <c r="A592" s="488" t="s">
        <v>681</v>
      </c>
      <c r="B592" s="495">
        <v>1</v>
      </c>
      <c r="C592" s="495">
        <v>957.92</v>
      </c>
      <c r="D592" s="494">
        <v>0.5</v>
      </c>
      <c r="E592" s="495">
        <v>478.96</v>
      </c>
      <c r="F592" s="495">
        <v>115.38</v>
      </c>
      <c r="G592" s="495">
        <v>594.33999999999992</v>
      </c>
      <c r="H592" s="495">
        <v>1</v>
      </c>
      <c r="I592" s="495">
        <v>914.37</v>
      </c>
      <c r="J592" s="494">
        <v>0.2</v>
      </c>
      <c r="K592" s="495">
        <v>182.87</v>
      </c>
      <c r="L592" s="495">
        <v>44.05</v>
      </c>
      <c r="M592" s="495">
        <v>226.92000000000002</v>
      </c>
    </row>
    <row r="593" spans="1:13" ht="16.149999999999999" customHeight="1" x14ac:dyDescent="0.25">
      <c r="A593" s="488" t="s">
        <v>681</v>
      </c>
      <c r="B593" s="495">
        <v>1</v>
      </c>
      <c r="C593" s="495">
        <v>957.92</v>
      </c>
      <c r="D593" s="494">
        <v>0.5</v>
      </c>
      <c r="E593" s="495">
        <v>478.96</v>
      </c>
      <c r="F593" s="495">
        <v>115.38</v>
      </c>
      <c r="G593" s="495">
        <v>594.33999999999992</v>
      </c>
      <c r="H593" s="495">
        <v>1</v>
      </c>
      <c r="I593" s="495">
        <v>914.37</v>
      </c>
      <c r="J593" s="494">
        <v>0.2</v>
      </c>
      <c r="K593" s="495">
        <v>182.87</v>
      </c>
      <c r="L593" s="495">
        <v>44.05</v>
      </c>
      <c r="M593" s="495">
        <v>226.92000000000002</v>
      </c>
    </row>
    <row r="594" spans="1:13" ht="16.149999999999999" customHeight="1" x14ac:dyDescent="0.25">
      <c r="A594" s="488" t="s">
        <v>681</v>
      </c>
      <c r="B594" s="495">
        <v>1</v>
      </c>
      <c r="C594" s="495">
        <v>957.92</v>
      </c>
      <c r="D594" s="494">
        <v>0.5</v>
      </c>
      <c r="E594" s="495">
        <v>478.96</v>
      </c>
      <c r="F594" s="495">
        <v>115.38</v>
      </c>
      <c r="G594" s="495">
        <v>594.33999999999992</v>
      </c>
      <c r="H594" s="495">
        <v>1</v>
      </c>
      <c r="I594" s="495">
        <v>998.74</v>
      </c>
      <c r="J594" s="494">
        <v>0.2</v>
      </c>
      <c r="K594" s="495">
        <v>199.75</v>
      </c>
      <c r="L594" s="495">
        <v>48.12</v>
      </c>
      <c r="M594" s="495">
        <v>247.87</v>
      </c>
    </row>
    <row r="595" spans="1:13" ht="16.149999999999999" customHeight="1" x14ac:dyDescent="0.25">
      <c r="A595" s="488" t="s">
        <v>681</v>
      </c>
      <c r="B595" s="495"/>
      <c r="C595" s="495"/>
      <c r="D595" s="494"/>
      <c r="E595" s="495"/>
      <c r="F595" s="495">
        <v>0</v>
      </c>
      <c r="G595" s="495">
        <v>0</v>
      </c>
      <c r="H595" s="495">
        <v>0.5</v>
      </c>
      <c r="I595" s="495">
        <v>409.13</v>
      </c>
      <c r="J595" s="494">
        <v>0.2</v>
      </c>
      <c r="K595" s="495">
        <v>81.83</v>
      </c>
      <c r="L595" s="495">
        <v>19.71</v>
      </c>
      <c r="M595" s="495">
        <v>101.53999999999999</v>
      </c>
    </row>
    <row r="596" spans="1:13" ht="16.149999999999999" customHeight="1" x14ac:dyDescent="0.25">
      <c r="A596" s="488" t="s">
        <v>681</v>
      </c>
      <c r="B596" s="495"/>
      <c r="C596" s="495"/>
      <c r="D596" s="494"/>
      <c r="E596" s="495"/>
      <c r="F596" s="495">
        <v>0</v>
      </c>
      <c r="G596" s="495">
        <v>0</v>
      </c>
      <c r="H596" s="495">
        <v>1</v>
      </c>
      <c r="I596" s="495">
        <v>954.64</v>
      </c>
      <c r="J596" s="494">
        <v>0.2</v>
      </c>
      <c r="K596" s="495">
        <v>190.93</v>
      </c>
      <c r="L596" s="495">
        <v>46</v>
      </c>
      <c r="M596" s="495">
        <v>236.93</v>
      </c>
    </row>
    <row r="597" spans="1:13" ht="16.149999999999999" customHeight="1" x14ac:dyDescent="0.25">
      <c r="A597" s="488" t="s">
        <v>681</v>
      </c>
      <c r="B597" s="495"/>
      <c r="C597" s="495"/>
      <c r="D597" s="494"/>
      <c r="E597" s="495"/>
      <c r="F597" s="495">
        <v>0</v>
      </c>
      <c r="G597" s="495">
        <v>0</v>
      </c>
      <c r="H597" s="495">
        <v>1</v>
      </c>
      <c r="I597" s="495">
        <v>954.64</v>
      </c>
      <c r="J597" s="494">
        <v>0.2</v>
      </c>
      <c r="K597" s="495">
        <v>190.93</v>
      </c>
      <c r="L597" s="495">
        <v>46</v>
      </c>
      <c r="M597" s="495">
        <v>236.93</v>
      </c>
    </row>
    <row r="598" spans="1:13" ht="16.149999999999999" customHeight="1" x14ac:dyDescent="0.25">
      <c r="A598" s="488" t="s">
        <v>681</v>
      </c>
      <c r="B598" s="495"/>
      <c r="C598" s="495"/>
      <c r="D598" s="494"/>
      <c r="E598" s="495"/>
      <c r="F598" s="495">
        <v>0</v>
      </c>
      <c r="G598" s="495">
        <v>0</v>
      </c>
      <c r="H598" s="495">
        <v>1</v>
      </c>
      <c r="I598" s="495">
        <v>954.64</v>
      </c>
      <c r="J598" s="494">
        <v>0.2</v>
      </c>
      <c r="K598" s="495">
        <v>190.93</v>
      </c>
      <c r="L598" s="495">
        <v>46</v>
      </c>
      <c r="M598" s="495">
        <v>236.93</v>
      </c>
    </row>
    <row r="599" spans="1:13" ht="16.149999999999999" customHeight="1" x14ac:dyDescent="0.25">
      <c r="A599" s="488" t="s">
        <v>681</v>
      </c>
      <c r="B599" s="495"/>
      <c r="C599" s="495"/>
      <c r="D599" s="494"/>
      <c r="E599" s="495"/>
      <c r="F599" s="495">
        <v>0</v>
      </c>
      <c r="G599" s="495">
        <v>0</v>
      </c>
      <c r="H599" s="495">
        <v>1</v>
      </c>
      <c r="I599" s="495">
        <v>818.27</v>
      </c>
      <c r="J599" s="494">
        <v>0.2</v>
      </c>
      <c r="K599" s="495">
        <v>163.65</v>
      </c>
      <c r="L599" s="495">
        <v>39.42</v>
      </c>
      <c r="M599" s="495">
        <v>203.07</v>
      </c>
    </row>
    <row r="600" spans="1:13" ht="16.149999999999999" customHeight="1" x14ac:dyDescent="0.25">
      <c r="A600" s="488" t="s">
        <v>681</v>
      </c>
      <c r="B600" s="495">
        <v>1</v>
      </c>
      <c r="C600" s="495">
        <v>989.57</v>
      </c>
      <c r="D600" s="494">
        <v>0.3</v>
      </c>
      <c r="E600" s="495">
        <v>296.87</v>
      </c>
      <c r="F600" s="495">
        <v>71.52</v>
      </c>
      <c r="G600" s="495">
        <v>368.39</v>
      </c>
      <c r="H600" s="495">
        <v>1</v>
      </c>
      <c r="I600" s="495">
        <v>809.64</v>
      </c>
      <c r="J600" s="494">
        <v>0.2</v>
      </c>
      <c r="K600" s="495">
        <v>161.93</v>
      </c>
      <c r="L600" s="495">
        <v>39.01</v>
      </c>
      <c r="M600" s="495">
        <v>200.94</v>
      </c>
    </row>
    <row r="601" spans="1:13" ht="16.149999999999999" customHeight="1" x14ac:dyDescent="0.25">
      <c r="A601" s="488" t="s">
        <v>681</v>
      </c>
      <c r="B601" s="495">
        <v>0.5</v>
      </c>
      <c r="C601" s="495">
        <v>494.77</v>
      </c>
      <c r="D601" s="494">
        <v>0.3</v>
      </c>
      <c r="E601" s="495">
        <v>148.43</v>
      </c>
      <c r="F601" s="495">
        <v>35.76</v>
      </c>
      <c r="G601" s="495">
        <v>184.19</v>
      </c>
      <c r="H601" s="495">
        <v>0.5</v>
      </c>
      <c r="I601" s="495">
        <v>584.74</v>
      </c>
      <c r="J601" s="494">
        <v>0.2</v>
      </c>
      <c r="K601" s="495">
        <v>116.95</v>
      </c>
      <c r="L601" s="495">
        <v>28.17</v>
      </c>
      <c r="M601" s="495">
        <v>145.12</v>
      </c>
    </row>
    <row r="602" spans="1:13" ht="16.149999999999999" customHeight="1" x14ac:dyDescent="0.25">
      <c r="A602" s="488" t="s">
        <v>681</v>
      </c>
      <c r="B602" s="495">
        <v>1</v>
      </c>
      <c r="C602" s="495">
        <v>989.57</v>
      </c>
      <c r="D602" s="494">
        <v>0.3</v>
      </c>
      <c r="E602" s="495">
        <v>296.87</v>
      </c>
      <c r="F602" s="495">
        <v>71.52</v>
      </c>
      <c r="G602" s="495">
        <v>368.39</v>
      </c>
      <c r="H602" s="495">
        <v>1</v>
      </c>
      <c r="I602" s="495">
        <v>809.64</v>
      </c>
      <c r="J602" s="494">
        <v>0.2</v>
      </c>
      <c r="K602" s="495">
        <v>161.93</v>
      </c>
      <c r="L602" s="495">
        <v>39.01</v>
      </c>
      <c r="M602" s="495">
        <v>200.94</v>
      </c>
    </row>
    <row r="603" spans="1:13" ht="16.149999999999999" customHeight="1" x14ac:dyDescent="0.25">
      <c r="A603" s="488" t="s">
        <v>681</v>
      </c>
      <c r="B603" s="495">
        <v>1</v>
      </c>
      <c r="C603" s="495">
        <v>989.57</v>
      </c>
      <c r="D603" s="494">
        <v>0.3</v>
      </c>
      <c r="E603" s="495">
        <v>296.87</v>
      </c>
      <c r="F603" s="495">
        <v>71.52</v>
      </c>
      <c r="G603" s="495">
        <v>368.39</v>
      </c>
      <c r="H603" s="495">
        <v>1</v>
      </c>
      <c r="I603" s="495">
        <v>1012.05</v>
      </c>
      <c r="J603" s="494">
        <v>0.2</v>
      </c>
      <c r="K603" s="495">
        <v>202.41</v>
      </c>
      <c r="L603" s="495">
        <v>48.76</v>
      </c>
      <c r="M603" s="495">
        <v>251.17</v>
      </c>
    </row>
    <row r="604" spans="1:13" ht="16.149999999999999" customHeight="1" x14ac:dyDescent="0.25">
      <c r="A604" s="488" t="s">
        <v>681</v>
      </c>
      <c r="B604" s="495"/>
      <c r="C604" s="495"/>
      <c r="D604" s="494"/>
      <c r="E604" s="495"/>
      <c r="F604" s="495">
        <v>0</v>
      </c>
      <c r="G604" s="495">
        <v>0</v>
      </c>
      <c r="H604" s="495">
        <v>1</v>
      </c>
      <c r="I604" s="495">
        <v>653.80999999999995</v>
      </c>
      <c r="J604" s="494">
        <v>0.2</v>
      </c>
      <c r="K604" s="495">
        <v>130.76</v>
      </c>
      <c r="L604" s="495">
        <v>31.5</v>
      </c>
      <c r="M604" s="495">
        <v>162.26</v>
      </c>
    </row>
    <row r="605" spans="1:13" ht="16.149999999999999" customHeight="1" x14ac:dyDescent="0.25">
      <c r="A605" s="488" t="s">
        <v>681</v>
      </c>
      <c r="B605" s="495"/>
      <c r="C605" s="495"/>
      <c r="D605" s="494"/>
      <c r="E605" s="495"/>
      <c r="F605" s="495">
        <v>0</v>
      </c>
      <c r="G605" s="495">
        <v>0</v>
      </c>
      <c r="H605" s="495">
        <v>1</v>
      </c>
      <c r="I605" s="495">
        <v>895.32</v>
      </c>
      <c r="J605" s="494">
        <v>0.2</v>
      </c>
      <c r="K605" s="495">
        <v>179.06</v>
      </c>
      <c r="L605" s="495">
        <v>43.14</v>
      </c>
      <c r="M605" s="495">
        <v>222.2</v>
      </c>
    </row>
    <row r="606" spans="1:13" ht="16.149999999999999" customHeight="1" x14ac:dyDescent="0.25">
      <c r="A606" s="488" t="s">
        <v>681</v>
      </c>
      <c r="B606" s="495"/>
      <c r="C606" s="495"/>
      <c r="D606" s="494"/>
      <c r="E606" s="495"/>
      <c r="F606" s="495">
        <v>0</v>
      </c>
      <c r="G606" s="495">
        <v>0</v>
      </c>
      <c r="H606" s="495">
        <v>1</v>
      </c>
      <c r="I606" s="495">
        <v>895.32</v>
      </c>
      <c r="J606" s="494">
        <v>0.2</v>
      </c>
      <c r="K606" s="495">
        <v>179.06</v>
      </c>
      <c r="L606" s="495">
        <v>43.14</v>
      </c>
      <c r="M606" s="495">
        <v>222.2</v>
      </c>
    </row>
    <row r="607" spans="1:13" ht="16.149999999999999" customHeight="1" x14ac:dyDescent="0.25">
      <c r="A607" s="488" t="s">
        <v>681</v>
      </c>
      <c r="B607" s="495"/>
      <c r="C607" s="495"/>
      <c r="D607" s="494"/>
      <c r="E607" s="495"/>
      <c r="F607" s="495">
        <v>0</v>
      </c>
      <c r="G607" s="495">
        <v>0</v>
      </c>
      <c r="H607" s="495">
        <v>1</v>
      </c>
      <c r="I607" s="495">
        <v>551.91999999999996</v>
      </c>
      <c r="J607" s="494">
        <v>0.2</v>
      </c>
      <c r="K607" s="495">
        <v>110.38</v>
      </c>
      <c r="L607" s="495">
        <v>26.59</v>
      </c>
      <c r="M607" s="495">
        <v>136.97</v>
      </c>
    </row>
    <row r="608" spans="1:13" ht="16.149999999999999" customHeight="1" x14ac:dyDescent="0.25">
      <c r="A608" s="488" t="s">
        <v>681</v>
      </c>
      <c r="B608" s="495"/>
      <c r="C608" s="495"/>
      <c r="D608" s="494"/>
      <c r="E608" s="495"/>
      <c r="F608" s="495">
        <v>0</v>
      </c>
      <c r="G608" s="495">
        <v>0</v>
      </c>
      <c r="H608" s="495">
        <v>1</v>
      </c>
      <c r="I608" s="495">
        <v>644.96</v>
      </c>
      <c r="J608" s="494">
        <v>0.2</v>
      </c>
      <c r="K608" s="495">
        <v>128.99</v>
      </c>
      <c r="L608" s="495">
        <v>31.07</v>
      </c>
      <c r="M608" s="495">
        <v>160.06</v>
      </c>
    </row>
    <row r="609" spans="1:13" ht="16.149999999999999" customHeight="1" x14ac:dyDescent="0.25">
      <c r="A609" s="488" t="s">
        <v>681</v>
      </c>
      <c r="B609" s="495"/>
      <c r="C609" s="495"/>
      <c r="D609" s="494"/>
      <c r="E609" s="495"/>
      <c r="F609" s="495">
        <v>0</v>
      </c>
      <c r="G609" s="495">
        <v>0</v>
      </c>
      <c r="H609" s="495">
        <v>1</v>
      </c>
      <c r="I609" s="495">
        <v>938.87</v>
      </c>
      <c r="J609" s="494">
        <v>0.2</v>
      </c>
      <c r="K609" s="495">
        <v>187.77</v>
      </c>
      <c r="L609" s="495">
        <v>45.23</v>
      </c>
      <c r="M609" s="495">
        <v>233</v>
      </c>
    </row>
    <row r="610" spans="1:13" ht="16.149999999999999" customHeight="1" x14ac:dyDescent="0.25">
      <c r="A610" s="488" t="s">
        <v>681</v>
      </c>
      <c r="B610" s="495">
        <v>1</v>
      </c>
      <c r="C610" s="495">
        <v>522.5</v>
      </c>
      <c r="D610" s="494">
        <v>0.5</v>
      </c>
      <c r="E610" s="495">
        <v>261.25</v>
      </c>
      <c r="F610" s="495">
        <v>62.94</v>
      </c>
      <c r="G610" s="495">
        <v>324.19</v>
      </c>
      <c r="H610" s="495">
        <v>1</v>
      </c>
      <c r="I610" s="495">
        <v>1219.1600000000001</v>
      </c>
      <c r="J610" s="494">
        <v>0.2</v>
      </c>
      <c r="K610" s="495">
        <v>243.83</v>
      </c>
      <c r="L610" s="495">
        <v>58.74</v>
      </c>
      <c r="M610" s="495">
        <v>302.57</v>
      </c>
    </row>
    <row r="611" spans="1:13" ht="16.149999999999999" customHeight="1" x14ac:dyDescent="0.25">
      <c r="A611" s="488" t="s">
        <v>681</v>
      </c>
      <c r="B611" s="495">
        <v>1</v>
      </c>
      <c r="C611" s="495">
        <v>957.92</v>
      </c>
      <c r="D611" s="494">
        <v>0.5</v>
      </c>
      <c r="E611" s="495">
        <v>478.96</v>
      </c>
      <c r="F611" s="495">
        <v>115.38</v>
      </c>
      <c r="G611" s="495">
        <v>594.33999999999992</v>
      </c>
      <c r="H611" s="495">
        <v>1</v>
      </c>
      <c r="I611" s="495">
        <v>783.75</v>
      </c>
      <c r="J611" s="494">
        <v>0.2</v>
      </c>
      <c r="K611" s="495">
        <v>156.75</v>
      </c>
      <c r="L611" s="495">
        <v>37.76</v>
      </c>
      <c r="M611" s="495">
        <v>194.51</v>
      </c>
    </row>
    <row r="612" spans="1:13" ht="16.149999999999999" customHeight="1" x14ac:dyDescent="0.25">
      <c r="A612" s="488" t="s">
        <v>681</v>
      </c>
      <c r="B612" s="495">
        <v>1</v>
      </c>
      <c r="C612" s="495">
        <v>1118</v>
      </c>
      <c r="D612" s="494">
        <v>0.5</v>
      </c>
      <c r="E612" s="495">
        <v>559</v>
      </c>
      <c r="F612" s="495">
        <v>134.66</v>
      </c>
      <c r="G612" s="495">
        <v>693.66</v>
      </c>
      <c r="H612" s="495">
        <v>1</v>
      </c>
      <c r="I612" s="495">
        <v>834.96</v>
      </c>
      <c r="J612" s="494">
        <v>0.2</v>
      </c>
      <c r="K612" s="495">
        <v>166.99</v>
      </c>
      <c r="L612" s="495">
        <v>40.229999999999997</v>
      </c>
      <c r="M612" s="495">
        <v>207.22</v>
      </c>
    </row>
    <row r="613" spans="1:13" ht="16.149999999999999" customHeight="1" x14ac:dyDescent="0.25">
      <c r="A613" s="488" t="s">
        <v>681</v>
      </c>
      <c r="B613" s="495">
        <v>1</v>
      </c>
      <c r="C613" s="495">
        <v>957.92</v>
      </c>
      <c r="D613" s="494">
        <v>0.5</v>
      </c>
      <c r="E613" s="495">
        <v>478.96</v>
      </c>
      <c r="F613" s="495">
        <v>115.38</v>
      </c>
      <c r="G613" s="495">
        <v>594.33999999999992</v>
      </c>
      <c r="H613" s="495">
        <v>1</v>
      </c>
      <c r="I613" s="495">
        <v>1045</v>
      </c>
      <c r="J613" s="494">
        <v>0.2</v>
      </c>
      <c r="K613" s="495">
        <v>209</v>
      </c>
      <c r="L613" s="495">
        <v>50.35</v>
      </c>
      <c r="M613" s="495">
        <v>259.35000000000002</v>
      </c>
    </row>
    <row r="614" spans="1:13" ht="16.149999999999999" customHeight="1" x14ac:dyDescent="0.25">
      <c r="A614" s="488" t="s">
        <v>681</v>
      </c>
      <c r="B614" s="495">
        <v>1</v>
      </c>
      <c r="C614" s="495">
        <v>914.38</v>
      </c>
      <c r="D614" s="494">
        <v>0.5</v>
      </c>
      <c r="E614" s="495">
        <v>457.19</v>
      </c>
      <c r="F614" s="495">
        <v>110.14</v>
      </c>
      <c r="G614" s="495">
        <v>567.33000000000004</v>
      </c>
      <c r="H614" s="495">
        <v>1</v>
      </c>
      <c r="I614" s="495">
        <v>783.75</v>
      </c>
      <c r="J614" s="494">
        <v>0.2</v>
      </c>
      <c r="K614" s="495">
        <v>156.75</v>
      </c>
      <c r="L614" s="495">
        <v>37.76</v>
      </c>
      <c r="M614" s="495">
        <v>194.51</v>
      </c>
    </row>
    <row r="615" spans="1:13" ht="16.149999999999999" customHeight="1" x14ac:dyDescent="0.25">
      <c r="A615" s="488" t="s">
        <v>681</v>
      </c>
      <c r="B615" s="495">
        <v>0.15</v>
      </c>
      <c r="C615" s="495">
        <v>1595</v>
      </c>
      <c r="D615" s="494">
        <v>0.5</v>
      </c>
      <c r="E615" s="495">
        <v>797.5</v>
      </c>
      <c r="F615" s="495">
        <v>192.12</v>
      </c>
      <c r="G615" s="495">
        <v>989.62</v>
      </c>
      <c r="H615" s="495">
        <v>0.15</v>
      </c>
      <c r="I615" s="495">
        <v>130.62</v>
      </c>
      <c r="J615" s="494">
        <v>0.2</v>
      </c>
      <c r="K615" s="495">
        <v>26.12</v>
      </c>
      <c r="L615" s="495">
        <v>6.29</v>
      </c>
      <c r="M615" s="495">
        <v>32.410000000000004</v>
      </c>
    </row>
    <row r="616" spans="1:13" ht="16.149999999999999" customHeight="1" x14ac:dyDescent="0.25">
      <c r="A616" s="488" t="s">
        <v>681</v>
      </c>
      <c r="B616" s="495">
        <v>1</v>
      </c>
      <c r="C616" s="495">
        <v>914.38</v>
      </c>
      <c r="D616" s="494">
        <v>0.5</v>
      </c>
      <c r="E616" s="495">
        <v>457.19</v>
      </c>
      <c r="F616" s="495">
        <v>110.14</v>
      </c>
      <c r="G616" s="495">
        <v>567.33000000000004</v>
      </c>
      <c r="H616" s="495">
        <v>1</v>
      </c>
      <c r="I616" s="495">
        <v>740.21</v>
      </c>
      <c r="J616" s="494">
        <v>0.2</v>
      </c>
      <c r="K616" s="495">
        <v>148.04</v>
      </c>
      <c r="L616" s="495">
        <v>35.659999999999997</v>
      </c>
      <c r="M616" s="495">
        <v>183.7</v>
      </c>
    </row>
    <row r="617" spans="1:13" ht="16.149999999999999" customHeight="1" x14ac:dyDescent="0.25">
      <c r="A617" s="488" t="s">
        <v>681</v>
      </c>
      <c r="B617" s="495">
        <v>1</v>
      </c>
      <c r="C617" s="495">
        <v>957.92</v>
      </c>
      <c r="D617" s="494">
        <v>0.5</v>
      </c>
      <c r="E617" s="495">
        <v>478.96</v>
      </c>
      <c r="F617" s="495">
        <v>115.38</v>
      </c>
      <c r="G617" s="495">
        <v>594.33999999999992</v>
      </c>
      <c r="H617" s="495">
        <v>1</v>
      </c>
      <c r="I617" s="495">
        <v>653.12</v>
      </c>
      <c r="J617" s="494">
        <v>0.2</v>
      </c>
      <c r="K617" s="495">
        <v>130.62</v>
      </c>
      <c r="L617" s="495">
        <v>31.47</v>
      </c>
      <c r="M617" s="495">
        <v>162.09</v>
      </c>
    </row>
    <row r="618" spans="1:13" ht="16.149999999999999" customHeight="1" x14ac:dyDescent="0.25">
      <c r="A618" s="488" t="s">
        <v>681</v>
      </c>
      <c r="B618" s="495"/>
      <c r="C618" s="495"/>
      <c r="D618" s="494"/>
      <c r="E618" s="495"/>
      <c r="F618" s="495">
        <v>0</v>
      </c>
      <c r="G618" s="495">
        <v>0</v>
      </c>
      <c r="H618" s="495">
        <v>1</v>
      </c>
      <c r="I618" s="495">
        <v>859.95</v>
      </c>
      <c r="J618" s="494">
        <v>0.2</v>
      </c>
      <c r="K618" s="495">
        <v>171.99</v>
      </c>
      <c r="L618" s="495">
        <v>41.43</v>
      </c>
      <c r="M618" s="495">
        <v>213.42000000000002</v>
      </c>
    </row>
    <row r="619" spans="1:13" ht="16.149999999999999" customHeight="1" x14ac:dyDescent="0.25">
      <c r="A619" s="488" t="s">
        <v>681</v>
      </c>
      <c r="B619" s="495"/>
      <c r="C619" s="495"/>
      <c r="D619" s="494"/>
      <c r="E619" s="495"/>
      <c r="F619" s="495">
        <v>0</v>
      </c>
      <c r="G619" s="495">
        <v>0</v>
      </c>
      <c r="H619" s="495">
        <v>1</v>
      </c>
      <c r="I619" s="495">
        <v>859.95</v>
      </c>
      <c r="J619" s="494">
        <v>0.2</v>
      </c>
      <c r="K619" s="495">
        <v>171.99</v>
      </c>
      <c r="L619" s="495">
        <v>41.43</v>
      </c>
      <c r="M619" s="495">
        <v>213.42000000000002</v>
      </c>
    </row>
    <row r="620" spans="1:13" ht="16.149999999999999" customHeight="1" x14ac:dyDescent="0.25">
      <c r="A620" s="488" t="s">
        <v>681</v>
      </c>
      <c r="B620" s="495"/>
      <c r="C620" s="495"/>
      <c r="D620" s="494"/>
      <c r="E620" s="495"/>
      <c r="F620" s="495">
        <v>0</v>
      </c>
      <c r="G620" s="495">
        <v>0</v>
      </c>
      <c r="H620" s="495">
        <v>1</v>
      </c>
      <c r="I620" s="495">
        <v>1118</v>
      </c>
      <c r="J620" s="494">
        <v>0.2</v>
      </c>
      <c r="K620" s="495">
        <v>223.6</v>
      </c>
      <c r="L620" s="495">
        <v>53.87</v>
      </c>
      <c r="M620" s="495">
        <v>277.46999999999997</v>
      </c>
    </row>
    <row r="621" spans="1:13" ht="28.5" customHeight="1" x14ac:dyDescent="0.25">
      <c r="A621" s="488" t="s">
        <v>681</v>
      </c>
      <c r="B621" s="495"/>
      <c r="C621" s="495"/>
      <c r="D621" s="494"/>
      <c r="E621" s="495"/>
      <c r="F621" s="495">
        <v>0</v>
      </c>
      <c r="G621" s="495">
        <v>0</v>
      </c>
      <c r="H621" s="495">
        <v>1</v>
      </c>
      <c r="I621" s="495">
        <v>299.35000000000002</v>
      </c>
      <c r="J621" s="494">
        <v>0.2</v>
      </c>
      <c r="K621" s="495">
        <v>59.87</v>
      </c>
      <c r="L621" s="495">
        <v>14.42</v>
      </c>
      <c r="M621" s="495">
        <v>74.289999999999992</v>
      </c>
    </row>
    <row r="622" spans="1:13" ht="30.75" customHeight="1" x14ac:dyDescent="0.25">
      <c r="A622" s="488" t="s">
        <v>681</v>
      </c>
      <c r="B622" s="495"/>
      <c r="C622" s="495"/>
      <c r="D622" s="494"/>
      <c r="E622" s="495"/>
      <c r="F622" s="495">
        <v>0</v>
      </c>
      <c r="G622" s="495">
        <v>0</v>
      </c>
      <c r="H622" s="495">
        <v>1</v>
      </c>
      <c r="I622" s="495">
        <v>642.24</v>
      </c>
      <c r="J622" s="494">
        <v>0.2</v>
      </c>
      <c r="K622" s="495">
        <v>128.44999999999999</v>
      </c>
      <c r="L622" s="495">
        <v>30.94</v>
      </c>
      <c r="M622" s="495">
        <v>159.38999999999999</v>
      </c>
    </row>
    <row r="623" spans="1:13" ht="24" customHeight="1" x14ac:dyDescent="0.25">
      <c r="A623" s="488" t="s">
        <v>681</v>
      </c>
      <c r="B623" s="495"/>
      <c r="C623" s="495"/>
      <c r="D623" s="494"/>
      <c r="E623" s="495"/>
      <c r="F623" s="495">
        <v>0</v>
      </c>
      <c r="G623" s="495">
        <v>0</v>
      </c>
      <c r="H623" s="495">
        <v>1</v>
      </c>
      <c r="I623" s="495">
        <v>383.71</v>
      </c>
      <c r="J623" s="494">
        <v>0.2</v>
      </c>
      <c r="K623" s="495">
        <v>76.739999999999995</v>
      </c>
      <c r="L623" s="495">
        <v>18.489999999999998</v>
      </c>
      <c r="M623" s="495">
        <v>95.22999999999999</v>
      </c>
    </row>
    <row r="624" spans="1:13" ht="16.149999999999999" customHeight="1" x14ac:dyDescent="0.25">
      <c r="A624" s="488" t="s">
        <v>681</v>
      </c>
      <c r="B624" s="495"/>
      <c r="C624" s="495"/>
      <c r="D624" s="494"/>
      <c r="E624" s="495"/>
      <c r="F624" s="495">
        <v>0</v>
      </c>
      <c r="G624" s="495">
        <v>0</v>
      </c>
      <c r="H624" s="495">
        <v>1</v>
      </c>
      <c r="I624" s="495">
        <v>859.95</v>
      </c>
      <c r="J624" s="494">
        <v>0.2</v>
      </c>
      <c r="K624" s="495">
        <v>171.99</v>
      </c>
      <c r="L624" s="495">
        <v>41.43</v>
      </c>
      <c r="M624" s="495">
        <v>213.42000000000002</v>
      </c>
    </row>
    <row r="625" spans="1:13" ht="16.149999999999999" customHeight="1" x14ac:dyDescent="0.25">
      <c r="A625" s="488" t="s">
        <v>681</v>
      </c>
      <c r="B625" s="495"/>
      <c r="C625" s="495"/>
      <c r="D625" s="494"/>
      <c r="E625" s="495"/>
      <c r="F625" s="495">
        <v>0</v>
      </c>
      <c r="G625" s="495">
        <v>0</v>
      </c>
      <c r="H625" s="495">
        <v>1</v>
      </c>
      <c r="I625" s="495">
        <v>1118</v>
      </c>
      <c r="J625" s="494">
        <v>0.2</v>
      </c>
      <c r="K625" s="495">
        <v>223.6</v>
      </c>
      <c r="L625" s="495">
        <v>53.87</v>
      </c>
      <c r="M625" s="495">
        <v>277.46999999999997</v>
      </c>
    </row>
    <row r="626" spans="1:13" ht="16.149999999999999" customHeight="1" x14ac:dyDescent="0.25">
      <c r="A626" s="488" t="s">
        <v>681</v>
      </c>
      <c r="B626" s="495">
        <v>1</v>
      </c>
      <c r="C626" s="495">
        <v>957.93</v>
      </c>
      <c r="D626" s="494">
        <v>0.3</v>
      </c>
      <c r="E626" s="495">
        <v>287.38</v>
      </c>
      <c r="F626" s="495">
        <v>69.23</v>
      </c>
      <c r="G626" s="495">
        <v>356.61</v>
      </c>
      <c r="H626" s="495">
        <v>1</v>
      </c>
      <c r="I626" s="495">
        <v>696.67</v>
      </c>
      <c r="J626" s="494">
        <v>0.2</v>
      </c>
      <c r="K626" s="495">
        <v>139.33000000000001</v>
      </c>
      <c r="L626" s="495">
        <v>33.56</v>
      </c>
      <c r="M626" s="495">
        <v>172.89000000000001</v>
      </c>
    </row>
    <row r="627" spans="1:13" ht="16.149999999999999" customHeight="1" x14ac:dyDescent="0.25">
      <c r="A627" s="488" t="s">
        <v>681</v>
      </c>
      <c r="B627" s="495">
        <v>1</v>
      </c>
      <c r="C627" s="495">
        <v>957.93</v>
      </c>
      <c r="D627" s="494">
        <v>0.3</v>
      </c>
      <c r="E627" s="495">
        <v>287.38</v>
      </c>
      <c r="F627" s="495">
        <v>69.23</v>
      </c>
      <c r="G627" s="495">
        <v>356.61</v>
      </c>
      <c r="H627" s="495">
        <v>1</v>
      </c>
      <c r="I627" s="495">
        <v>653.12</v>
      </c>
      <c r="J627" s="494">
        <v>0.2</v>
      </c>
      <c r="K627" s="495">
        <v>130.62</v>
      </c>
      <c r="L627" s="495">
        <v>31.47</v>
      </c>
      <c r="M627" s="495">
        <v>162.09</v>
      </c>
    </row>
    <row r="628" spans="1:13" ht="16.149999999999999" customHeight="1" x14ac:dyDescent="0.25">
      <c r="A628" s="488" t="s">
        <v>681</v>
      </c>
      <c r="B628" s="495">
        <v>1</v>
      </c>
      <c r="C628" s="495">
        <v>957.93</v>
      </c>
      <c r="D628" s="494">
        <v>0.3</v>
      </c>
      <c r="E628" s="495">
        <v>287.38</v>
      </c>
      <c r="F628" s="495">
        <v>69.23</v>
      </c>
      <c r="G628" s="495">
        <v>356.61</v>
      </c>
      <c r="H628" s="495">
        <v>1</v>
      </c>
      <c r="I628" s="495">
        <v>261.25</v>
      </c>
      <c r="J628" s="494">
        <v>0.2</v>
      </c>
      <c r="K628" s="495">
        <v>52.25</v>
      </c>
      <c r="L628" s="495">
        <v>12.59</v>
      </c>
      <c r="M628" s="495">
        <v>64.84</v>
      </c>
    </row>
    <row r="629" spans="1:13" ht="16.149999999999999" customHeight="1" x14ac:dyDescent="0.25">
      <c r="A629" s="488" t="s">
        <v>681</v>
      </c>
      <c r="B629" s="495"/>
      <c r="C629" s="495"/>
      <c r="D629" s="494"/>
      <c r="E629" s="495"/>
      <c r="F629" s="495">
        <v>0</v>
      </c>
      <c r="G629" s="495">
        <v>0</v>
      </c>
      <c r="H629" s="495">
        <v>1</v>
      </c>
      <c r="I629" s="495">
        <v>236.76</v>
      </c>
      <c r="J629" s="494">
        <v>0.2</v>
      </c>
      <c r="K629" s="495">
        <v>47.35</v>
      </c>
      <c r="L629" s="495">
        <v>11.41</v>
      </c>
      <c r="M629" s="495">
        <v>58.760000000000005</v>
      </c>
    </row>
    <row r="630" spans="1:13" ht="16.149999999999999" customHeight="1" x14ac:dyDescent="0.25">
      <c r="A630" s="488" t="s">
        <v>681</v>
      </c>
      <c r="B630" s="495"/>
      <c r="C630" s="495"/>
      <c r="D630" s="494"/>
      <c r="E630" s="495"/>
      <c r="F630" s="495">
        <v>0</v>
      </c>
      <c r="G630" s="495">
        <v>0</v>
      </c>
      <c r="H630" s="495">
        <v>1</v>
      </c>
      <c r="I630" s="495">
        <v>255.81</v>
      </c>
      <c r="J630" s="494">
        <v>0.2</v>
      </c>
      <c r="K630" s="495">
        <v>51.16</v>
      </c>
      <c r="L630" s="495">
        <v>12.32</v>
      </c>
      <c r="M630" s="495">
        <v>63.48</v>
      </c>
    </row>
    <row r="631" spans="1:13" ht="16.149999999999999" customHeight="1" x14ac:dyDescent="0.25">
      <c r="A631" s="488" t="s">
        <v>681</v>
      </c>
      <c r="B631" s="495"/>
      <c r="C631" s="495"/>
      <c r="D631" s="494"/>
      <c r="E631" s="495"/>
      <c r="F631" s="495">
        <v>0</v>
      </c>
      <c r="G631" s="495">
        <v>0</v>
      </c>
      <c r="H631" s="495">
        <v>1</v>
      </c>
      <c r="I631" s="495">
        <v>785.43</v>
      </c>
      <c r="J631" s="494">
        <v>0.2</v>
      </c>
      <c r="K631" s="495">
        <v>157.09</v>
      </c>
      <c r="L631" s="495">
        <v>37.840000000000003</v>
      </c>
      <c r="M631" s="495">
        <v>194.93</v>
      </c>
    </row>
    <row r="632" spans="1:13" ht="16.149999999999999" customHeight="1" x14ac:dyDescent="0.25">
      <c r="A632" s="488" t="s">
        <v>681</v>
      </c>
      <c r="B632" s="495"/>
      <c r="C632" s="495"/>
      <c r="D632" s="494"/>
      <c r="E632" s="495"/>
      <c r="F632" s="495">
        <v>0</v>
      </c>
      <c r="G632" s="495">
        <v>0</v>
      </c>
      <c r="H632" s="495">
        <v>1</v>
      </c>
      <c r="I632" s="495">
        <v>639.52</v>
      </c>
      <c r="J632" s="494">
        <v>0.2</v>
      </c>
      <c r="K632" s="495">
        <v>127.9</v>
      </c>
      <c r="L632" s="495">
        <v>30.81</v>
      </c>
      <c r="M632" s="495">
        <v>158.71</v>
      </c>
    </row>
    <row r="633" spans="1:13" ht="16.149999999999999" customHeight="1" x14ac:dyDescent="0.25">
      <c r="A633" s="488" t="s">
        <v>681</v>
      </c>
      <c r="B633" s="495"/>
      <c r="C633" s="495"/>
      <c r="D633" s="494"/>
      <c r="E633" s="495"/>
      <c r="F633" s="495">
        <v>0</v>
      </c>
      <c r="G633" s="495">
        <v>0</v>
      </c>
      <c r="H633" s="495">
        <v>1</v>
      </c>
      <c r="I633" s="495">
        <v>593.25</v>
      </c>
      <c r="J633" s="494">
        <v>0.2</v>
      </c>
      <c r="K633" s="495">
        <v>118.65</v>
      </c>
      <c r="L633" s="495">
        <v>28.58</v>
      </c>
      <c r="M633" s="495">
        <v>147.23000000000002</v>
      </c>
    </row>
    <row r="634" spans="1:13" ht="16.149999999999999" customHeight="1" x14ac:dyDescent="0.25">
      <c r="A634" s="488" t="s">
        <v>681</v>
      </c>
      <c r="B634" s="495">
        <v>1</v>
      </c>
      <c r="C634" s="495">
        <v>989.56</v>
      </c>
      <c r="D634" s="494">
        <v>0.5</v>
      </c>
      <c r="E634" s="495">
        <v>494.78</v>
      </c>
      <c r="F634" s="495">
        <v>119.19</v>
      </c>
      <c r="G634" s="495">
        <v>613.97</v>
      </c>
      <c r="H634" s="495">
        <v>1</v>
      </c>
      <c r="I634" s="495">
        <v>899.6</v>
      </c>
      <c r="J634" s="494">
        <v>0.2</v>
      </c>
      <c r="K634" s="495">
        <v>179.92</v>
      </c>
      <c r="L634" s="495">
        <v>43.34</v>
      </c>
      <c r="M634" s="495">
        <v>223.26</v>
      </c>
    </row>
    <row r="635" spans="1:13" ht="16.149999999999999" customHeight="1" x14ac:dyDescent="0.25">
      <c r="A635" s="488" t="s">
        <v>681</v>
      </c>
      <c r="B635" s="495">
        <v>1</v>
      </c>
      <c r="C635" s="495">
        <v>989.56</v>
      </c>
      <c r="D635" s="494">
        <v>0.5</v>
      </c>
      <c r="E635" s="495">
        <v>494.78</v>
      </c>
      <c r="F635" s="495">
        <v>119.19</v>
      </c>
      <c r="G635" s="495">
        <v>613.97</v>
      </c>
      <c r="H635" s="495">
        <v>1</v>
      </c>
      <c r="I635" s="495">
        <v>944.58</v>
      </c>
      <c r="J635" s="494">
        <v>0.2</v>
      </c>
      <c r="K635" s="495">
        <v>188.92</v>
      </c>
      <c r="L635" s="495">
        <v>45.51</v>
      </c>
      <c r="M635" s="495">
        <v>234.42999999999998</v>
      </c>
    </row>
    <row r="636" spans="1:13" ht="16.149999999999999" customHeight="1" x14ac:dyDescent="0.25">
      <c r="A636" s="488" t="s">
        <v>681</v>
      </c>
      <c r="B636" s="495">
        <v>0.5</v>
      </c>
      <c r="C636" s="495">
        <v>494.78</v>
      </c>
      <c r="D636" s="494">
        <v>0.5</v>
      </c>
      <c r="E636" s="495">
        <v>247.39</v>
      </c>
      <c r="F636" s="495">
        <v>59.6</v>
      </c>
      <c r="G636" s="495">
        <v>306.99</v>
      </c>
      <c r="H636" s="495">
        <v>0.5</v>
      </c>
      <c r="I636" s="495">
        <v>449.8</v>
      </c>
      <c r="J636" s="494">
        <v>0.2</v>
      </c>
      <c r="K636" s="495">
        <v>89.96</v>
      </c>
      <c r="L636" s="495">
        <v>21.67</v>
      </c>
      <c r="M636" s="495">
        <v>111.63</v>
      </c>
    </row>
    <row r="637" spans="1:13" ht="16.149999999999999" customHeight="1" x14ac:dyDescent="0.25">
      <c r="A637" s="488" t="s">
        <v>681</v>
      </c>
      <c r="B637" s="495">
        <v>1</v>
      </c>
      <c r="C637" s="495">
        <v>539.76</v>
      </c>
      <c r="D637" s="494">
        <v>0.5</v>
      </c>
      <c r="E637" s="495">
        <v>269.88</v>
      </c>
      <c r="F637" s="495">
        <v>65.010000000000005</v>
      </c>
      <c r="G637" s="495">
        <v>334.89</v>
      </c>
      <c r="H637" s="495">
        <v>1</v>
      </c>
      <c r="I637" s="495">
        <v>944.58</v>
      </c>
      <c r="J637" s="494">
        <v>0.2</v>
      </c>
      <c r="K637" s="495">
        <v>188.92</v>
      </c>
      <c r="L637" s="495">
        <v>45.51</v>
      </c>
      <c r="M637" s="495">
        <v>234.42999999999998</v>
      </c>
    </row>
    <row r="638" spans="1:13" ht="16.149999999999999" customHeight="1" x14ac:dyDescent="0.25">
      <c r="A638" s="488" t="s">
        <v>681</v>
      </c>
      <c r="B638" s="495">
        <v>1</v>
      </c>
      <c r="C638" s="495">
        <v>1068.7</v>
      </c>
      <c r="D638" s="494">
        <v>0.5</v>
      </c>
      <c r="E638" s="495">
        <v>534.35</v>
      </c>
      <c r="F638" s="495">
        <v>128.72</v>
      </c>
      <c r="G638" s="495">
        <v>663.07</v>
      </c>
      <c r="H638" s="495">
        <v>1</v>
      </c>
      <c r="I638" s="495">
        <v>874.38</v>
      </c>
      <c r="J638" s="494">
        <v>0.2</v>
      </c>
      <c r="K638" s="495">
        <v>174.88</v>
      </c>
      <c r="L638" s="495">
        <v>42.13</v>
      </c>
      <c r="M638" s="495">
        <v>217.01</v>
      </c>
    </row>
    <row r="639" spans="1:13" ht="16.149999999999999" customHeight="1" x14ac:dyDescent="0.25">
      <c r="A639" s="488" t="s">
        <v>681</v>
      </c>
      <c r="B639" s="495"/>
      <c r="C639" s="495"/>
      <c r="D639" s="494"/>
      <c r="E639" s="495"/>
      <c r="F639" s="495">
        <v>0</v>
      </c>
      <c r="G639" s="495">
        <v>0</v>
      </c>
      <c r="H639" s="495">
        <v>1</v>
      </c>
      <c r="I639" s="495">
        <v>45.46</v>
      </c>
      <c r="J639" s="494">
        <v>0.2</v>
      </c>
      <c r="K639" s="495">
        <v>9.09</v>
      </c>
      <c r="L639" s="495">
        <v>2.19</v>
      </c>
      <c r="M639" s="495">
        <v>11.28</v>
      </c>
    </row>
    <row r="640" spans="1:13" ht="16.149999999999999" customHeight="1" x14ac:dyDescent="0.25">
      <c r="A640" s="488" t="s">
        <v>681</v>
      </c>
      <c r="B640" s="495"/>
      <c r="C640" s="495"/>
      <c r="D640" s="494"/>
      <c r="E640" s="495"/>
      <c r="F640" s="495">
        <v>0</v>
      </c>
      <c r="G640" s="495">
        <v>0</v>
      </c>
      <c r="H640" s="495">
        <v>1</v>
      </c>
      <c r="I640" s="495">
        <v>630.75</v>
      </c>
      <c r="J640" s="494">
        <v>0.2</v>
      </c>
      <c r="K640" s="495">
        <v>126.15</v>
      </c>
      <c r="L640" s="495">
        <v>30.39</v>
      </c>
      <c r="M640" s="495">
        <v>156.54000000000002</v>
      </c>
    </row>
    <row r="641" spans="1:13" ht="16.149999999999999" customHeight="1" x14ac:dyDescent="0.25">
      <c r="A641" s="488" t="s">
        <v>681</v>
      </c>
      <c r="B641" s="495"/>
      <c r="C641" s="495"/>
      <c r="D641" s="494"/>
      <c r="E641" s="495"/>
      <c r="F641" s="495">
        <v>0</v>
      </c>
      <c r="G641" s="495">
        <v>0</v>
      </c>
      <c r="H641" s="495">
        <v>1</v>
      </c>
      <c r="I641" s="495">
        <v>897.82</v>
      </c>
      <c r="J641" s="494">
        <v>0.2</v>
      </c>
      <c r="K641" s="495">
        <v>179.56</v>
      </c>
      <c r="L641" s="495">
        <v>43.26</v>
      </c>
      <c r="M641" s="495">
        <v>222.82</v>
      </c>
    </row>
    <row r="642" spans="1:13" ht="16.149999999999999" customHeight="1" x14ac:dyDescent="0.25">
      <c r="A642" s="488" t="s">
        <v>681</v>
      </c>
      <c r="B642" s="495"/>
      <c r="C642" s="495"/>
      <c r="D642" s="494"/>
      <c r="E642" s="495"/>
      <c r="F642" s="495">
        <v>0</v>
      </c>
      <c r="G642" s="495">
        <v>0</v>
      </c>
      <c r="H642" s="495">
        <v>1</v>
      </c>
      <c r="I642" s="495">
        <v>630.75</v>
      </c>
      <c r="J642" s="494">
        <v>0.2</v>
      </c>
      <c r="K642" s="495">
        <v>126.15</v>
      </c>
      <c r="L642" s="495">
        <v>30.39</v>
      </c>
      <c r="M642" s="495">
        <v>156.54000000000002</v>
      </c>
    </row>
    <row r="643" spans="1:13" ht="16.149999999999999" customHeight="1" x14ac:dyDescent="0.25">
      <c r="A643" s="488" t="s">
        <v>681</v>
      </c>
      <c r="B643" s="495"/>
      <c r="C643" s="495"/>
      <c r="D643" s="494"/>
      <c r="E643" s="495"/>
      <c r="F643" s="495">
        <v>0</v>
      </c>
      <c r="G643" s="495">
        <v>0</v>
      </c>
      <c r="H643" s="495">
        <v>1</v>
      </c>
      <c r="I643" s="495">
        <v>520.37</v>
      </c>
      <c r="J643" s="494">
        <v>0.2</v>
      </c>
      <c r="K643" s="495">
        <v>104.07</v>
      </c>
      <c r="L643" s="495">
        <v>25.07</v>
      </c>
      <c r="M643" s="495">
        <v>129.13999999999999</v>
      </c>
    </row>
    <row r="644" spans="1:13" ht="16.149999999999999" customHeight="1" x14ac:dyDescent="0.25">
      <c r="A644" s="488" t="s">
        <v>681</v>
      </c>
      <c r="B644" s="495"/>
      <c r="C644" s="495"/>
      <c r="D644" s="494"/>
      <c r="E644" s="495"/>
      <c r="F644" s="495">
        <v>0</v>
      </c>
      <c r="G644" s="495">
        <v>0</v>
      </c>
      <c r="H644" s="495">
        <v>1</v>
      </c>
      <c r="I644" s="495">
        <v>897.82</v>
      </c>
      <c r="J644" s="494">
        <v>0.2</v>
      </c>
      <c r="K644" s="495">
        <v>179.56</v>
      </c>
      <c r="L644" s="495">
        <v>43.26</v>
      </c>
      <c r="M644" s="495">
        <v>222.82</v>
      </c>
    </row>
    <row r="645" spans="1:13" ht="16.149999999999999" customHeight="1" x14ac:dyDescent="0.25">
      <c r="A645" s="488" t="s">
        <v>681</v>
      </c>
      <c r="B645" s="495"/>
      <c r="C645" s="495"/>
      <c r="D645" s="494"/>
      <c r="E645" s="495"/>
      <c r="F645" s="495">
        <v>0</v>
      </c>
      <c r="G645" s="495">
        <v>0</v>
      </c>
      <c r="H645" s="495">
        <v>1</v>
      </c>
      <c r="I645" s="495">
        <v>897.82</v>
      </c>
      <c r="J645" s="494">
        <v>0.2</v>
      </c>
      <c r="K645" s="495">
        <v>179.56</v>
      </c>
      <c r="L645" s="495">
        <v>43.26</v>
      </c>
      <c r="M645" s="495">
        <v>222.82</v>
      </c>
    </row>
    <row r="646" spans="1:13" ht="16.149999999999999" customHeight="1" x14ac:dyDescent="0.25">
      <c r="A646" s="488" t="s">
        <v>681</v>
      </c>
      <c r="B646" s="495"/>
      <c r="C646" s="495"/>
      <c r="D646" s="494"/>
      <c r="E646" s="495"/>
      <c r="F646" s="495">
        <v>0</v>
      </c>
      <c r="G646" s="495">
        <v>0</v>
      </c>
      <c r="H646" s="495">
        <v>1</v>
      </c>
      <c r="I646" s="495">
        <v>897.82</v>
      </c>
      <c r="J646" s="494">
        <v>0.2</v>
      </c>
      <c r="K646" s="495">
        <v>179.56</v>
      </c>
      <c r="L646" s="495">
        <v>43.26</v>
      </c>
      <c r="M646" s="495">
        <v>222.82</v>
      </c>
    </row>
    <row r="647" spans="1:13" ht="16.149999999999999" customHeight="1" x14ac:dyDescent="0.25">
      <c r="A647" s="488" t="s">
        <v>681</v>
      </c>
      <c r="B647" s="495"/>
      <c r="C647" s="495"/>
      <c r="D647" s="494"/>
      <c r="E647" s="495"/>
      <c r="F647" s="495">
        <v>0</v>
      </c>
      <c r="G647" s="495">
        <v>0</v>
      </c>
      <c r="H647" s="495">
        <v>1</v>
      </c>
      <c r="I647" s="495">
        <v>897.82</v>
      </c>
      <c r="J647" s="494">
        <v>0.2</v>
      </c>
      <c r="K647" s="495">
        <v>179.56</v>
      </c>
      <c r="L647" s="495">
        <v>43.26</v>
      </c>
      <c r="M647" s="495">
        <v>222.82</v>
      </c>
    </row>
    <row r="648" spans="1:13" ht="16.149999999999999" customHeight="1" x14ac:dyDescent="0.25">
      <c r="A648" s="488" t="s">
        <v>681</v>
      </c>
      <c r="B648" s="495">
        <v>1</v>
      </c>
      <c r="C648" s="495">
        <v>957.92</v>
      </c>
      <c r="D648" s="494">
        <v>0.5</v>
      </c>
      <c r="E648" s="495">
        <v>478.96</v>
      </c>
      <c r="F648" s="495">
        <v>115.38</v>
      </c>
      <c r="G648" s="495">
        <v>594.33999999999992</v>
      </c>
      <c r="H648" s="495">
        <v>1</v>
      </c>
      <c r="I648" s="495">
        <v>1045</v>
      </c>
      <c r="J648" s="494">
        <v>0.2</v>
      </c>
      <c r="K648" s="495">
        <v>209</v>
      </c>
      <c r="L648" s="495">
        <v>50.35</v>
      </c>
      <c r="M648" s="495">
        <v>259.35000000000002</v>
      </c>
    </row>
    <row r="649" spans="1:13" ht="16.149999999999999" customHeight="1" x14ac:dyDescent="0.25">
      <c r="A649" s="488" t="s">
        <v>681</v>
      </c>
      <c r="B649" s="495">
        <v>1</v>
      </c>
      <c r="C649" s="495">
        <v>957.92</v>
      </c>
      <c r="D649" s="494">
        <v>0.5</v>
      </c>
      <c r="E649" s="495">
        <v>478.96</v>
      </c>
      <c r="F649" s="495">
        <v>115.38</v>
      </c>
      <c r="G649" s="495">
        <v>594.33999999999992</v>
      </c>
      <c r="H649" s="495">
        <v>1</v>
      </c>
      <c r="I649" s="495">
        <v>261.25</v>
      </c>
      <c r="J649" s="494">
        <v>0.2</v>
      </c>
      <c r="K649" s="495">
        <v>52.25</v>
      </c>
      <c r="L649" s="495">
        <v>12.59</v>
      </c>
      <c r="M649" s="495">
        <v>64.84</v>
      </c>
    </row>
    <row r="650" spans="1:13" ht="16.149999999999999" customHeight="1" x14ac:dyDescent="0.25">
      <c r="A650" s="488" t="s">
        <v>681</v>
      </c>
      <c r="B650" s="495">
        <v>1</v>
      </c>
      <c r="C650" s="495">
        <v>957.92</v>
      </c>
      <c r="D650" s="494">
        <v>0.5</v>
      </c>
      <c r="E650" s="495">
        <v>478.96</v>
      </c>
      <c r="F650" s="495">
        <v>115.38</v>
      </c>
      <c r="G650" s="495">
        <v>594.33999999999992</v>
      </c>
      <c r="H650" s="495">
        <v>1</v>
      </c>
      <c r="I650" s="495">
        <v>1132.08</v>
      </c>
      <c r="J650" s="494">
        <v>0.2</v>
      </c>
      <c r="K650" s="495">
        <v>226.42</v>
      </c>
      <c r="L650" s="495">
        <v>54.54</v>
      </c>
      <c r="M650" s="495">
        <v>280.95999999999998</v>
      </c>
    </row>
    <row r="651" spans="1:13" ht="16.149999999999999" customHeight="1" x14ac:dyDescent="0.25">
      <c r="A651" s="488" t="s">
        <v>681</v>
      </c>
      <c r="B651" s="495">
        <v>0.75</v>
      </c>
      <c r="C651" s="495">
        <v>718.44</v>
      </c>
      <c r="D651" s="494">
        <v>0.5</v>
      </c>
      <c r="E651" s="495">
        <v>359.22</v>
      </c>
      <c r="F651" s="495">
        <v>86.54</v>
      </c>
      <c r="G651" s="495">
        <v>445.76000000000005</v>
      </c>
      <c r="H651" s="495">
        <v>0.75</v>
      </c>
      <c r="I651" s="495">
        <v>522.5</v>
      </c>
      <c r="J651" s="494">
        <v>0.2</v>
      </c>
      <c r="K651" s="495">
        <v>104.5</v>
      </c>
      <c r="L651" s="495">
        <v>25.17</v>
      </c>
      <c r="M651" s="495">
        <v>129.67000000000002</v>
      </c>
    </row>
    <row r="652" spans="1:13" ht="16.149999999999999" customHeight="1" x14ac:dyDescent="0.25">
      <c r="A652" s="488" t="s">
        <v>681</v>
      </c>
      <c r="B652" s="495"/>
      <c r="C652" s="495"/>
      <c r="D652" s="494"/>
      <c r="E652" s="495"/>
      <c r="F652" s="495">
        <v>0</v>
      </c>
      <c r="G652" s="495">
        <v>0</v>
      </c>
      <c r="H652" s="495">
        <v>0.15</v>
      </c>
      <c r="I652" s="495">
        <v>145.01</v>
      </c>
      <c r="J652" s="494">
        <v>0.2</v>
      </c>
      <c r="K652" s="495">
        <v>29</v>
      </c>
      <c r="L652" s="495">
        <v>6.99</v>
      </c>
      <c r="M652" s="495">
        <v>35.99</v>
      </c>
    </row>
    <row r="653" spans="1:13" ht="16.149999999999999" customHeight="1" x14ac:dyDescent="0.25">
      <c r="A653" s="488" t="s">
        <v>681</v>
      </c>
      <c r="B653" s="495"/>
      <c r="C653" s="495"/>
      <c r="D653" s="494"/>
      <c r="E653" s="495"/>
      <c r="F653" s="495">
        <v>0</v>
      </c>
      <c r="G653" s="495">
        <v>0</v>
      </c>
      <c r="H653" s="495">
        <v>0.91</v>
      </c>
      <c r="I653" s="495">
        <v>870.06</v>
      </c>
      <c r="J653" s="494">
        <v>0.2</v>
      </c>
      <c r="K653" s="495">
        <v>174.01</v>
      </c>
      <c r="L653" s="495">
        <v>41.92</v>
      </c>
      <c r="M653" s="495">
        <v>215.93</v>
      </c>
    </row>
    <row r="654" spans="1:13" ht="16.149999999999999" customHeight="1" x14ac:dyDescent="0.25">
      <c r="A654" s="488" t="s">
        <v>681</v>
      </c>
      <c r="B654" s="495"/>
      <c r="C654" s="495"/>
      <c r="D654" s="494"/>
      <c r="E654" s="495"/>
      <c r="F654" s="495">
        <v>0</v>
      </c>
      <c r="G654" s="495">
        <v>0</v>
      </c>
      <c r="H654" s="495">
        <v>1</v>
      </c>
      <c r="I654" s="495">
        <v>245.54</v>
      </c>
      <c r="J654" s="494">
        <v>0.2</v>
      </c>
      <c r="K654" s="495">
        <v>49.11</v>
      </c>
      <c r="L654" s="495">
        <v>11.83</v>
      </c>
      <c r="M654" s="495">
        <v>60.94</v>
      </c>
    </row>
    <row r="655" spans="1:13" ht="16.149999999999999" customHeight="1" x14ac:dyDescent="0.25">
      <c r="A655" s="488" t="s">
        <v>681</v>
      </c>
      <c r="B655" s="495"/>
      <c r="C655" s="495"/>
      <c r="D655" s="494"/>
      <c r="E655" s="495"/>
      <c r="F655" s="495">
        <v>0</v>
      </c>
      <c r="G655" s="495">
        <v>0</v>
      </c>
      <c r="H655" s="495">
        <v>0.2</v>
      </c>
      <c r="I655" s="495">
        <v>174.17</v>
      </c>
      <c r="J655" s="494">
        <v>0.2</v>
      </c>
      <c r="K655" s="495">
        <v>34.83</v>
      </c>
      <c r="L655" s="495">
        <v>8.39</v>
      </c>
      <c r="M655" s="495">
        <v>43.22</v>
      </c>
    </row>
    <row r="656" spans="1:13" ht="16.149999999999999" customHeight="1" x14ac:dyDescent="0.25">
      <c r="A656" s="488" t="s">
        <v>681</v>
      </c>
      <c r="B656" s="495">
        <v>0.25</v>
      </c>
      <c r="C656" s="495">
        <v>730.24</v>
      </c>
      <c r="D656" s="494">
        <v>0.5</v>
      </c>
      <c r="E656" s="495">
        <v>365.12</v>
      </c>
      <c r="F656" s="495">
        <v>87.96</v>
      </c>
      <c r="G656" s="495">
        <v>453.08</v>
      </c>
      <c r="H656" s="495">
        <v>0.25</v>
      </c>
      <c r="I656" s="495">
        <v>811.37</v>
      </c>
      <c r="J656" s="494">
        <v>0.2</v>
      </c>
      <c r="K656" s="495">
        <v>162.27000000000001</v>
      </c>
      <c r="L656" s="495">
        <v>39.090000000000003</v>
      </c>
      <c r="M656" s="495">
        <v>201.36</v>
      </c>
    </row>
    <row r="657" spans="1:13" ht="16.149999999999999" customHeight="1" x14ac:dyDescent="0.25">
      <c r="A657" s="488" t="s">
        <v>681</v>
      </c>
      <c r="B657" s="495">
        <v>0.25</v>
      </c>
      <c r="C657" s="495">
        <v>243.42</v>
      </c>
      <c r="D657" s="494">
        <v>0.5</v>
      </c>
      <c r="E657" s="495">
        <v>121.71</v>
      </c>
      <c r="F657" s="495">
        <v>29.32</v>
      </c>
      <c r="G657" s="495">
        <v>151.03</v>
      </c>
      <c r="H657" s="495">
        <v>0.25</v>
      </c>
      <c r="I657" s="495">
        <v>324.55</v>
      </c>
      <c r="J657" s="494">
        <v>0.2</v>
      </c>
      <c r="K657" s="495">
        <v>64.91</v>
      </c>
      <c r="L657" s="495">
        <v>15.64</v>
      </c>
      <c r="M657" s="495">
        <v>80.55</v>
      </c>
    </row>
    <row r="658" spans="1:13" ht="16.149999999999999" customHeight="1" x14ac:dyDescent="0.25">
      <c r="A658" s="488" t="s">
        <v>681</v>
      </c>
      <c r="B658" s="495"/>
      <c r="C658" s="495"/>
      <c r="D658" s="494"/>
      <c r="E658" s="495"/>
      <c r="F658" s="495">
        <v>0</v>
      </c>
      <c r="G658" s="495">
        <v>0</v>
      </c>
      <c r="H658" s="495">
        <v>1</v>
      </c>
      <c r="I658" s="495">
        <v>454</v>
      </c>
      <c r="J658" s="494">
        <v>0.2</v>
      </c>
      <c r="K658" s="495">
        <v>90.8</v>
      </c>
      <c r="L658" s="495">
        <v>21.87</v>
      </c>
      <c r="M658" s="495">
        <v>112.67</v>
      </c>
    </row>
    <row r="659" spans="1:13" ht="16.149999999999999" customHeight="1" x14ac:dyDescent="0.25">
      <c r="A659" s="488" t="s">
        <v>860</v>
      </c>
      <c r="B659" s="495">
        <v>1</v>
      </c>
      <c r="C659" s="495">
        <v>164.43</v>
      </c>
      <c r="D659" s="494">
        <v>0.3</v>
      </c>
      <c r="E659" s="495">
        <v>49.33</v>
      </c>
      <c r="F659" s="495">
        <v>11.88</v>
      </c>
      <c r="G659" s="495">
        <v>61.21</v>
      </c>
      <c r="H659" s="495">
        <v>1</v>
      </c>
      <c r="I659" s="495">
        <v>1953</v>
      </c>
      <c r="J659" s="494">
        <v>0.2</v>
      </c>
      <c r="K659" s="495">
        <v>390.6</v>
      </c>
      <c r="L659" s="495">
        <v>94.1</v>
      </c>
      <c r="M659" s="495">
        <v>484.70000000000005</v>
      </c>
    </row>
    <row r="660" spans="1:13" ht="16.149999999999999" customHeight="1" x14ac:dyDescent="0.25">
      <c r="A660" s="488" t="s">
        <v>680</v>
      </c>
      <c r="B660" s="495"/>
      <c r="C660" s="495"/>
      <c r="D660" s="494"/>
      <c r="E660" s="495"/>
      <c r="F660" s="495">
        <v>0</v>
      </c>
      <c r="G660" s="495">
        <v>0</v>
      </c>
      <c r="H660" s="495">
        <v>0.5</v>
      </c>
      <c r="I660" s="495">
        <v>1175.6199999999999</v>
      </c>
      <c r="J660" s="494">
        <v>0.2</v>
      </c>
      <c r="K660" s="495">
        <v>235.12</v>
      </c>
      <c r="L660" s="495">
        <v>56.64</v>
      </c>
      <c r="M660" s="495">
        <v>291.76</v>
      </c>
    </row>
    <row r="661" spans="1:13" ht="16.149999999999999" customHeight="1" x14ac:dyDescent="0.25">
      <c r="A661" s="488" t="s">
        <v>680</v>
      </c>
      <c r="B661" s="495"/>
      <c r="C661" s="495"/>
      <c r="D661" s="494"/>
      <c r="E661" s="495"/>
      <c r="F661" s="495">
        <v>0</v>
      </c>
      <c r="G661" s="495">
        <v>0</v>
      </c>
      <c r="H661" s="495">
        <v>0.5</v>
      </c>
      <c r="I661" s="495">
        <v>1045</v>
      </c>
      <c r="J661" s="494">
        <v>0.2</v>
      </c>
      <c r="K661" s="495">
        <v>209</v>
      </c>
      <c r="L661" s="495">
        <v>50.35</v>
      </c>
      <c r="M661" s="495">
        <v>259.35000000000002</v>
      </c>
    </row>
    <row r="662" spans="1:13" ht="16.149999999999999" customHeight="1" x14ac:dyDescent="0.25">
      <c r="A662" s="488" t="s">
        <v>680</v>
      </c>
      <c r="B662" s="495"/>
      <c r="C662" s="495"/>
      <c r="D662" s="494"/>
      <c r="E662" s="495"/>
      <c r="F662" s="495">
        <v>0</v>
      </c>
      <c r="G662" s="495">
        <v>0</v>
      </c>
      <c r="H662" s="495">
        <v>0.5</v>
      </c>
      <c r="I662" s="495">
        <v>914.37</v>
      </c>
      <c r="J662" s="494">
        <v>0.2</v>
      </c>
      <c r="K662" s="495">
        <v>182.87</v>
      </c>
      <c r="L662" s="495">
        <v>44.05</v>
      </c>
      <c r="M662" s="495">
        <v>226.92000000000002</v>
      </c>
    </row>
    <row r="663" spans="1:13" ht="16.149999999999999" customHeight="1" x14ac:dyDescent="0.25">
      <c r="A663" s="488" t="s">
        <v>680</v>
      </c>
      <c r="B663" s="495"/>
      <c r="C663" s="495"/>
      <c r="D663" s="494"/>
      <c r="E663" s="495"/>
      <c r="F663" s="495">
        <v>0</v>
      </c>
      <c r="G663" s="495">
        <v>0</v>
      </c>
      <c r="H663" s="495">
        <v>0.5</v>
      </c>
      <c r="I663" s="495">
        <v>1045</v>
      </c>
      <c r="J663" s="494">
        <v>0.2</v>
      </c>
      <c r="K663" s="495">
        <v>209</v>
      </c>
      <c r="L663" s="495">
        <v>50.35</v>
      </c>
      <c r="M663" s="495">
        <v>259.35000000000002</v>
      </c>
    </row>
    <row r="664" spans="1:13" ht="16.149999999999999" customHeight="1" x14ac:dyDescent="0.25">
      <c r="A664" s="488" t="s">
        <v>680</v>
      </c>
      <c r="B664" s="495"/>
      <c r="C664" s="495"/>
      <c r="D664" s="494"/>
      <c r="E664" s="495"/>
      <c r="F664" s="495">
        <v>0</v>
      </c>
      <c r="G664" s="495">
        <v>0</v>
      </c>
      <c r="H664" s="495">
        <v>0.5</v>
      </c>
      <c r="I664" s="495">
        <v>1118.47</v>
      </c>
      <c r="J664" s="494">
        <v>0.2</v>
      </c>
      <c r="K664" s="495">
        <v>223.69</v>
      </c>
      <c r="L664" s="495">
        <v>53.89</v>
      </c>
      <c r="M664" s="495">
        <v>277.58</v>
      </c>
    </row>
    <row r="665" spans="1:13" ht="16.149999999999999" customHeight="1" x14ac:dyDescent="0.25">
      <c r="A665" s="488" t="s">
        <v>680</v>
      </c>
      <c r="B665" s="495"/>
      <c r="C665" s="495"/>
      <c r="D665" s="494"/>
      <c r="E665" s="495"/>
      <c r="F665" s="495">
        <v>0</v>
      </c>
      <c r="G665" s="495">
        <v>0</v>
      </c>
      <c r="H665" s="495">
        <v>0.5</v>
      </c>
      <c r="I665" s="495">
        <v>522.5</v>
      </c>
      <c r="J665" s="494">
        <v>0.2</v>
      </c>
      <c r="K665" s="495">
        <v>104.5</v>
      </c>
      <c r="L665" s="495">
        <v>25.17</v>
      </c>
      <c r="M665" s="495">
        <v>129.67000000000002</v>
      </c>
    </row>
    <row r="666" spans="1:13" ht="16.149999999999999" customHeight="1" x14ac:dyDescent="0.25">
      <c r="A666" s="488" t="s">
        <v>680</v>
      </c>
      <c r="B666" s="495"/>
      <c r="C666" s="495"/>
      <c r="D666" s="494"/>
      <c r="E666" s="495"/>
      <c r="F666" s="495">
        <v>0</v>
      </c>
      <c r="G666" s="495">
        <v>0</v>
      </c>
      <c r="H666" s="495">
        <v>0.25</v>
      </c>
      <c r="I666" s="495">
        <v>261.25</v>
      </c>
      <c r="J666" s="494">
        <v>0.2</v>
      </c>
      <c r="K666" s="495">
        <v>52.25</v>
      </c>
      <c r="L666" s="495">
        <v>12.59</v>
      </c>
      <c r="M666" s="495">
        <v>64.84</v>
      </c>
    </row>
    <row r="667" spans="1:13" ht="16.149999999999999" customHeight="1" x14ac:dyDescent="0.25">
      <c r="A667" s="488" t="s">
        <v>835</v>
      </c>
      <c r="B667" s="495">
        <v>1</v>
      </c>
      <c r="C667" s="495">
        <v>65.040000000000006</v>
      </c>
      <c r="D667" s="494">
        <v>0.5</v>
      </c>
      <c r="E667" s="495">
        <v>32.520000000000003</v>
      </c>
      <c r="F667" s="495">
        <v>7.83</v>
      </c>
      <c r="G667" s="495">
        <v>40.35</v>
      </c>
      <c r="H667" s="495"/>
      <c r="I667" s="495"/>
      <c r="J667" s="494"/>
      <c r="K667" s="495"/>
      <c r="L667" s="495"/>
      <c r="M667" s="495"/>
    </row>
    <row r="668" spans="1:13" ht="16.149999999999999" customHeight="1" x14ac:dyDescent="0.25">
      <c r="A668" s="488" t="s">
        <v>17</v>
      </c>
      <c r="B668" s="495">
        <v>1</v>
      </c>
      <c r="C668" s="495">
        <v>858.74</v>
      </c>
      <c r="D668" s="494">
        <v>0.5</v>
      </c>
      <c r="E668" s="495">
        <v>429.37</v>
      </c>
      <c r="F668" s="495">
        <v>103.44</v>
      </c>
      <c r="G668" s="495">
        <v>532.80999999999995</v>
      </c>
      <c r="H668" s="495">
        <v>1</v>
      </c>
      <c r="I668" s="495">
        <v>819.71</v>
      </c>
      <c r="J668" s="494">
        <v>0.2</v>
      </c>
      <c r="K668" s="495">
        <v>163.94</v>
      </c>
      <c r="L668" s="495">
        <v>39.49</v>
      </c>
      <c r="M668" s="495">
        <v>203.43</v>
      </c>
    </row>
    <row r="669" spans="1:13" ht="16.149999999999999" customHeight="1" x14ac:dyDescent="0.25">
      <c r="A669" s="488" t="s">
        <v>17</v>
      </c>
      <c r="B669" s="495">
        <v>1</v>
      </c>
      <c r="C669" s="495">
        <v>791.28</v>
      </c>
      <c r="D669" s="494">
        <v>0.5</v>
      </c>
      <c r="E669" s="495">
        <v>395.64</v>
      </c>
      <c r="F669" s="495">
        <v>95.31</v>
      </c>
      <c r="G669" s="495">
        <v>490.95</v>
      </c>
      <c r="H669" s="495">
        <v>1</v>
      </c>
      <c r="I669" s="495">
        <v>816.61</v>
      </c>
      <c r="J669" s="494">
        <v>0.2</v>
      </c>
      <c r="K669" s="495">
        <v>163.32</v>
      </c>
      <c r="L669" s="495">
        <v>39.340000000000003</v>
      </c>
      <c r="M669" s="495">
        <v>202.66</v>
      </c>
    </row>
    <row r="670" spans="1:13" ht="16.149999999999999" customHeight="1" x14ac:dyDescent="0.25">
      <c r="A670" s="488" t="s">
        <v>17</v>
      </c>
      <c r="B670" s="495">
        <v>1</v>
      </c>
      <c r="C670" s="495">
        <v>1037.04</v>
      </c>
      <c r="D670" s="494">
        <v>0.5</v>
      </c>
      <c r="E670" s="495">
        <v>518.52</v>
      </c>
      <c r="F670" s="495">
        <v>124.91</v>
      </c>
      <c r="G670" s="495">
        <v>643.42999999999995</v>
      </c>
      <c r="H670" s="495">
        <v>1</v>
      </c>
      <c r="I670" s="495">
        <v>895.61</v>
      </c>
      <c r="J670" s="494">
        <v>0.2</v>
      </c>
      <c r="K670" s="495">
        <v>179.12</v>
      </c>
      <c r="L670" s="495">
        <v>43.15</v>
      </c>
      <c r="M670" s="495">
        <v>222.27</v>
      </c>
    </row>
    <row r="671" spans="1:13" ht="16.149999999999999" customHeight="1" x14ac:dyDescent="0.25">
      <c r="A671" s="488" t="s">
        <v>17</v>
      </c>
      <c r="B671" s="495">
        <v>1</v>
      </c>
      <c r="C671" s="495">
        <v>858.74</v>
      </c>
      <c r="D671" s="494">
        <v>0.5</v>
      </c>
      <c r="E671" s="495">
        <v>429.37</v>
      </c>
      <c r="F671" s="495">
        <v>103.44</v>
      </c>
      <c r="G671" s="495">
        <v>532.80999999999995</v>
      </c>
      <c r="H671" s="495">
        <v>1</v>
      </c>
      <c r="I671" s="495">
        <v>819.71</v>
      </c>
      <c r="J671" s="494">
        <v>0.2</v>
      </c>
      <c r="K671" s="495">
        <v>163.94</v>
      </c>
      <c r="L671" s="495">
        <v>39.49</v>
      </c>
      <c r="M671" s="495">
        <v>203.43</v>
      </c>
    </row>
    <row r="672" spans="1:13" ht="16.149999999999999" customHeight="1" x14ac:dyDescent="0.25">
      <c r="A672" s="488" t="s">
        <v>17</v>
      </c>
      <c r="B672" s="495">
        <v>1</v>
      </c>
      <c r="C672" s="495">
        <v>858.74</v>
      </c>
      <c r="D672" s="494">
        <v>0.5</v>
      </c>
      <c r="E672" s="495">
        <v>429.37</v>
      </c>
      <c r="F672" s="495">
        <v>103.44</v>
      </c>
      <c r="G672" s="495">
        <v>532.80999999999995</v>
      </c>
      <c r="H672" s="495">
        <v>1</v>
      </c>
      <c r="I672" s="495">
        <v>897.77</v>
      </c>
      <c r="J672" s="494">
        <v>0.2</v>
      </c>
      <c r="K672" s="495">
        <v>179.55</v>
      </c>
      <c r="L672" s="495">
        <v>43.25</v>
      </c>
      <c r="M672" s="495">
        <v>222.8</v>
      </c>
    </row>
    <row r="673" spans="1:13" ht="16.149999999999999" customHeight="1" x14ac:dyDescent="0.25">
      <c r="A673" s="488" t="s">
        <v>17</v>
      </c>
      <c r="B673" s="495"/>
      <c r="C673" s="495"/>
      <c r="D673" s="494"/>
      <c r="E673" s="495"/>
      <c r="F673" s="495">
        <v>0</v>
      </c>
      <c r="G673" s="495">
        <v>0</v>
      </c>
      <c r="H673" s="495">
        <v>1</v>
      </c>
      <c r="I673" s="495">
        <v>819.71</v>
      </c>
      <c r="J673" s="494">
        <v>0.2</v>
      </c>
      <c r="K673" s="495">
        <v>163.94</v>
      </c>
      <c r="L673" s="495">
        <v>39.49</v>
      </c>
      <c r="M673" s="495">
        <v>203.43</v>
      </c>
    </row>
    <row r="674" spans="1:13" ht="16.149999999999999" customHeight="1" x14ac:dyDescent="0.25">
      <c r="A674" s="488" t="s">
        <v>17</v>
      </c>
      <c r="B674" s="495">
        <v>1</v>
      </c>
      <c r="C674" s="495">
        <v>890.37</v>
      </c>
      <c r="D674" s="494">
        <v>0.3</v>
      </c>
      <c r="E674" s="495">
        <v>267.11</v>
      </c>
      <c r="F674" s="495">
        <v>64.349999999999994</v>
      </c>
      <c r="G674" s="495">
        <v>331.46000000000004</v>
      </c>
      <c r="H674" s="495">
        <v>1</v>
      </c>
      <c r="I674" s="495">
        <v>748.73</v>
      </c>
      <c r="J674" s="494">
        <v>0.2</v>
      </c>
      <c r="K674" s="495">
        <v>149.75</v>
      </c>
      <c r="L674" s="495">
        <v>36.07</v>
      </c>
      <c r="M674" s="495">
        <v>185.82</v>
      </c>
    </row>
    <row r="675" spans="1:13" ht="16.149999999999999" customHeight="1" x14ac:dyDescent="0.25">
      <c r="A675" s="488" t="s">
        <v>17</v>
      </c>
      <c r="B675" s="495">
        <v>0.75</v>
      </c>
      <c r="C675" s="495">
        <v>773.82</v>
      </c>
      <c r="D675" s="494">
        <v>0.5</v>
      </c>
      <c r="E675" s="495">
        <v>386.91</v>
      </c>
      <c r="F675" s="495">
        <v>93.21</v>
      </c>
      <c r="G675" s="495">
        <v>480.12</v>
      </c>
      <c r="H675" s="495">
        <v>0.75</v>
      </c>
      <c r="I675" s="495">
        <v>703.48</v>
      </c>
      <c r="J675" s="494">
        <v>0.2</v>
      </c>
      <c r="K675" s="495">
        <v>140.69999999999999</v>
      </c>
      <c r="L675" s="495">
        <v>33.89</v>
      </c>
      <c r="M675" s="495">
        <v>174.58999999999997</v>
      </c>
    </row>
    <row r="676" spans="1:13" ht="16.149999999999999" customHeight="1" x14ac:dyDescent="0.25">
      <c r="A676" s="488" t="s">
        <v>17</v>
      </c>
      <c r="B676" s="495"/>
      <c r="C676" s="495"/>
      <c r="D676" s="494"/>
      <c r="E676" s="495"/>
      <c r="F676" s="495">
        <v>0</v>
      </c>
      <c r="G676" s="495">
        <v>0</v>
      </c>
      <c r="H676" s="495">
        <v>1</v>
      </c>
      <c r="I676" s="495">
        <v>851.42</v>
      </c>
      <c r="J676" s="494">
        <v>0.2</v>
      </c>
      <c r="K676" s="495">
        <v>170.28</v>
      </c>
      <c r="L676" s="495">
        <v>41.02</v>
      </c>
      <c r="M676" s="495">
        <v>211.3</v>
      </c>
    </row>
    <row r="677" spans="1:13" ht="16.149999999999999" customHeight="1" x14ac:dyDescent="0.25">
      <c r="A677" s="488" t="s">
        <v>17</v>
      </c>
      <c r="B677" s="495"/>
      <c r="C677" s="495"/>
      <c r="D677" s="494"/>
      <c r="E677" s="495"/>
      <c r="F677" s="495">
        <v>0</v>
      </c>
      <c r="G677" s="495">
        <v>0</v>
      </c>
      <c r="H677" s="495">
        <v>1</v>
      </c>
      <c r="I677" s="495">
        <v>979.69</v>
      </c>
      <c r="J677" s="494">
        <v>0.2</v>
      </c>
      <c r="K677" s="495">
        <v>195.94</v>
      </c>
      <c r="L677" s="495">
        <v>47.2</v>
      </c>
      <c r="M677" s="495">
        <v>243.14</v>
      </c>
    </row>
    <row r="678" spans="1:13" ht="16.149999999999999" customHeight="1" x14ac:dyDescent="0.25">
      <c r="A678" s="488" t="s">
        <v>17</v>
      </c>
      <c r="B678" s="495"/>
      <c r="C678" s="495"/>
      <c r="D678" s="494"/>
      <c r="E678" s="495"/>
      <c r="F678" s="495">
        <v>0</v>
      </c>
      <c r="G678" s="495">
        <v>0</v>
      </c>
      <c r="H678" s="495">
        <v>1</v>
      </c>
      <c r="I678" s="495">
        <v>559</v>
      </c>
      <c r="J678" s="494">
        <v>0.2</v>
      </c>
      <c r="K678" s="495">
        <v>111.8</v>
      </c>
      <c r="L678" s="495">
        <v>26.93</v>
      </c>
      <c r="M678" s="495">
        <v>138.72999999999999</v>
      </c>
    </row>
    <row r="679" spans="1:13" ht="16.149999999999999" customHeight="1" x14ac:dyDescent="0.25">
      <c r="A679" s="488" t="s">
        <v>17</v>
      </c>
      <c r="B679" s="495"/>
      <c r="C679" s="495"/>
      <c r="D679" s="494"/>
      <c r="E679" s="495"/>
      <c r="F679" s="495">
        <v>0</v>
      </c>
      <c r="G679" s="495">
        <v>0</v>
      </c>
      <c r="H679" s="495">
        <v>0.5</v>
      </c>
      <c r="I679" s="495">
        <v>383.02</v>
      </c>
      <c r="J679" s="494">
        <v>0.2</v>
      </c>
      <c r="K679" s="495">
        <v>76.599999999999994</v>
      </c>
      <c r="L679" s="495">
        <v>18.45</v>
      </c>
      <c r="M679" s="495">
        <v>95.05</v>
      </c>
    </row>
    <row r="680" spans="1:13" ht="16.149999999999999" customHeight="1" x14ac:dyDescent="0.25">
      <c r="A680" s="488" t="s">
        <v>17</v>
      </c>
      <c r="B680" s="495">
        <v>0.5</v>
      </c>
      <c r="C680" s="495">
        <v>429.38</v>
      </c>
      <c r="D680" s="494">
        <v>0.5</v>
      </c>
      <c r="E680" s="495">
        <v>214.69</v>
      </c>
      <c r="F680" s="495">
        <v>51.72</v>
      </c>
      <c r="G680" s="495">
        <v>266.40999999999997</v>
      </c>
      <c r="H680" s="495">
        <v>0.5</v>
      </c>
      <c r="I680" s="495">
        <v>585.5</v>
      </c>
      <c r="J680" s="494">
        <v>0.2</v>
      </c>
      <c r="K680" s="495">
        <v>117.1</v>
      </c>
      <c r="L680" s="495">
        <v>28.21</v>
      </c>
      <c r="M680" s="495">
        <v>145.31</v>
      </c>
    </row>
    <row r="681" spans="1:13" ht="16.149999999999999" customHeight="1" x14ac:dyDescent="0.25">
      <c r="A681" s="488" t="s">
        <v>17</v>
      </c>
      <c r="B681" s="495"/>
      <c r="C681" s="495"/>
      <c r="D681" s="494"/>
      <c r="E681" s="495"/>
      <c r="F681" s="495">
        <v>0</v>
      </c>
      <c r="G681" s="495">
        <v>0</v>
      </c>
      <c r="H681" s="495">
        <v>1</v>
      </c>
      <c r="I681" s="495">
        <v>729.32</v>
      </c>
      <c r="J681" s="494">
        <v>0.2</v>
      </c>
      <c r="K681" s="495">
        <v>145.86000000000001</v>
      </c>
      <c r="L681" s="495">
        <v>35.14</v>
      </c>
      <c r="M681" s="495">
        <v>181</v>
      </c>
    </row>
    <row r="682" spans="1:13" ht="16.149999999999999" customHeight="1" x14ac:dyDescent="0.25">
      <c r="A682" s="488" t="s">
        <v>17</v>
      </c>
      <c r="B682" s="495"/>
      <c r="C682" s="495"/>
      <c r="D682" s="494"/>
      <c r="E682" s="495"/>
      <c r="F682" s="495">
        <v>0</v>
      </c>
      <c r="G682" s="495">
        <v>0</v>
      </c>
      <c r="H682" s="495">
        <v>1</v>
      </c>
      <c r="I682" s="495">
        <v>557.88</v>
      </c>
      <c r="J682" s="494">
        <v>0.2</v>
      </c>
      <c r="K682" s="495">
        <v>111.58</v>
      </c>
      <c r="L682" s="495">
        <v>26.88</v>
      </c>
      <c r="M682" s="495">
        <v>138.46</v>
      </c>
    </row>
    <row r="683" spans="1:13" ht="16.149999999999999" customHeight="1" x14ac:dyDescent="0.25">
      <c r="A683" s="488" t="s">
        <v>17</v>
      </c>
      <c r="B683" s="495"/>
      <c r="C683" s="495"/>
      <c r="D683" s="494"/>
      <c r="E683" s="495"/>
      <c r="F683" s="495">
        <v>0</v>
      </c>
      <c r="G683" s="495">
        <v>0</v>
      </c>
      <c r="H683" s="495">
        <v>1</v>
      </c>
      <c r="I683" s="495">
        <v>770.91</v>
      </c>
      <c r="J683" s="494">
        <v>0.2</v>
      </c>
      <c r="K683" s="495">
        <v>154.18</v>
      </c>
      <c r="L683" s="495">
        <v>37.14</v>
      </c>
      <c r="M683" s="495">
        <v>191.32</v>
      </c>
    </row>
    <row r="684" spans="1:13" ht="16.149999999999999" customHeight="1" x14ac:dyDescent="0.25">
      <c r="A684" s="488" t="s">
        <v>17</v>
      </c>
      <c r="B684" s="495">
        <v>1</v>
      </c>
      <c r="C684" s="495">
        <v>957.93</v>
      </c>
      <c r="D684" s="494">
        <v>0.3</v>
      </c>
      <c r="E684" s="495">
        <v>287.38</v>
      </c>
      <c r="F684" s="495">
        <v>69.23</v>
      </c>
      <c r="G684" s="495">
        <v>356.61</v>
      </c>
      <c r="H684" s="495">
        <v>1</v>
      </c>
      <c r="I684" s="495">
        <v>1001.46</v>
      </c>
      <c r="J684" s="494">
        <v>0.2</v>
      </c>
      <c r="K684" s="495">
        <v>200.29</v>
      </c>
      <c r="L684" s="495">
        <v>48.25</v>
      </c>
      <c r="M684" s="495">
        <v>248.54</v>
      </c>
    </row>
    <row r="685" spans="1:13" ht="16.149999999999999" customHeight="1" x14ac:dyDescent="0.25">
      <c r="A685" s="488" t="s">
        <v>17</v>
      </c>
      <c r="B685" s="495">
        <v>0.5</v>
      </c>
      <c r="C685" s="495">
        <v>429.37</v>
      </c>
      <c r="D685" s="494">
        <v>0.3</v>
      </c>
      <c r="E685" s="495">
        <v>128.81</v>
      </c>
      <c r="F685" s="495">
        <v>31.03</v>
      </c>
      <c r="G685" s="495">
        <v>159.84</v>
      </c>
      <c r="H685" s="495">
        <v>0.5</v>
      </c>
      <c r="I685" s="495">
        <v>468.4</v>
      </c>
      <c r="J685" s="494">
        <v>0.2</v>
      </c>
      <c r="K685" s="495">
        <v>93.68</v>
      </c>
      <c r="L685" s="495">
        <v>22.57</v>
      </c>
      <c r="M685" s="495">
        <v>116.25</v>
      </c>
    </row>
    <row r="686" spans="1:13" ht="16.149999999999999" customHeight="1" x14ac:dyDescent="0.25">
      <c r="A686" s="488" t="s">
        <v>17</v>
      </c>
      <c r="B686" s="495"/>
      <c r="C686" s="495"/>
      <c r="D686" s="494"/>
      <c r="E686" s="495"/>
      <c r="F686" s="495">
        <v>0</v>
      </c>
      <c r="G686" s="495">
        <v>0</v>
      </c>
      <c r="H686" s="495">
        <v>1</v>
      </c>
      <c r="I686" s="495">
        <v>309.83</v>
      </c>
      <c r="J686" s="494">
        <v>0.2</v>
      </c>
      <c r="K686" s="495">
        <v>61.97</v>
      </c>
      <c r="L686" s="495">
        <v>14.93</v>
      </c>
      <c r="M686" s="495">
        <v>76.900000000000006</v>
      </c>
    </row>
    <row r="687" spans="1:13" ht="16.149999999999999" customHeight="1" x14ac:dyDescent="0.25">
      <c r="A687" s="488" t="s">
        <v>17</v>
      </c>
      <c r="B687" s="495"/>
      <c r="C687" s="495"/>
      <c r="D687" s="494"/>
      <c r="E687" s="495"/>
      <c r="F687" s="495">
        <v>0</v>
      </c>
      <c r="G687" s="495">
        <v>0</v>
      </c>
      <c r="H687" s="495">
        <v>1</v>
      </c>
      <c r="I687" s="495">
        <v>573.30999999999995</v>
      </c>
      <c r="J687" s="494">
        <v>0.2</v>
      </c>
      <c r="K687" s="495">
        <v>114.66</v>
      </c>
      <c r="L687" s="495">
        <v>27.62</v>
      </c>
      <c r="M687" s="495">
        <v>142.28</v>
      </c>
    </row>
    <row r="688" spans="1:13" ht="16.149999999999999" customHeight="1" x14ac:dyDescent="0.25">
      <c r="A688" s="488" t="s">
        <v>17</v>
      </c>
      <c r="B688" s="495"/>
      <c r="C688" s="495"/>
      <c r="D688" s="494"/>
      <c r="E688" s="495"/>
      <c r="F688" s="495">
        <v>0</v>
      </c>
      <c r="G688" s="495">
        <v>0</v>
      </c>
      <c r="H688" s="495">
        <v>1</v>
      </c>
      <c r="I688" s="495">
        <v>220.43</v>
      </c>
      <c r="J688" s="494">
        <v>0.2</v>
      </c>
      <c r="K688" s="495">
        <v>44.09</v>
      </c>
      <c r="L688" s="495">
        <v>10.62</v>
      </c>
      <c r="M688" s="495">
        <v>54.71</v>
      </c>
    </row>
    <row r="689" spans="1:13" ht="16.149999999999999" customHeight="1" x14ac:dyDescent="0.25">
      <c r="A689" s="488" t="s">
        <v>17</v>
      </c>
      <c r="B689" s="495"/>
      <c r="C689" s="495"/>
      <c r="D689" s="494"/>
      <c r="E689" s="495"/>
      <c r="F689" s="495">
        <v>0</v>
      </c>
      <c r="G689" s="495">
        <v>0</v>
      </c>
      <c r="H689" s="495">
        <v>1</v>
      </c>
      <c r="I689" s="495">
        <v>534.27</v>
      </c>
      <c r="J689" s="494">
        <v>0.2</v>
      </c>
      <c r="K689" s="495">
        <v>106.85</v>
      </c>
      <c r="L689" s="495">
        <v>25.74</v>
      </c>
      <c r="M689" s="495">
        <v>132.59</v>
      </c>
    </row>
    <row r="690" spans="1:13" ht="16.149999999999999" customHeight="1" x14ac:dyDescent="0.25">
      <c r="A690" s="488" t="s">
        <v>17</v>
      </c>
      <c r="B690" s="495"/>
      <c r="C690" s="495"/>
      <c r="D690" s="494"/>
      <c r="E690" s="495"/>
      <c r="F690" s="495">
        <v>0</v>
      </c>
      <c r="G690" s="495">
        <v>0</v>
      </c>
      <c r="H690" s="495">
        <v>1</v>
      </c>
      <c r="I690" s="495">
        <v>343.98</v>
      </c>
      <c r="J690" s="494">
        <v>0.2</v>
      </c>
      <c r="K690" s="495">
        <v>68.8</v>
      </c>
      <c r="L690" s="495">
        <v>16.57</v>
      </c>
      <c r="M690" s="495">
        <v>85.37</v>
      </c>
    </row>
    <row r="691" spans="1:13" ht="16.149999999999999" customHeight="1" x14ac:dyDescent="0.25">
      <c r="A691" s="488" t="s">
        <v>17</v>
      </c>
      <c r="B691" s="495"/>
      <c r="C691" s="495"/>
      <c r="D691" s="494"/>
      <c r="E691" s="495"/>
      <c r="F691" s="495">
        <v>0</v>
      </c>
      <c r="G691" s="495">
        <v>0</v>
      </c>
      <c r="H691" s="495">
        <v>1</v>
      </c>
      <c r="I691" s="495">
        <v>808.8</v>
      </c>
      <c r="J691" s="494">
        <v>0.2</v>
      </c>
      <c r="K691" s="495">
        <v>161.76</v>
      </c>
      <c r="L691" s="495">
        <v>38.97</v>
      </c>
      <c r="M691" s="495">
        <v>200.73</v>
      </c>
    </row>
    <row r="692" spans="1:13" ht="16.149999999999999" customHeight="1" x14ac:dyDescent="0.25">
      <c r="A692" s="488" t="s">
        <v>17</v>
      </c>
      <c r="B692" s="495"/>
      <c r="C692" s="495"/>
      <c r="D692" s="494"/>
      <c r="E692" s="495"/>
      <c r="F692" s="495">
        <v>0</v>
      </c>
      <c r="G692" s="495">
        <v>0</v>
      </c>
      <c r="H692" s="495">
        <v>1</v>
      </c>
      <c r="I692" s="495">
        <v>451.75</v>
      </c>
      <c r="J692" s="494">
        <v>0.2</v>
      </c>
      <c r="K692" s="495">
        <v>90.35</v>
      </c>
      <c r="L692" s="495">
        <v>21.77</v>
      </c>
      <c r="M692" s="495">
        <v>112.11999999999999</v>
      </c>
    </row>
    <row r="693" spans="1:13" ht="16.149999999999999" customHeight="1" x14ac:dyDescent="0.25">
      <c r="A693" s="488" t="s">
        <v>17</v>
      </c>
      <c r="B693" s="495"/>
      <c r="C693" s="495"/>
      <c r="D693" s="494"/>
      <c r="E693" s="495"/>
      <c r="F693" s="495">
        <v>0</v>
      </c>
      <c r="G693" s="495">
        <v>0</v>
      </c>
      <c r="H693" s="495">
        <v>1</v>
      </c>
      <c r="I693" s="495">
        <v>446.07</v>
      </c>
      <c r="J693" s="494">
        <v>0.2</v>
      </c>
      <c r="K693" s="495">
        <v>89.21</v>
      </c>
      <c r="L693" s="495">
        <v>21.49</v>
      </c>
      <c r="M693" s="495">
        <v>110.69999999999999</v>
      </c>
    </row>
    <row r="694" spans="1:13" ht="16.149999999999999" customHeight="1" x14ac:dyDescent="0.25">
      <c r="A694" s="488" t="s">
        <v>17</v>
      </c>
      <c r="B694" s="495">
        <v>0.5</v>
      </c>
      <c r="C694" s="495">
        <v>478.96</v>
      </c>
      <c r="D694" s="494">
        <v>0.5</v>
      </c>
      <c r="E694" s="495">
        <v>239.48</v>
      </c>
      <c r="F694" s="495">
        <v>57.69</v>
      </c>
      <c r="G694" s="495">
        <v>297.16999999999996</v>
      </c>
      <c r="H694" s="495">
        <v>0.5</v>
      </c>
      <c r="I694" s="495">
        <v>566.04</v>
      </c>
      <c r="J694" s="494">
        <v>0.2</v>
      </c>
      <c r="K694" s="495">
        <v>113.21</v>
      </c>
      <c r="L694" s="495">
        <v>27.27</v>
      </c>
      <c r="M694" s="495">
        <v>140.47999999999999</v>
      </c>
    </row>
    <row r="695" spans="1:13" ht="16.149999999999999" customHeight="1" x14ac:dyDescent="0.25">
      <c r="A695" s="488" t="s">
        <v>17</v>
      </c>
      <c r="B695" s="495">
        <v>1</v>
      </c>
      <c r="C695" s="495">
        <v>957.92</v>
      </c>
      <c r="D695" s="494">
        <v>0.5</v>
      </c>
      <c r="E695" s="495">
        <v>478.96</v>
      </c>
      <c r="F695" s="495">
        <v>115.38</v>
      </c>
      <c r="G695" s="495">
        <v>594.33999999999992</v>
      </c>
      <c r="H695" s="495">
        <v>1</v>
      </c>
      <c r="I695" s="495">
        <v>1045</v>
      </c>
      <c r="J695" s="494">
        <v>0.2</v>
      </c>
      <c r="K695" s="495">
        <v>209</v>
      </c>
      <c r="L695" s="495">
        <v>50.35</v>
      </c>
      <c r="M695" s="495">
        <v>259.35000000000002</v>
      </c>
    </row>
    <row r="696" spans="1:13" ht="16.149999999999999" customHeight="1" x14ac:dyDescent="0.25">
      <c r="A696" s="488" t="s">
        <v>17</v>
      </c>
      <c r="B696" s="495">
        <v>0.5</v>
      </c>
      <c r="C696" s="495">
        <v>478.96</v>
      </c>
      <c r="D696" s="494">
        <v>0.5</v>
      </c>
      <c r="E696" s="495">
        <v>239.48</v>
      </c>
      <c r="F696" s="495">
        <v>57.69</v>
      </c>
      <c r="G696" s="495">
        <v>297.16999999999996</v>
      </c>
      <c r="H696" s="495">
        <v>0.5</v>
      </c>
      <c r="I696" s="495">
        <v>522.5</v>
      </c>
      <c r="J696" s="494">
        <v>0.2</v>
      </c>
      <c r="K696" s="495">
        <v>104.5</v>
      </c>
      <c r="L696" s="495">
        <v>25.17</v>
      </c>
      <c r="M696" s="495">
        <v>129.67000000000002</v>
      </c>
    </row>
    <row r="697" spans="1:13" ht="16.149999999999999" customHeight="1" x14ac:dyDescent="0.25">
      <c r="A697" s="488" t="s">
        <v>17</v>
      </c>
      <c r="B697" s="495">
        <v>1</v>
      </c>
      <c r="C697" s="495">
        <v>858.74</v>
      </c>
      <c r="D697" s="494">
        <v>0.5</v>
      </c>
      <c r="E697" s="495">
        <v>429.37</v>
      </c>
      <c r="F697" s="495">
        <v>103.44</v>
      </c>
      <c r="G697" s="495">
        <v>532.80999999999995</v>
      </c>
      <c r="H697" s="495">
        <v>1</v>
      </c>
      <c r="I697" s="495">
        <v>897.77</v>
      </c>
      <c r="J697" s="494">
        <v>0.2</v>
      </c>
      <c r="K697" s="495">
        <v>179.55</v>
      </c>
      <c r="L697" s="495">
        <v>43.25</v>
      </c>
      <c r="M697" s="495">
        <v>222.8</v>
      </c>
    </row>
    <row r="698" spans="1:13" ht="16.149999999999999" customHeight="1" x14ac:dyDescent="0.25">
      <c r="A698" s="488" t="s">
        <v>17</v>
      </c>
      <c r="B698" s="495">
        <v>1</v>
      </c>
      <c r="C698" s="495">
        <v>1024</v>
      </c>
      <c r="D698" s="494">
        <v>0.5</v>
      </c>
      <c r="E698" s="495">
        <v>512</v>
      </c>
      <c r="F698" s="495">
        <v>123.34</v>
      </c>
      <c r="G698" s="495">
        <v>635.34</v>
      </c>
      <c r="H698" s="495">
        <v>1</v>
      </c>
      <c r="I698" s="495">
        <v>1024</v>
      </c>
      <c r="J698" s="494">
        <v>0.2</v>
      </c>
      <c r="K698" s="495">
        <v>204.8</v>
      </c>
      <c r="L698" s="495">
        <v>49.34</v>
      </c>
      <c r="M698" s="495">
        <v>254.14000000000001</v>
      </c>
    </row>
    <row r="699" spans="1:13" ht="16.149999999999999" customHeight="1" x14ac:dyDescent="0.25">
      <c r="A699" s="488" t="s">
        <v>17</v>
      </c>
      <c r="B699" s="495"/>
      <c r="C699" s="495"/>
      <c r="D699" s="494"/>
      <c r="E699" s="495"/>
      <c r="F699" s="495">
        <v>0</v>
      </c>
      <c r="G699" s="495">
        <v>0</v>
      </c>
      <c r="H699" s="495">
        <v>1</v>
      </c>
      <c r="I699" s="495">
        <v>39.03</v>
      </c>
      <c r="J699" s="494">
        <v>0.2</v>
      </c>
      <c r="K699" s="495">
        <v>7.81</v>
      </c>
      <c r="L699" s="495">
        <v>1.88</v>
      </c>
      <c r="M699" s="495">
        <v>9.69</v>
      </c>
    </row>
    <row r="700" spans="1:13" ht="16.149999999999999" customHeight="1" x14ac:dyDescent="0.25">
      <c r="A700" s="488" t="s">
        <v>17</v>
      </c>
      <c r="B700" s="495">
        <v>1</v>
      </c>
      <c r="C700" s="495">
        <v>858.74</v>
      </c>
      <c r="D700" s="494">
        <v>0.5</v>
      </c>
      <c r="E700" s="495">
        <v>429.37</v>
      </c>
      <c r="F700" s="495">
        <v>103.44</v>
      </c>
      <c r="G700" s="495">
        <v>532.80999999999995</v>
      </c>
      <c r="H700" s="495">
        <v>1</v>
      </c>
      <c r="I700" s="495">
        <v>1053.9100000000001</v>
      </c>
      <c r="J700" s="494">
        <v>0.2</v>
      </c>
      <c r="K700" s="495">
        <v>210.78</v>
      </c>
      <c r="L700" s="495">
        <v>50.78</v>
      </c>
      <c r="M700" s="495">
        <v>261.56</v>
      </c>
    </row>
    <row r="701" spans="1:13" ht="16.149999999999999" customHeight="1" x14ac:dyDescent="0.25">
      <c r="A701" s="488" t="s">
        <v>17</v>
      </c>
      <c r="B701" s="495"/>
      <c r="C701" s="495"/>
      <c r="D701" s="494"/>
      <c r="E701" s="495"/>
      <c r="F701" s="495">
        <v>0</v>
      </c>
      <c r="G701" s="495">
        <v>0</v>
      </c>
      <c r="H701" s="495">
        <v>0.46</v>
      </c>
      <c r="I701" s="495">
        <v>435.03</v>
      </c>
      <c r="J701" s="494">
        <v>0.2</v>
      </c>
      <c r="K701" s="495">
        <v>87.01</v>
      </c>
      <c r="L701" s="495">
        <v>20.96</v>
      </c>
      <c r="M701" s="495">
        <v>107.97</v>
      </c>
    </row>
    <row r="702" spans="1:13" ht="16.149999999999999" customHeight="1" x14ac:dyDescent="0.25">
      <c r="A702" s="488" t="s">
        <v>17</v>
      </c>
      <c r="B702" s="495"/>
      <c r="C702" s="495"/>
      <c r="D702" s="494"/>
      <c r="E702" s="495"/>
      <c r="F702" s="495">
        <v>0</v>
      </c>
      <c r="G702" s="495">
        <v>0</v>
      </c>
      <c r="H702" s="495">
        <v>0.91</v>
      </c>
      <c r="I702" s="495">
        <v>870.06</v>
      </c>
      <c r="J702" s="494">
        <v>0.2</v>
      </c>
      <c r="K702" s="495">
        <v>174.01</v>
      </c>
      <c r="L702" s="495">
        <v>41.92</v>
      </c>
      <c r="M702" s="495">
        <v>215.93</v>
      </c>
    </row>
    <row r="703" spans="1:13" ht="16.149999999999999" customHeight="1" x14ac:dyDescent="0.25">
      <c r="A703" s="488" t="s">
        <v>17</v>
      </c>
      <c r="B703" s="495"/>
      <c r="C703" s="495"/>
      <c r="D703" s="494"/>
      <c r="E703" s="495"/>
      <c r="F703" s="495">
        <v>0</v>
      </c>
      <c r="G703" s="495">
        <v>0</v>
      </c>
      <c r="H703" s="495">
        <v>1</v>
      </c>
      <c r="I703" s="495">
        <v>944</v>
      </c>
      <c r="J703" s="494">
        <v>0.2</v>
      </c>
      <c r="K703" s="495">
        <v>188.8</v>
      </c>
      <c r="L703" s="495">
        <v>45.48</v>
      </c>
      <c r="M703" s="495">
        <v>234.28</v>
      </c>
    </row>
    <row r="704" spans="1:13" ht="16.149999999999999" customHeight="1" x14ac:dyDescent="0.25">
      <c r="A704" s="488" t="s">
        <v>17</v>
      </c>
      <c r="B704" s="495"/>
      <c r="C704" s="495"/>
      <c r="D704" s="494"/>
      <c r="E704" s="495"/>
      <c r="F704" s="495">
        <v>0</v>
      </c>
      <c r="G704" s="495">
        <v>0</v>
      </c>
      <c r="H704" s="495">
        <v>1</v>
      </c>
      <c r="I704" s="495">
        <v>997.26</v>
      </c>
      <c r="J704" s="494">
        <v>0.2</v>
      </c>
      <c r="K704" s="495">
        <v>199.45</v>
      </c>
      <c r="L704" s="495">
        <v>48.05</v>
      </c>
      <c r="M704" s="495">
        <v>247.5</v>
      </c>
    </row>
    <row r="705" spans="1:13" ht="16.149999999999999" customHeight="1" x14ac:dyDescent="0.25">
      <c r="A705" s="488" t="s">
        <v>17</v>
      </c>
      <c r="B705" s="495">
        <v>1</v>
      </c>
      <c r="C705" s="495">
        <v>928.37</v>
      </c>
      <c r="D705" s="494">
        <v>0.3</v>
      </c>
      <c r="E705" s="495">
        <v>278.51</v>
      </c>
      <c r="F705" s="495">
        <v>67.09</v>
      </c>
      <c r="G705" s="495">
        <v>345.6</v>
      </c>
      <c r="H705" s="495"/>
      <c r="I705" s="495"/>
      <c r="J705" s="494"/>
      <c r="K705" s="495"/>
      <c r="L705" s="495"/>
      <c r="M705" s="495"/>
    </row>
    <row r="706" spans="1:13" ht="16.149999999999999" customHeight="1" x14ac:dyDescent="0.25">
      <c r="A706" s="488" t="s">
        <v>17</v>
      </c>
      <c r="B706" s="495">
        <v>0.5</v>
      </c>
      <c r="C706" s="495">
        <v>419.1</v>
      </c>
      <c r="D706" s="494">
        <v>0.3</v>
      </c>
      <c r="E706" s="495">
        <v>125.73</v>
      </c>
      <c r="F706" s="495">
        <v>30.29</v>
      </c>
      <c r="G706" s="495">
        <v>156.02000000000001</v>
      </c>
      <c r="H706" s="495"/>
      <c r="I706" s="495"/>
      <c r="J706" s="494"/>
      <c r="K706" s="495"/>
      <c r="L706" s="495"/>
      <c r="M706" s="495"/>
    </row>
    <row r="707" spans="1:13" ht="16.149999999999999" customHeight="1" x14ac:dyDescent="0.25">
      <c r="A707" s="488" t="s">
        <v>17</v>
      </c>
      <c r="B707" s="495">
        <v>1</v>
      </c>
      <c r="C707" s="495">
        <v>838.23</v>
      </c>
      <c r="D707" s="494">
        <v>0.3</v>
      </c>
      <c r="E707" s="495">
        <v>251.47</v>
      </c>
      <c r="F707" s="495">
        <v>60.58</v>
      </c>
      <c r="G707" s="495">
        <v>312.05</v>
      </c>
      <c r="H707" s="495"/>
      <c r="I707" s="495"/>
      <c r="J707" s="494"/>
      <c r="K707" s="495"/>
      <c r="L707" s="495"/>
      <c r="M707" s="495"/>
    </row>
    <row r="708" spans="1:13" ht="16.149999999999999" customHeight="1" x14ac:dyDescent="0.25">
      <c r="A708" s="488" t="s">
        <v>17</v>
      </c>
      <c r="B708" s="495">
        <v>0.25</v>
      </c>
      <c r="C708" s="495">
        <v>209.57</v>
      </c>
      <c r="D708" s="494">
        <v>0.3</v>
      </c>
      <c r="E708" s="495">
        <v>62.87</v>
      </c>
      <c r="F708" s="495">
        <v>15.15</v>
      </c>
      <c r="G708" s="495">
        <v>78.02</v>
      </c>
      <c r="H708" s="495"/>
      <c r="I708" s="495"/>
      <c r="J708" s="494"/>
      <c r="K708" s="495"/>
      <c r="L708" s="495"/>
      <c r="M708" s="495"/>
    </row>
    <row r="709" spans="1:13" ht="16.149999999999999" customHeight="1" x14ac:dyDescent="0.25">
      <c r="A709" s="488" t="s">
        <v>17</v>
      </c>
      <c r="B709" s="495">
        <v>1</v>
      </c>
      <c r="C709" s="495">
        <v>1021.2</v>
      </c>
      <c r="D709" s="494">
        <v>0.3</v>
      </c>
      <c r="E709" s="495">
        <v>306.36</v>
      </c>
      <c r="F709" s="495">
        <v>73.8</v>
      </c>
      <c r="G709" s="495">
        <v>380.16</v>
      </c>
      <c r="H709" s="495">
        <v>1</v>
      </c>
      <c r="I709" s="495">
        <v>928.37</v>
      </c>
      <c r="J709" s="494">
        <v>0.2</v>
      </c>
      <c r="K709" s="495">
        <v>185.67</v>
      </c>
      <c r="L709" s="495">
        <v>44.73</v>
      </c>
      <c r="M709" s="495">
        <v>230.39999999999998</v>
      </c>
    </row>
    <row r="710" spans="1:13" ht="16.149999999999999" customHeight="1" x14ac:dyDescent="0.25">
      <c r="A710" s="488" t="s">
        <v>17</v>
      </c>
      <c r="B710" s="495">
        <v>1</v>
      </c>
      <c r="C710" s="495">
        <v>1100.33</v>
      </c>
      <c r="D710" s="494">
        <v>0.3</v>
      </c>
      <c r="E710" s="495">
        <v>330.1</v>
      </c>
      <c r="F710" s="495">
        <v>79.52</v>
      </c>
      <c r="G710" s="495">
        <v>409.62</v>
      </c>
      <c r="H710" s="495">
        <v>1</v>
      </c>
      <c r="I710" s="495">
        <v>987.8</v>
      </c>
      <c r="J710" s="494">
        <v>0.2</v>
      </c>
      <c r="K710" s="495">
        <v>197.56</v>
      </c>
      <c r="L710" s="495">
        <v>47.59</v>
      </c>
      <c r="M710" s="495">
        <v>245.15</v>
      </c>
    </row>
    <row r="711" spans="1:13" ht="16.149999999999999" customHeight="1" x14ac:dyDescent="0.25">
      <c r="A711" s="488" t="s">
        <v>17</v>
      </c>
      <c r="B711" s="495">
        <v>1</v>
      </c>
      <c r="C711" s="495">
        <v>1021.2</v>
      </c>
      <c r="D711" s="494">
        <v>0.3</v>
      </c>
      <c r="E711" s="495">
        <v>306.36</v>
      </c>
      <c r="F711" s="495">
        <v>73.8</v>
      </c>
      <c r="G711" s="495">
        <v>380.16</v>
      </c>
      <c r="H711" s="495">
        <v>1</v>
      </c>
      <c r="I711" s="495">
        <v>974.79</v>
      </c>
      <c r="J711" s="494">
        <v>0.2</v>
      </c>
      <c r="K711" s="495">
        <v>194.96</v>
      </c>
      <c r="L711" s="495">
        <v>46.97</v>
      </c>
      <c r="M711" s="495">
        <v>241.93</v>
      </c>
    </row>
    <row r="712" spans="1:13" ht="16.149999999999999" customHeight="1" x14ac:dyDescent="0.25">
      <c r="A712" s="488" t="s">
        <v>17</v>
      </c>
      <c r="B712" s="495">
        <v>0.5</v>
      </c>
      <c r="C712" s="495">
        <v>104.77</v>
      </c>
      <c r="D712" s="494">
        <v>0.3</v>
      </c>
      <c r="E712" s="495">
        <v>31.43</v>
      </c>
      <c r="F712" s="495">
        <v>7.57</v>
      </c>
      <c r="G712" s="495">
        <v>39</v>
      </c>
      <c r="H712" s="495">
        <v>0.5</v>
      </c>
      <c r="I712" s="495">
        <v>309.10000000000002</v>
      </c>
      <c r="J712" s="494">
        <v>0.2</v>
      </c>
      <c r="K712" s="495">
        <v>61.82</v>
      </c>
      <c r="L712" s="495">
        <v>14.89</v>
      </c>
      <c r="M712" s="495">
        <v>76.710000000000008</v>
      </c>
    </row>
    <row r="713" spans="1:13" ht="16.149999999999999" customHeight="1" x14ac:dyDescent="0.25">
      <c r="A713" s="488" t="s">
        <v>17</v>
      </c>
      <c r="B713" s="495">
        <v>1</v>
      </c>
      <c r="C713" s="495">
        <v>1021.2</v>
      </c>
      <c r="D713" s="494">
        <v>0.3</v>
      </c>
      <c r="E713" s="495">
        <v>306.36</v>
      </c>
      <c r="F713" s="495">
        <v>73.8</v>
      </c>
      <c r="G713" s="495">
        <v>380.16</v>
      </c>
      <c r="H713" s="495">
        <v>1</v>
      </c>
      <c r="I713" s="495">
        <v>939.97</v>
      </c>
      <c r="J713" s="494">
        <v>0.2</v>
      </c>
      <c r="K713" s="495">
        <v>187.99</v>
      </c>
      <c r="L713" s="495">
        <v>45.29</v>
      </c>
      <c r="M713" s="495">
        <v>233.28</v>
      </c>
    </row>
    <row r="714" spans="1:13" ht="16.149999999999999" customHeight="1" x14ac:dyDescent="0.25">
      <c r="A714" s="488" t="s">
        <v>17</v>
      </c>
      <c r="B714" s="495"/>
      <c r="C714" s="495"/>
      <c r="D714" s="494"/>
      <c r="E714" s="495"/>
      <c r="F714" s="495">
        <v>0</v>
      </c>
      <c r="G714" s="495">
        <v>0</v>
      </c>
      <c r="H714" s="495">
        <v>1</v>
      </c>
      <c r="I714" s="495">
        <v>13.4</v>
      </c>
      <c r="J714" s="494">
        <v>0.2</v>
      </c>
      <c r="K714" s="495">
        <v>2.68</v>
      </c>
      <c r="L714" s="495">
        <v>0.65</v>
      </c>
      <c r="M714" s="495">
        <v>3.33</v>
      </c>
    </row>
    <row r="715" spans="1:13" ht="16.149999999999999" customHeight="1" x14ac:dyDescent="0.25">
      <c r="A715" s="488" t="s">
        <v>17</v>
      </c>
      <c r="B715" s="495">
        <v>1</v>
      </c>
      <c r="C715" s="495">
        <v>1027.53</v>
      </c>
      <c r="D715" s="494">
        <v>0.3</v>
      </c>
      <c r="E715" s="495">
        <v>308.26</v>
      </c>
      <c r="F715" s="495">
        <v>74.260000000000005</v>
      </c>
      <c r="G715" s="495">
        <v>382.52</v>
      </c>
      <c r="H715" s="495">
        <v>1</v>
      </c>
      <c r="I715" s="495">
        <v>1074.25</v>
      </c>
      <c r="J715" s="494">
        <v>0.2</v>
      </c>
      <c r="K715" s="495">
        <v>214.85</v>
      </c>
      <c r="L715" s="495">
        <v>51.76</v>
      </c>
      <c r="M715" s="495">
        <v>266.61</v>
      </c>
    </row>
    <row r="716" spans="1:13" ht="16.149999999999999" customHeight="1" x14ac:dyDescent="0.25">
      <c r="A716" s="488" t="s">
        <v>17</v>
      </c>
      <c r="B716" s="495">
        <v>1</v>
      </c>
      <c r="C716" s="495">
        <v>796.33</v>
      </c>
      <c r="D716" s="494">
        <v>0.3</v>
      </c>
      <c r="E716" s="495">
        <v>238.9</v>
      </c>
      <c r="F716" s="495">
        <v>57.55</v>
      </c>
      <c r="G716" s="495">
        <v>296.45</v>
      </c>
      <c r="H716" s="495">
        <v>1</v>
      </c>
      <c r="I716" s="495">
        <v>707.25</v>
      </c>
      <c r="J716" s="494">
        <v>0.2</v>
      </c>
      <c r="K716" s="495">
        <v>141.44999999999999</v>
      </c>
      <c r="L716" s="495">
        <v>34.08</v>
      </c>
      <c r="M716" s="495">
        <v>175.52999999999997</v>
      </c>
    </row>
    <row r="717" spans="1:13" ht="16.149999999999999" customHeight="1" x14ac:dyDescent="0.25">
      <c r="A717" s="488" t="s">
        <v>17</v>
      </c>
      <c r="B717" s="495">
        <v>0.5</v>
      </c>
      <c r="C717" s="495">
        <v>461.03</v>
      </c>
      <c r="D717" s="494">
        <v>0.3</v>
      </c>
      <c r="E717" s="495">
        <v>138.31</v>
      </c>
      <c r="F717" s="495">
        <v>33.32</v>
      </c>
      <c r="G717" s="495">
        <v>171.63</v>
      </c>
      <c r="H717" s="495">
        <v>0.5</v>
      </c>
      <c r="I717" s="495">
        <v>371.96</v>
      </c>
      <c r="J717" s="494">
        <v>0.2</v>
      </c>
      <c r="K717" s="495">
        <v>74.39</v>
      </c>
      <c r="L717" s="495">
        <v>17.920000000000002</v>
      </c>
      <c r="M717" s="495">
        <v>92.31</v>
      </c>
    </row>
    <row r="718" spans="1:13" ht="16.149999999999999" customHeight="1" x14ac:dyDescent="0.25">
      <c r="A718" s="488" t="s">
        <v>17</v>
      </c>
      <c r="B718" s="495">
        <v>1</v>
      </c>
      <c r="C718" s="495">
        <v>1021.2</v>
      </c>
      <c r="D718" s="494">
        <v>0.3</v>
      </c>
      <c r="E718" s="495">
        <v>306.36</v>
      </c>
      <c r="F718" s="495">
        <v>73.8</v>
      </c>
      <c r="G718" s="495">
        <v>380.16</v>
      </c>
      <c r="H718" s="495">
        <v>1</v>
      </c>
      <c r="I718" s="495">
        <v>460.92</v>
      </c>
      <c r="J718" s="494">
        <v>0.2</v>
      </c>
      <c r="K718" s="495">
        <v>92.18</v>
      </c>
      <c r="L718" s="495">
        <v>22.21</v>
      </c>
      <c r="M718" s="495">
        <v>114.39000000000001</v>
      </c>
    </row>
    <row r="719" spans="1:13" ht="16.149999999999999" customHeight="1" x14ac:dyDescent="0.25">
      <c r="A719" s="488" t="s">
        <v>17</v>
      </c>
      <c r="B719" s="495">
        <v>1</v>
      </c>
      <c r="C719" s="495">
        <v>968</v>
      </c>
      <c r="D719" s="494">
        <v>0.5</v>
      </c>
      <c r="E719" s="495">
        <v>484</v>
      </c>
      <c r="F719" s="495">
        <v>116.6</v>
      </c>
      <c r="G719" s="495">
        <v>600.6</v>
      </c>
      <c r="H719" s="495">
        <v>1</v>
      </c>
      <c r="I719" s="495">
        <v>392.1</v>
      </c>
      <c r="J719" s="494">
        <v>0.2</v>
      </c>
      <c r="K719" s="495">
        <v>78.42</v>
      </c>
      <c r="L719" s="495">
        <v>18.89</v>
      </c>
      <c r="M719" s="495">
        <v>97.31</v>
      </c>
    </row>
    <row r="720" spans="1:13" ht="16.149999999999999" customHeight="1" x14ac:dyDescent="0.25">
      <c r="A720" s="488" t="s">
        <v>17</v>
      </c>
      <c r="B720" s="495">
        <v>1</v>
      </c>
      <c r="C720" s="495">
        <v>921.83</v>
      </c>
      <c r="D720" s="494">
        <v>0.3</v>
      </c>
      <c r="E720" s="495">
        <v>276.55</v>
      </c>
      <c r="F720" s="495">
        <v>66.62</v>
      </c>
      <c r="G720" s="495">
        <v>343.17</v>
      </c>
      <c r="H720" s="495">
        <v>1</v>
      </c>
      <c r="I720" s="495">
        <v>921.84</v>
      </c>
      <c r="J720" s="494">
        <v>0.2</v>
      </c>
      <c r="K720" s="495">
        <v>184.37</v>
      </c>
      <c r="L720" s="495">
        <v>44.41</v>
      </c>
      <c r="M720" s="495">
        <v>228.78</v>
      </c>
    </row>
    <row r="721" spans="1:13" ht="16.149999999999999" customHeight="1" x14ac:dyDescent="0.25">
      <c r="A721" s="488" t="s">
        <v>17</v>
      </c>
      <c r="B721" s="495">
        <v>0.5</v>
      </c>
      <c r="C721" s="495">
        <v>502.1</v>
      </c>
      <c r="D721" s="494">
        <v>0.3</v>
      </c>
      <c r="E721" s="495">
        <v>150.63</v>
      </c>
      <c r="F721" s="495">
        <v>36.29</v>
      </c>
      <c r="G721" s="495">
        <v>186.92</v>
      </c>
      <c r="H721" s="495">
        <v>0.5</v>
      </c>
      <c r="I721" s="495">
        <v>613.02</v>
      </c>
      <c r="J721" s="494">
        <v>0.2</v>
      </c>
      <c r="K721" s="495">
        <v>122.6</v>
      </c>
      <c r="L721" s="495">
        <v>29.53</v>
      </c>
      <c r="M721" s="495">
        <v>152.13</v>
      </c>
    </row>
    <row r="722" spans="1:13" ht="16.149999999999999" customHeight="1" x14ac:dyDescent="0.25">
      <c r="A722" s="488" t="s">
        <v>17</v>
      </c>
      <c r="B722" s="495">
        <v>1</v>
      </c>
      <c r="C722" s="495">
        <v>1229.1300000000001</v>
      </c>
      <c r="D722" s="494">
        <v>0.3</v>
      </c>
      <c r="E722" s="495">
        <v>368.74</v>
      </c>
      <c r="F722" s="495">
        <v>88.83</v>
      </c>
      <c r="G722" s="495">
        <v>457.57</v>
      </c>
      <c r="H722" s="495">
        <v>1</v>
      </c>
      <c r="I722" s="495">
        <v>710.59</v>
      </c>
      <c r="J722" s="494">
        <v>0.2</v>
      </c>
      <c r="K722" s="495">
        <v>142.12</v>
      </c>
      <c r="L722" s="495">
        <v>34.24</v>
      </c>
      <c r="M722" s="495">
        <v>176.36</v>
      </c>
    </row>
    <row r="723" spans="1:13" ht="16.149999999999999" customHeight="1" x14ac:dyDescent="0.25">
      <c r="A723" s="488" t="s">
        <v>17</v>
      </c>
      <c r="B723" s="495">
        <v>0.5</v>
      </c>
      <c r="C723" s="495">
        <v>739.93</v>
      </c>
      <c r="D723" s="494">
        <v>0.3</v>
      </c>
      <c r="E723" s="495">
        <v>221.98</v>
      </c>
      <c r="F723" s="495">
        <v>53.47</v>
      </c>
      <c r="G723" s="495">
        <v>275.45</v>
      </c>
      <c r="H723" s="495">
        <v>0.5</v>
      </c>
      <c r="I723" s="495">
        <v>520.70000000000005</v>
      </c>
      <c r="J723" s="494">
        <v>0.2</v>
      </c>
      <c r="K723" s="495">
        <v>104.14</v>
      </c>
      <c r="L723" s="495">
        <v>25.09</v>
      </c>
      <c r="M723" s="495">
        <v>129.22999999999999</v>
      </c>
    </row>
    <row r="724" spans="1:13" ht="16.149999999999999" customHeight="1" x14ac:dyDescent="0.25">
      <c r="A724" s="488" t="s">
        <v>17</v>
      </c>
      <c r="B724" s="495">
        <v>1</v>
      </c>
      <c r="C724" s="495">
        <v>821.47</v>
      </c>
      <c r="D724" s="494">
        <v>0.3</v>
      </c>
      <c r="E724" s="495">
        <v>246.44</v>
      </c>
      <c r="F724" s="495">
        <v>59.37</v>
      </c>
      <c r="G724" s="495">
        <v>305.81</v>
      </c>
      <c r="H724" s="495">
        <v>1</v>
      </c>
      <c r="I724" s="495">
        <v>150.52000000000001</v>
      </c>
      <c r="J724" s="494">
        <v>0.2</v>
      </c>
      <c r="K724" s="495">
        <v>30.1</v>
      </c>
      <c r="L724" s="495">
        <v>7.25</v>
      </c>
      <c r="M724" s="495">
        <v>37.35</v>
      </c>
    </row>
    <row r="725" spans="1:13" ht="16.149999999999999" customHeight="1" x14ac:dyDescent="0.25">
      <c r="A725" s="488" t="s">
        <v>17</v>
      </c>
      <c r="B725" s="495">
        <v>0.5</v>
      </c>
      <c r="C725" s="495">
        <v>460.93</v>
      </c>
      <c r="D725" s="494">
        <v>0.3</v>
      </c>
      <c r="E725" s="495">
        <v>138.28</v>
      </c>
      <c r="F725" s="495">
        <v>33.31</v>
      </c>
      <c r="G725" s="495">
        <v>171.59</v>
      </c>
      <c r="H725" s="495">
        <v>0.5</v>
      </c>
      <c r="I725" s="495">
        <v>460.92</v>
      </c>
      <c r="J725" s="494">
        <v>0.2</v>
      </c>
      <c r="K725" s="495">
        <v>92.18</v>
      </c>
      <c r="L725" s="495">
        <v>22.21</v>
      </c>
      <c r="M725" s="495">
        <v>114.39000000000001</v>
      </c>
    </row>
    <row r="726" spans="1:13" ht="16.149999999999999" customHeight="1" x14ac:dyDescent="0.25">
      <c r="A726" s="488" t="s">
        <v>17</v>
      </c>
      <c r="B726" s="495">
        <v>1</v>
      </c>
      <c r="C726" s="495">
        <v>1068.4000000000001</v>
      </c>
      <c r="D726" s="494">
        <v>0.3</v>
      </c>
      <c r="E726" s="495">
        <v>320.52</v>
      </c>
      <c r="F726" s="495">
        <v>77.209999999999994</v>
      </c>
      <c r="G726" s="495">
        <v>397.72999999999996</v>
      </c>
      <c r="H726" s="495">
        <v>1</v>
      </c>
      <c r="I726" s="495">
        <v>1120.95</v>
      </c>
      <c r="J726" s="494">
        <v>0.2</v>
      </c>
      <c r="K726" s="495">
        <v>224.19</v>
      </c>
      <c r="L726" s="495">
        <v>54.01</v>
      </c>
      <c r="M726" s="495">
        <v>278.2</v>
      </c>
    </row>
    <row r="727" spans="1:13" ht="16.149999999999999" customHeight="1" x14ac:dyDescent="0.25">
      <c r="A727" s="488" t="s">
        <v>17</v>
      </c>
      <c r="B727" s="495">
        <v>1</v>
      </c>
      <c r="C727" s="495">
        <v>1440.37</v>
      </c>
      <c r="D727" s="494">
        <v>0.3</v>
      </c>
      <c r="E727" s="495">
        <v>432.11</v>
      </c>
      <c r="F727" s="495">
        <v>104.1</v>
      </c>
      <c r="G727" s="495">
        <v>536.21</v>
      </c>
      <c r="H727" s="495">
        <v>1</v>
      </c>
      <c r="I727" s="495">
        <v>1382.77</v>
      </c>
      <c r="J727" s="494">
        <v>0.2</v>
      </c>
      <c r="K727" s="495">
        <v>276.55</v>
      </c>
      <c r="L727" s="495">
        <v>66.62</v>
      </c>
      <c r="M727" s="495">
        <v>343.17</v>
      </c>
    </row>
    <row r="728" spans="1:13" ht="16.149999999999999" customHeight="1" x14ac:dyDescent="0.25">
      <c r="A728" s="488" t="s">
        <v>17</v>
      </c>
      <c r="B728" s="495">
        <v>0.5</v>
      </c>
      <c r="C728" s="495">
        <v>665.77</v>
      </c>
      <c r="D728" s="494">
        <v>0.3</v>
      </c>
      <c r="E728" s="495">
        <v>199.73</v>
      </c>
      <c r="F728" s="495">
        <v>48.11</v>
      </c>
      <c r="G728" s="495">
        <v>247.83999999999997</v>
      </c>
      <c r="H728" s="495">
        <v>0.5</v>
      </c>
      <c r="I728" s="495">
        <v>614.55999999999995</v>
      </c>
      <c r="J728" s="494">
        <v>0.2</v>
      </c>
      <c r="K728" s="495">
        <v>122.91</v>
      </c>
      <c r="L728" s="495">
        <v>29.61</v>
      </c>
      <c r="M728" s="495">
        <v>152.51999999999998</v>
      </c>
    </row>
    <row r="729" spans="1:13" ht="16.149999999999999" customHeight="1" x14ac:dyDescent="0.25">
      <c r="A729" s="488" t="s">
        <v>17</v>
      </c>
      <c r="B729" s="495">
        <v>1</v>
      </c>
      <c r="C729" s="495">
        <v>153.63999999999999</v>
      </c>
      <c r="D729" s="494">
        <v>0.5</v>
      </c>
      <c r="E729" s="495">
        <v>76.819999999999993</v>
      </c>
      <c r="F729" s="495">
        <v>18.510000000000002</v>
      </c>
      <c r="G729" s="495">
        <v>95.33</v>
      </c>
      <c r="H729" s="495">
        <v>1</v>
      </c>
      <c r="I729" s="495">
        <v>1229.1300000000001</v>
      </c>
      <c r="J729" s="494">
        <v>0.2</v>
      </c>
      <c r="K729" s="495">
        <v>245.83</v>
      </c>
      <c r="L729" s="495">
        <v>59.22</v>
      </c>
      <c r="M729" s="495">
        <v>305.05</v>
      </c>
    </row>
    <row r="730" spans="1:13" ht="16.149999999999999" customHeight="1" x14ac:dyDescent="0.25">
      <c r="A730" s="488" t="s">
        <v>17</v>
      </c>
      <c r="B730" s="495">
        <v>1</v>
      </c>
      <c r="C730" s="495">
        <v>1229.1300000000001</v>
      </c>
      <c r="D730" s="494">
        <v>0.3</v>
      </c>
      <c r="E730" s="495">
        <v>368.74</v>
      </c>
      <c r="F730" s="495">
        <v>88.83</v>
      </c>
      <c r="G730" s="495">
        <v>457.57</v>
      </c>
      <c r="H730" s="495"/>
      <c r="I730" s="495"/>
      <c r="J730" s="494"/>
      <c r="K730" s="495"/>
      <c r="L730" s="495"/>
      <c r="M730" s="495"/>
    </row>
    <row r="731" spans="1:13" ht="16.149999999999999" customHeight="1" x14ac:dyDescent="0.25">
      <c r="A731" s="488" t="s">
        <v>17</v>
      </c>
      <c r="B731" s="495">
        <v>1</v>
      </c>
      <c r="C731" s="495">
        <v>1325.17</v>
      </c>
      <c r="D731" s="494">
        <v>0.3</v>
      </c>
      <c r="E731" s="495">
        <v>397.55</v>
      </c>
      <c r="F731" s="495">
        <v>95.77</v>
      </c>
      <c r="G731" s="495">
        <v>493.32</v>
      </c>
      <c r="H731" s="495">
        <v>1</v>
      </c>
      <c r="I731" s="495">
        <v>1229.1300000000001</v>
      </c>
      <c r="J731" s="494">
        <v>0.2</v>
      </c>
      <c r="K731" s="495">
        <v>245.83</v>
      </c>
      <c r="L731" s="495">
        <v>59.22</v>
      </c>
      <c r="M731" s="495">
        <v>305.05</v>
      </c>
    </row>
    <row r="732" spans="1:13" ht="16.149999999999999" customHeight="1" x14ac:dyDescent="0.25">
      <c r="A732" s="488" t="s">
        <v>17</v>
      </c>
      <c r="B732" s="495">
        <v>1</v>
      </c>
      <c r="C732" s="495">
        <v>280.24</v>
      </c>
      <c r="D732" s="494">
        <v>0.5</v>
      </c>
      <c r="E732" s="495">
        <v>140.12</v>
      </c>
      <c r="F732" s="495">
        <v>33.75</v>
      </c>
      <c r="G732" s="495">
        <v>173.87</v>
      </c>
      <c r="H732" s="495">
        <v>1</v>
      </c>
      <c r="I732" s="495">
        <v>1120.95</v>
      </c>
      <c r="J732" s="494">
        <v>0.2</v>
      </c>
      <c r="K732" s="495">
        <v>224.19</v>
      </c>
      <c r="L732" s="495">
        <v>54.01</v>
      </c>
      <c r="M732" s="495">
        <v>278.2</v>
      </c>
    </row>
    <row r="733" spans="1:13" ht="16.149999999999999" customHeight="1" x14ac:dyDescent="0.25">
      <c r="A733" s="488" t="s">
        <v>17</v>
      </c>
      <c r="B733" s="495">
        <v>1</v>
      </c>
      <c r="C733" s="495">
        <v>980.83</v>
      </c>
      <c r="D733" s="494">
        <v>0.3</v>
      </c>
      <c r="E733" s="495">
        <v>294.25</v>
      </c>
      <c r="F733" s="495">
        <v>70.88</v>
      </c>
      <c r="G733" s="495">
        <v>365.13</v>
      </c>
      <c r="H733" s="495"/>
      <c r="I733" s="495"/>
      <c r="J733" s="494"/>
      <c r="K733" s="495"/>
      <c r="L733" s="495"/>
      <c r="M733" s="495"/>
    </row>
    <row r="734" spans="1:13" ht="16.149999999999999" customHeight="1" x14ac:dyDescent="0.25">
      <c r="A734" s="488" t="s">
        <v>17</v>
      </c>
      <c r="B734" s="495">
        <v>0.76</v>
      </c>
      <c r="C734" s="495">
        <v>684.97</v>
      </c>
      <c r="D734" s="494">
        <v>0.3</v>
      </c>
      <c r="E734" s="495">
        <v>205.49</v>
      </c>
      <c r="F734" s="495">
        <v>49.5</v>
      </c>
      <c r="G734" s="495">
        <v>254.99</v>
      </c>
      <c r="H734" s="495">
        <v>0.76</v>
      </c>
      <c r="I734" s="495">
        <v>768.2</v>
      </c>
      <c r="J734" s="494">
        <v>0.2</v>
      </c>
      <c r="K734" s="495">
        <v>153.63999999999999</v>
      </c>
      <c r="L734" s="495">
        <v>37.01</v>
      </c>
      <c r="M734" s="495">
        <v>190.64999999999998</v>
      </c>
    </row>
    <row r="735" spans="1:13" ht="16.149999999999999" customHeight="1" x14ac:dyDescent="0.25">
      <c r="A735" s="488" t="s">
        <v>17</v>
      </c>
      <c r="B735" s="495">
        <v>0.3</v>
      </c>
      <c r="C735" s="495">
        <v>230.47</v>
      </c>
      <c r="D735" s="494">
        <v>0.3</v>
      </c>
      <c r="E735" s="495">
        <v>69.14</v>
      </c>
      <c r="F735" s="495">
        <v>16.66</v>
      </c>
      <c r="G735" s="495">
        <v>85.8</v>
      </c>
      <c r="H735" s="495">
        <v>0.3</v>
      </c>
      <c r="I735" s="495">
        <v>307.27999999999997</v>
      </c>
      <c r="J735" s="494">
        <v>0.2</v>
      </c>
      <c r="K735" s="495">
        <v>61.46</v>
      </c>
      <c r="L735" s="495">
        <v>14.81</v>
      </c>
      <c r="M735" s="495">
        <v>76.27</v>
      </c>
    </row>
    <row r="736" spans="1:13" ht="16.149999999999999" customHeight="1" x14ac:dyDescent="0.25">
      <c r="A736" s="488" t="s">
        <v>17</v>
      </c>
      <c r="B736" s="495">
        <v>0.73</v>
      </c>
      <c r="C736" s="495">
        <v>537.73</v>
      </c>
      <c r="D736" s="494">
        <v>0.3</v>
      </c>
      <c r="E736" s="495">
        <v>161.32</v>
      </c>
      <c r="F736" s="495">
        <v>38.86</v>
      </c>
      <c r="G736" s="495">
        <v>200.18</v>
      </c>
      <c r="H736" s="495">
        <v>0.73</v>
      </c>
      <c r="I736" s="495">
        <v>742.6</v>
      </c>
      <c r="J736" s="494">
        <v>0.2</v>
      </c>
      <c r="K736" s="495">
        <v>148.52000000000001</v>
      </c>
      <c r="L736" s="495">
        <v>35.78</v>
      </c>
      <c r="M736" s="495">
        <v>184.3</v>
      </c>
    </row>
    <row r="737" spans="1:13" ht="16.149999999999999" customHeight="1" x14ac:dyDescent="0.25">
      <c r="A737" s="488" t="s">
        <v>17</v>
      </c>
      <c r="B737" s="495">
        <v>1</v>
      </c>
      <c r="C737" s="495">
        <v>153.63999999999999</v>
      </c>
      <c r="D737" s="494">
        <v>0.5</v>
      </c>
      <c r="E737" s="495">
        <v>76.819999999999993</v>
      </c>
      <c r="F737" s="495">
        <v>18.510000000000002</v>
      </c>
      <c r="G737" s="495">
        <v>95.33</v>
      </c>
      <c r="H737" s="495">
        <v>1</v>
      </c>
      <c r="I737" s="495">
        <v>1440.38</v>
      </c>
      <c r="J737" s="494">
        <v>0.2</v>
      </c>
      <c r="K737" s="495">
        <v>288.08</v>
      </c>
      <c r="L737" s="495">
        <v>69.400000000000006</v>
      </c>
      <c r="M737" s="495">
        <v>357.48</v>
      </c>
    </row>
    <row r="738" spans="1:13" ht="16.149999999999999" customHeight="1" x14ac:dyDescent="0.25">
      <c r="A738" s="488" t="s">
        <v>17</v>
      </c>
      <c r="B738" s="495">
        <v>1</v>
      </c>
      <c r="C738" s="495">
        <v>1229.1300000000001</v>
      </c>
      <c r="D738" s="494">
        <v>0.3</v>
      </c>
      <c r="E738" s="495">
        <v>368.74</v>
      </c>
      <c r="F738" s="495">
        <v>88.83</v>
      </c>
      <c r="G738" s="495">
        <v>457.57</v>
      </c>
      <c r="H738" s="495"/>
      <c r="I738" s="495"/>
      <c r="J738" s="494"/>
      <c r="K738" s="495"/>
      <c r="L738" s="495"/>
      <c r="M738" s="495"/>
    </row>
    <row r="739" spans="1:13" ht="16.149999999999999" customHeight="1" x14ac:dyDescent="0.25">
      <c r="A739" s="488" t="s">
        <v>17</v>
      </c>
      <c r="B739" s="495">
        <v>0.5</v>
      </c>
      <c r="C739" s="495">
        <v>307.27</v>
      </c>
      <c r="D739" s="494">
        <v>0.3</v>
      </c>
      <c r="E739" s="495">
        <v>92.18</v>
      </c>
      <c r="F739" s="495">
        <v>22.21</v>
      </c>
      <c r="G739" s="495">
        <v>114.39000000000001</v>
      </c>
      <c r="H739" s="495">
        <v>0.5</v>
      </c>
      <c r="I739" s="495">
        <v>614.55999999999995</v>
      </c>
      <c r="J739" s="494">
        <v>0.2</v>
      </c>
      <c r="K739" s="495">
        <v>122.91</v>
      </c>
      <c r="L739" s="495">
        <v>29.61</v>
      </c>
      <c r="M739" s="495">
        <v>152.51999999999998</v>
      </c>
    </row>
    <row r="740" spans="1:13" ht="16.149999999999999" customHeight="1" x14ac:dyDescent="0.25">
      <c r="A740" s="488" t="s">
        <v>17</v>
      </c>
      <c r="B740" s="495">
        <v>1</v>
      </c>
      <c r="C740" s="495">
        <v>560.47</v>
      </c>
      <c r="D740" s="494">
        <v>0.3</v>
      </c>
      <c r="E740" s="495">
        <v>168.14</v>
      </c>
      <c r="F740" s="495">
        <v>40.5</v>
      </c>
      <c r="G740" s="495">
        <v>208.64</v>
      </c>
      <c r="H740" s="495">
        <v>1</v>
      </c>
      <c r="I740" s="495">
        <v>1173.5</v>
      </c>
      <c r="J740" s="494">
        <v>0.2</v>
      </c>
      <c r="K740" s="495">
        <v>234.7</v>
      </c>
      <c r="L740" s="495">
        <v>56.54</v>
      </c>
      <c r="M740" s="495">
        <v>291.24</v>
      </c>
    </row>
    <row r="741" spans="1:13" ht="16.149999999999999" customHeight="1" x14ac:dyDescent="0.25">
      <c r="A741" s="488" t="s">
        <v>17</v>
      </c>
      <c r="B741" s="495">
        <v>1</v>
      </c>
      <c r="C741" s="495">
        <v>460.93</v>
      </c>
      <c r="D741" s="494">
        <v>0.3</v>
      </c>
      <c r="E741" s="495">
        <v>138.28</v>
      </c>
      <c r="F741" s="495">
        <v>33.31</v>
      </c>
      <c r="G741" s="495">
        <v>171.59</v>
      </c>
      <c r="H741" s="495">
        <v>1</v>
      </c>
      <c r="I741" s="495">
        <v>1229.1300000000001</v>
      </c>
      <c r="J741" s="494">
        <v>0.2</v>
      </c>
      <c r="K741" s="495">
        <v>245.83</v>
      </c>
      <c r="L741" s="495">
        <v>59.22</v>
      </c>
      <c r="M741" s="495">
        <v>305.05</v>
      </c>
    </row>
    <row r="742" spans="1:13" ht="16.149999999999999" customHeight="1" x14ac:dyDescent="0.25">
      <c r="A742" s="488" t="s">
        <v>17</v>
      </c>
      <c r="B742" s="495">
        <v>1</v>
      </c>
      <c r="C742" s="495">
        <v>280.24</v>
      </c>
      <c r="D742" s="494">
        <v>0.5</v>
      </c>
      <c r="E742" s="495">
        <v>140.12</v>
      </c>
      <c r="F742" s="495">
        <v>33.75</v>
      </c>
      <c r="G742" s="495">
        <v>173.87</v>
      </c>
      <c r="H742" s="495">
        <v>1</v>
      </c>
      <c r="I742" s="495">
        <v>700.6</v>
      </c>
      <c r="J742" s="494">
        <v>0.2</v>
      </c>
      <c r="K742" s="495">
        <v>140.12</v>
      </c>
      <c r="L742" s="495">
        <v>33.75</v>
      </c>
      <c r="M742" s="495">
        <v>173.87</v>
      </c>
    </row>
    <row r="743" spans="1:13" ht="16.149999999999999" customHeight="1" x14ac:dyDescent="0.25">
      <c r="A743" s="488" t="s">
        <v>17</v>
      </c>
      <c r="B743" s="495">
        <v>1</v>
      </c>
      <c r="C743" s="495">
        <v>980.83</v>
      </c>
      <c r="D743" s="494">
        <v>0.3</v>
      </c>
      <c r="E743" s="495">
        <v>294.25</v>
      </c>
      <c r="F743" s="495">
        <v>70.88</v>
      </c>
      <c r="G743" s="495">
        <v>365.13</v>
      </c>
      <c r="H743" s="495"/>
      <c r="I743" s="495"/>
      <c r="J743" s="494"/>
      <c r="K743" s="495"/>
      <c r="L743" s="495"/>
      <c r="M743" s="495"/>
    </row>
    <row r="744" spans="1:13" ht="16.149999999999999" customHeight="1" x14ac:dyDescent="0.25">
      <c r="A744" s="488" t="s">
        <v>17</v>
      </c>
      <c r="B744" s="495">
        <v>1</v>
      </c>
      <c r="C744" s="495">
        <v>1382.77</v>
      </c>
      <c r="D744" s="494">
        <v>0.3</v>
      </c>
      <c r="E744" s="495">
        <v>414.83</v>
      </c>
      <c r="F744" s="495">
        <v>99.93</v>
      </c>
      <c r="G744" s="495">
        <v>514.76</v>
      </c>
      <c r="H744" s="495">
        <v>1</v>
      </c>
      <c r="I744" s="495">
        <v>1382.77</v>
      </c>
      <c r="J744" s="494">
        <v>0.2</v>
      </c>
      <c r="K744" s="495">
        <v>276.55</v>
      </c>
      <c r="L744" s="495">
        <v>66.62</v>
      </c>
      <c r="M744" s="495">
        <v>343.17</v>
      </c>
    </row>
    <row r="745" spans="1:13" ht="16.149999999999999" customHeight="1" x14ac:dyDescent="0.25">
      <c r="A745" s="488" t="s">
        <v>17</v>
      </c>
      <c r="B745" s="495">
        <v>0.15</v>
      </c>
      <c r="C745" s="495">
        <v>134.27000000000001</v>
      </c>
      <c r="D745" s="494">
        <v>0.3</v>
      </c>
      <c r="E745" s="495">
        <v>40.28</v>
      </c>
      <c r="F745" s="495">
        <v>9.6999999999999993</v>
      </c>
      <c r="G745" s="495">
        <v>49.980000000000004</v>
      </c>
      <c r="H745" s="495">
        <v>0.15</v>
      </c>
      <c r="I745" s="495">
        <v>140.12</v>
      </c>
      <c r="J745" s="494">
        <v>0.2</v>
      </c>
      <c r="K745" s="495">
        <v>28.02</v>
      </c>
      <c r="L745" s="495">
        <v>6.75</v>
      </c>
      <c r="M745" s="495">
        <v>34.769999999999996</v>
      </c>
    </row>
    <row r="746" spans="1:13" ht="16.149999999999999" customHeight="1" x14ac:dyDescent="0.25">
      <c r="A746" s="488" t="s">
        <v>17</v>
      </c>
      <c r="B746" s="495">
        <v>1</v>
      </c>
      <c r="C746" s="495">
        <v>840.73</v>
      </c>
      <c r="D746" s="494">
        <v>0.3</v>
      </c>
      <c r="E746" s="495">
        <v>252.22</v>
      </c>
      <c r="F746" s="495">
        <v>60.76</v>
      </c>
      <c r="G746" s="495">
        <v>312.98</v>
      </c>
      <c r="H746" s="495">
        <v>1</v>
      </c>
      <c r="I746" s="495">
        <v>227.69</v>
      </c>
      <c r="J746" s="494">
        <v>0.2</v>
      </c>
      <c r="K746" s="495">
        <v>45.54</v>
      </c>
      <c r="L746" s="495">
        <v>10.97</v>
      </c>
      <c r="M746" s="495">
        <v>56.51</v>
      </c>
    </row>
    <row r="747" spans="1:13" ht="16.149999999999999" customHeight="1" x14ac:dyDescent="0.25">
      <c r="A747" s="488" t="s">
        <v>17</v>
      </c>
      <c r="B747" s="495">
        <v>0.5</v>
      </c>
      <c r="C747" s="495">
        <v>768.2</v>
      </c>
      <c r="D747" s="494">
        <v>0.3</v>
      </c>
      <c r="E747" s="495">
        <v>230.46</v>
      </c>
      <c r="F747" s="495">
        <v>55.52</v>
      </c>
      <c r="G747" s="495">
        <v>285.98</v>
      </c>
      <c r="H747" s="495">
        <v>0.5</v>
      </c>
      <c r="I747" s="495">
        <v>768.2</v>
      </c>
      <c r="J747" s="494">
        <v>0.2</v>
      </c>
      <c r="K747" s="495">
        <v>153.63999999999999</v>
      </c>
      <c r="L747" s="495">
        <v>37.01</v>
      </c>
      <c r="M747" s="495">
        <v>190.64999999999998</v>
      </c>
    </row>
    <row r="748" spans="1:13" ht="16.149999999999999" customHeight="1" x14ac:dyDescent="0.25">
      <c r="A748" s="488" t="s">
        <v>17</v>
      </c>
      <c r="B748" s="495">
        <v>0.5</v>
      </c>
      <c r="C748" s="495">
        <v>307.27</v>
      </c>
      <c r="D748" s="494">
        <v>0.3</v>
      </c>
      <c r="E748" s="495">
        <v>92.18</v>
      </c>
      <c r="F748" s="495">
        <v>22.21</v>
      </c>
      <c r="G748" s="495">
        <v>114.39000000000001</v>
      </c>
      <c r="H748" s="495"/>
      <c r="I748" s="495"/>
      <c r="J748" s="494"/>
      <c r="K748" s="495"/>
      <c r="L748" s="495"/>
      <c r="M748" s="495"/>
    </row>
    <row r="749" spans="1:13" ht="16.149999999999999" customHeight="1" x14ac:dyDescent="0.25">
      <c r="A749" s="488" t="s">
        <v>17</v>
      </c>
      <c r="B749" s="495">
        <v>0.5</v>
      </c>
      <c r="C749" s="495">
        <v>414.53</v>
      </c>
      <c r="D749" s="494">
        <v>0.3</v>
      </c>
      <c r="E749" s="495">
        <v>124.36</v>
      </c>
      <c r="F749" s="495">
        <v>29.96</v>
      </c>
      <c r="G749" s="495">
        <v>154.32</v>
      </c>
      <c r="H749" s="495">
        <v>0.5</v>
      </c>
      <c r="I749" s="495">
        <v>280.24</v>
      </c>
      <c r="J749" s="494">
        <v>0.2</v>
      </c>
      <c r="K749" s="495">
        <v>56.05</v>
      </c>
      <c r="L749" s="495">
        <v>13.5</v>
      </c>
      <c r="M749" s="495">
        <v>69.55</v>
      </c>
    </row>
    <row r="750" spans="1:13" ht="16.149999999999999" customHeight="1" x14ac:dyDescent="0.25">
      <c r="A750" s="488" t="s">
        <v>17</v>
      </c>
      <c r="B750" s="495">
        <v>1</v>
      </c>
      <c r="C750" s="495">
        <v>1229.1300000000001</v>
      </c>
      <c r="D750" s="494">
        <v>0.3</v>
      </c>
      <c r="E750" s="495">
        <v>368.74</v>
      </c>
      <c r="F750" s="495">
        <v>88.83</v>
      </c>
      <c r="G750" s="495">
        <v>457.57</v>
      </c>
      <c r="H750" s="495">
        <v>1</v>
      </c>
      <c r="I750" s="495">
        <v>614.55999999999995</v>
      </c>
      <c r="J750" s="494">
        <v>0.2</v>
      </c>
      <c r="K750" s="495">
        <v>122.91</v>
      </c>
      <c r="L750" s="495">
        <v>29.61</v>
      </c>
      <c r="M750" s="495">
        <v>152.51999999999998</v>
      </c>
    </row>
    <row r="751" spans="1:13" ht="16.149999999999999" customHeight="1" x14ac:dyDescent="0.25">
      <c r="A751" s="488" t="s">
        <v>17</v>
      </c>
      <c r="B751" s="495">
        <v>1</v>
      </c>
      <c r="C751" s="495">
        <v>1255.23</v>
      </c>
      <c r="D751" s="494">
        <v>0.3</v>
      </c>
      <c r="E751" s="495">
        <v>376.57</v>
      </c>
      <c r="F751" s="495">
        <v>90.72</v>
      </c>
      <c r="G751" s="495">
        <v>467.28999999999996</v>
      </c>
      <c r="H751" s="495">
        <v>1</v>
      </c>
      <c r="I751" s="495">
        <v>1208.53</v>
      </c>
      <c r="J751" s="494">
        <v>0.2</v>
      </c>
      <c r="K751" s="495">
        <v>241.71</v>
      </c>
      <c r="L751" s="495">
        <v>58.23</v>
      </c>
      <c r="M751" s="495">
        <v>299.94</v>
      </c>
    </row>
    <row r="752" spans="1:13" ht="16.149999999999999" customHeight="1" x14ac:dyDescent="0.25">
      <c r="A752" s="488" t="s">
        <v>17</v>
      </c>
      <c r="B752" s="495">
        <v>1</v>
      </c>
      <c r="C752" s="495">
        <v>1229.1300000000001</v>
      </c>
      <c r="D752" s="494">
        <v>0.3</v>
      </c>
      <c r="E752" s="495">
        <v>368.74</v>
      </c>
      <c r="F752" s="495">
        <v>88.83</v>
      </c>
      <c r="G752" s="495">
        <v>457.57</v>
      </c>
      <c r="H752" s="495">
        <v>1</v>
      </c>
      <c r="I752" s="495">
        <v>614.55999999999995</v>
      </c>
      <c r="J752" s="494">
        <v>0.2</v>
      </c>
      <c r="K752" s="495">
        <v>122.91</v>
      </c>
      <c r="L752" s="495">
        <v>29.61</v>
      </c>
      <c r="M752" s="495">
        <v>152.51999999999998</v>
      </c>
    </row>
    <row r="753" spans="1:13" ht="16.149999999999999" customHeight="1" x14ac:dyDescent="0.25">
      <c r="A753" s="488" t="s">
        <v>17</v>
      </c>
      <c r="B753" s="495"/>
      <c r="C753" s="495"/>
      <c r="D753" s="494"/>
      <c r="E753" s="495"/>
      <c r="F753" s="495">
        <v>0</v>
      </c>
      <c r="G753" s="495">
        <v>0</v>
      </c>
      <c r="H753" s="495">
        <v>1</v>
      </c>
      <c r="I753" s="495">
        <v>307.27999999999997</v>
      </c>
      <c r="J753" s="494">
        <v>0.2</v>
      </c>
      <c r="K753" s="495">
        <v>61.46</v>
      </c>
      <c r="L753" s="495">
        <v>14.81</v>
      </c>
      <c r="M753" s="495">
        <v>76.27</v>
      </c>
    </row>
    <row r="754" spans="1:13" ht="16.149999999999999" customHeight="1" x14ac:dyDescent="0.25">
      <c r="A754" s="488" t="s">
        <v>17</v>
      </c>
      <c r="B754" s="495">
        <v>1</v>
      </c>
      <c r="C754" s="495">
        <v>614.57000000000005</v>
      </c>
      <c r="D754" s="494">
        <v>0.3</v>
      </c>
      <c r="E754" s="495">
        <v>184.37</v>
      </c>
      <c r="F754" s="495">
        <v>44.41</v>
      </c>
      <c r="G754" s="495">
        <v>228.78</v>
      </c>
      <c r="H754" s="495">
        <v>1</v>
      </c>
      <c r="I754" s="495">
        <v>1229.1300000000001</v>
      </c>
      <c r="J754" s="494">
        <v>0.2</v>
      </c>
      <c r="K754" s="495">
        <v>245.83</v>
      </c>
      <c r="L754" s="495">
        <v>59.22</v>
      </c>
      <c r="M754" s="495">
        <v>305.05</v>
      </c>
    </row>
    <row r="755" spans="1:13" ht="16.149999999999999" customHeight="1" x14ac:dyDescent="0.25">
      <c r="A755" s="488" t="s">
        <v>17</v>
      </c>
      <c r="B755" s="495">
        <v>1</v>
      </c>
      <c r="C755" s="495">
        <v>249.68</v>
      </c>
      <c r="D755" s="494">
        <v>0.5</v>
      </c>
      <c r="E755" s="495">
        <v>124.84</v>
      </c>
      <c r="F755" s="495">
        <v>30.07</v>
      </c>
      <c r="G755" s="495">
        <v>154.91</v>
      </c>
      <c r="H755" s="495">
        <v>1</v>
      </c>
      <c r="I755" s="495">
        <v>1229.1300000000001</v>
      </c>
      <c r="J755" s="494">
        <v>0.2</v>
      </c>
      <c r="K755" s="495">
        <v>245.83</v>
      </c>
      <c r="L755" s="495">
        <v>59.22</v>
      </c>
      <c r="M755" s="495">
        <v>305.05</v>
      </c>
    </row>
    <row r="756" spans="1:13" ht="16.149999999999999" customHeight="1" x14ac:dyDescent="0.25">
      <c r="A756" s="488" t="s">
        <v>17</v>
      </c>
      <c r="B756" s="495">
        <v>1</v>
      </c>
      <c r="C756" s="495">
        <v>1075.5</v>
      </c>
      <c r="D756" s="494">
        <v>0.3</v>
      </c>
      <c r="E756" s="495">
        <v>322.64999999999998</v>
      </c>
      <c r="F756" s="495">
        <v>77.73</v>
      </c>
      <c r="G756" s="495">
        <v>400.38</v>
      </c>
      <c r="H756" s="495"/>
      <c r="I756" s="495"/>
      <c r="J756" s="494"/>
      <c r="K756" s="495"/>
      <c r="L756" s="495"/>
      <c r="M756" s="495"/>
    </row>
    <row r="757" spans="1:13" ht="16.149999999999999" customHeight="1" x14ac:dyDescent="0.25">
      <c r="A757" s="488" t="s">
        <v>17</v>
      </c>
      <c r="B757" s="495">
        <v>1</v>
      </c>
      <c r="C757" s="495">
        <v>1473.03</v>
      </c>
      <c r="D757" s="494">
        <v>0.3</v>
      </c>
      <c r="E757" s="495">
        <v>441.91</v>
      </c>
      <c r="F757" s="495">
        <v>106.46</v>
      </c>
      <c r="G757" s="495">
        <v>548.37</v>
      </c>
      <c r="H757" s="495">
        <v>1</v>
      </c>
      <c r="I757" s="495">
        <v>657.72</v>
      </c>
      <c r="J757" s="494">
        <v>0.2</v>
      </c>
      <c r="K757" s="495">
        <v>131.54</v>
      </c>
      <c r="L757" s="495">
        <v>31.69</v>
      </c>
      <c r="M757" s="495">
        <v>163.22999999999999</v>
      </c>
    </row>
    <row r="758" spans="1:13" ht="16.149999999999999" customHeight="1" x14ac:dyDescent="0.25">
      <c r="A758" s="488" t="s">
        <v>17</v>
      </c>
      <c r="B758" s="495">
        <v>0.75</v>
      </c>
      <c r="C758" s="495">
        <v>980.83</v>
      </c>
      <c r="D758" s="494">
        <v>0.3</v>
      </c>
      <c r="E758" s="495">
        <v>294.25</v>
      </c>
      <c r="F758" s="495">
        <v>70.88</v>
      </c>
      <c r="G758" s="495">
        <v>365.13</v>
      </c>
      <c r="H758" s="495">
        <v>0.75</v>
      </c>
      <c r="I758" s="495">
        <v>560.48</v>
      </c>
      <c r="J758" s="494">
        <v>0.2</v>
      </c>
      <c r="K758" s="495">
        <v>112.1</v>
      </c>
      <c r="L758" s="495">
        <v>27</v>
      </c>
      <c r="M758" s="495">
        <v>139.1</v>
      </c>
    </row>
    <row r="759" spans="1:13" ht="16.149999999999999" customHeight="1" x14ac:dyDescent="0.25">
      <c r="A759" s="488" t="s">
        <v>17</v>
      </c>
      <c r="B759" s="495">
        <v>1</v>
      </c>
      <c r="C759" s="495">
        <v>864.23</v>
      </c>
      <c r="D759" s="494">
        <v>0.3</v>
      </c>
      <c r="E759" s="495">
        <v>259.27</v>
      </c>
      <c r="F759" s="495">
        <v>62.46</v>
      </c>
      <c r="G759" s="495">
        <v>321.72999999999996</v>
      </c>
      <c r="H759" s="495">
        <v>1</v>
      </c>
      <c r="I759" s="495">
        <v>825.82</v>
      </c>
      <c r="J759" s="494">
        <v>0.2</v>
      </c>
      <c r="K759" s="495">
        <v>165.16</v>
      </c>
      <c r="L759" s="495">
        <v>39.79</v>
      </c>
      <c r="M759" s="495">
        <v>204.95</v>
      </c>
    </row>
    <row r="760" spans="1:13" ht="16.149999999999999" customHeight="1" x14ac:dyDescent="0.25">
      <c r="A760" s="488" t="s">
        <v>17</v>
      </c>
      <c r="B760" s="495"/>
      <c r="C760" s="495"/>
      <c r="D760" s="494"/>
      <c r="E760" s="495"/>
      <c r="F760" s="495">
        <v>0</v>
      </c>
      <c r="G760" s="495">
        <v>0</v>
      </c>
      <c r="H760" s="495">
        <v>1</v>
      </c>
      <c r="I760" s="495">
        <v>296.01</v>
      </c>
      <c r="J760" s="494">
        <v>0.2</v>
      </c>
      <c r="K760" s="495">
        <v>59.2</v>
      </c>
      <c r="L760" s="495">
        <v>14.26</v>
      </c>
      <c r="M760" s="495">
        <v>73.460000000000008</v>
      </c>
    </row>
    <row r="761" spans="1:13" ht="16.149999999999999" customHeight="1" x14ac:dyDescent="0.25">
      <c r="A761" s="488" t="s">
        <v>17</v>
      </c>
      <c r="B761" s="495"/>
      <c r="C761" s="495"/>
      <c r="D761" s="494"/>
      <c r="E761" s="495"/>
      <c r="F761" s="495">
        <v>0</v>
      </c>
      <c r="G761" s="495">
        <v>0</v>
      </c>
      <c r="H761" s="495">
        <v>0.2</v>
      </c>
      <c r="I761" s="495">
        <v>168.72</v>
      </c>
      <c r="J761" s="494">
        <v>0.2</v>
      </c>
      <c r="K761" s="495">
        <v>33.74</v>
      </c>
      <c r="L761" s="495">
        <v>8.1300000000000008</v>
      </c>
      <c r="M761" s="495">
        <v>41.870000000000005</v>
      </c>
    </row>
    <row r="762" spans="1:13" ht="16.149999999999999" customHeight="1" x14ac:dyDescent="0.25">
      <c r="A762" s="488" t="s">
        <v>17</v>
      </c>
      <c r="B762" s="495"/>
      <c r="C762" s="495"/>
      <c r="D762" s="494"/>
      <c r="E762" s="495"/>
      <c r="F762" s="495">
        <v>0</v>
      </c>
      <c r="G762" s="495">
        <v>0</v>
      </c>
      <c r="H762" s="495">
        <v>0.15</v>
      </c>
      <c r="I762" s="495">
        <v>130.62</v>
      </c>
      <c r="J762" s="494">
        <v>0.2</v>
      </c>
      <c r="K762" s="495">
        <v>26.12</v>
      </c>
      <c r="L762" s="495">
        <v>6.29</v>
      </c>
      <c r="M762" s="495">
        <v>32.410000000000004</v>
      </c>
    </row>
    <row r="763" spans="1:13" ht="16.149999999999999" customHeight="1" x14ac:dyDescent="0.25">
      <c r="A763" s="488" t="s">
        <v>17</v>
      </c>
      <c r="B763" s="495"/>
      <c r="C763" s="495"/>
      <c r="D763" s="494"/>
      <c r="E763" s="495"/>
      <c r="F763" s="495">
        <v>0</v>
      </c>
      <c r="G763" s="495">
        <v>0</v>
      </c>
      <c r="H763" s="495">
        <v>0.1</v>
      </c>
      <c r="I763" s="495">
        <v>84.92</v>
      </c>
      <c r="J763" s="494">
        <v>0.2</v>
      </c>
      <c r="K763" s="495">
        <v>16.98</v>
      </c>
      <c r="L763" s="495">
        <v>4.09</v>
      </c>
      <c r="M763" s="495">
        <v>21.07</v>
      </c>
    </row>
    <row r="764" spans="1:13" ht="16.149999999999999" customHeight="1" x14ac:dyDescent="0.25">
      <c r="A764" s="488" t="s">
        <v>17</v>
      </c>
      <c r="B764" s="495"/>
      <c r="C764" s="495"/>
      <c r="D764" s="494"/>
      <c r="E764" s="495"/>
      <c r="F764" s="495">
        <v>0</v>
      </c>
      <c r="G764" s="495">
        <v>0</v>
      </c>
      <c r="H764" s="495">
        <v>0.5</v>
      </c>
      <c r="I764" s="495">
        <v>661.13</v>
      </c>
      <c r="J764" s="494">
        <v>0.2</v>
      </c>
      <c r="K764" s="495">
        <v>132.22999999999999</v>
      </c>
      <c r="L764" s="495">
        <v>31.85</v>
      </c>
      <c r="M764" s="495">
        <v>164.07999999999998</v>
      </c>
    </row>
    <row r="765" spans="1:13" ht="16.149999999999999" customHeight="1" x14ac:dyDescent="0.25">
      <c r="A765" s="488" t="s">
        <v>17</v>
      </c>
      <c r="B765" s="495"/>
      <c r="C765" s="495"/>
      <c r="D765" s="494"/>
      <c r="E765" s="495"/>
      <c r="F765" s="495">
        <v>0</v>
      </c>
      <c r="G765" s="495">
        <v>0</v>
      </c>
      <c r="H765" s="495">
        <v>0.25</v>
      </c>
      <c r="I765" s="495">
        <v>195.17</v>
      </c>
      <c r="J765" s="494">
        <v>0.2</v>
      </c>
      <c r="K765" s="495">
        <v>39.03</v>
      </c>
      <c r="L765" s="495">
        <v>9.4</v>
      </c>
      <c r="M765" s="495">
        <v>48.43</v>
      </c>
    </row>
    <row r="766" spans="1:13" ht="16.149999999999999" customHeight="1" x14ac:dyDescent="0.25">
      <c r="A766" s="488" t="s">
        <v>17</v>
      </c>
      <c r="B766" s="495"/>
      <c r="C766" s="495"/>
      <c r="D766" s="494"/>
      <c r="E766" s="495"/>
      <c r="F766" s="495">
        <v>0</v>
      </c>
      <c r="G766" s="495">
        <v>0</v>
      </c>
      <c r="H766" s="495">
        <v>0.25</v>
      </c>
      <c r="I766" s="495">
        <v>282.83</v>
      </c>
      <c r="J766" s="494">
        <v>0.2</v>
      </c>
      <c r="K766" s="495">
        <v>56.57</v>
      </c>
      <c r="L766" s="495">
        <v>13.63</v>
      </c>
      <c r="M766" s="495">
        <v>70.2</v>
      </c>
    </row>
    <row r="767" spans="1:13" ht="16.149999999999999" customHeight="1" x14ac:dyDescent="0.25">
      <c r="A767" s="488" t="s">
        <v>17</v>
      </c>
      <c r="B767" s="495"/>
      <c r="C767" s="495"/>
      <c r="D767" s="494"/>
      <c r="E767" s="495"/>
      <c r="F767" s="495">
        <v>0</v>
      </c>
      <c r="G767" s="495">
        <v>0</v>
      </c>
      <c r="H767" s="495">
        <v>1</v>
      </c>
      <c r="I767" s="495">
        <v>1244.3499999999999</v>
      </c>
      <c r="J767" s="494">
        <v>0.2</v>
      </c>
      <c r="K767" s="495">
        <v>248.87</v>
      </c>
      <c r="L767" s="495">
        <v>59.95</v>
      </c>
      <c r="M767" s="495">
        <v>308.82</v>
      </c>
    </row>
    <row r="768" spans="1:13" ht="16.149999999999999" customHeight="1" x14ac:dyDescent="0.25">
      <c r="A768" s="488" t="s">
        <v>17</v>
      </c>
      <c r="B768" s="495"/>
      <c r="C768" s="495"/>
      <c r="D768" s="494"/>
      <c r="E768" s="495"/>
      <c r="F768" s="495">
        <v>0</v>
      </c>
      <c r="G768" s="495">
        <v>0</v>
      </c>
      <c r="H768" s="495">
        <v>0.35</v>
      </c>
      <c r="I768" s="495">
        <v>354.71</v>
      </c>
      <c r="J768" s="494">
        <v>0.2</v>
      </c>
      <c r="K768" s="495">
        <v>70.94</v>
      </c>
      <c r="L768" s="495">
        <v>17.09</v>
      </c>
      <c r="M768" s="495">
        <v>88.03</v>
      </c>
    </row>
    <row r="769" spans="1:13" ht="16.149999999999999" customHeight="1" x14ac:dyDescent="0.25">
      <c r="A769" s="488" t="s">
        <v>17</v>
      </c>
      <c r="B769" s="495"/>
      <c r="C769" s="495"/>
      <c r="D769" s="494"/>
      <c r="E769" s="495"/>
      <c r="F769" s="495">
        <v>0</v>
      </c>
      <c r="G769" s="495">
        <v>0</v>
      </c>
      <c r="H769" s="495">
        <v>0.5</v>
      </c>
      <c r="I769" s="495">
        <v>575.51</v>
      </c>
      <c r="J769" s="494">
        <v>0.2</v>
      </c>
      <c r="K769" s="495">
        <v>115.1</v>
      </c>
      <c r="L769" s="495">
        <v>27.73</v>
      </c>
      <c r="M769" s="495">
        <v>142.82999999999998</v>
      </c>
    </row>
    <row r="770" spans="1:13" ht="16.149999999999999" customHeight="1" x14ac:dyDescent="0.25">
      <c r="A770" s="488" t="s">
        <v>861</v>
      </c>
      <c r="B770" s="495"/>
      <c r="C770" s="495"/>
      <c r="D770" s="494"/>
      <c r="E770" s="495"/>
      <c r="F770" s="495">
        <v>0</v>
      </c>
      <c r="G770" s="495">
        <v>0</v>
      </c>
      <c r="H770" s="495">
        <v>0.5</v>
      </c>
      <c r="I770" s="495">
        <v>739.94</v>
      </c>
      <c r="J770" s="494">
        <v>0.5</v>
      </c>
      <c r="K770" s="495">
        <v>369.97</v>
      </c>
      <c r="L770" s="495">
        <v>89.13</v>
      </c>
      <c r="M770" s="495">
        <v>459.1</v>
      </c>
    </row>
    <row r="771" spans="1:13" ht="16.149999999999999" customHeight="1" x14ac:dyDescent="0.25">
      <c r="A771" s="488" t="s">
        <v>17</v>
      </c>
      <c r="B771" s="495">
        <v>1</v>
      </c>
      <c r="C771" s="495">
        <v>567.96</v>
      </c>
      <c r="D771" s="494">
        <v>0.5</v>
      </c>
      <c r="E771" s="495">
        <v>283.98</v>
      </c>
      <c r="F771" s="495">
        <v>68.41</v>
      </c>
      <c r="G771" s="495">
        <v>352.39</v>
      </c>
      <c r="H771" s="495">
        <v>1</v>
      </c>
      <c r="I771" s="495">
        <v>730.23</v>
      </c>
      <c r="J771" s="494">
        <v>0.2</v>
      </c>
      <c r="K771" s="495">
        <v>146.05000000000001</v>
      </c>
      <c r="L771" s="495">
        <v>35.18</v>
      </c>
      <c r="M771" s="495">
        <v>181.23000000000002</v>
      </c>
    </row>
    <row r="772" spans="1:13" ht="16.149999999999999" customHeight="1" x14ac:dyDescent="0.25">
      <c r="A772" s="488" t="s">
        <v>17</v>
      </c>
      <c r="B772" s="495"/>
      <c r="C772" s="495"/>
      <c r="D772" s="494"/>
      <c r="E772" s="495"/>
      <c r="F772" s="495">
        <v>0</v>
      </c>
      <c r="G772" s="495">
        <v>0</v>
      </c>
      <c r="H772" s="495">
        <v>1</v>
      </c>
      <c r="I772" s="495">
        <v>678.23</v>
      </c>
      <c r="J772" s="494">
        <v>0.2</v>
      </c>
      <c r="K772" s="495">
        <v>135.65</v>
      </c>
      <c r="L772" s="495">
        <v>32.68</v>
      </c>
      <c r="M772" s="495">
        <v>168.33</v>
      </c>
    </row>
    <row r="773" spans="1:13" ht="16.149999999999999" customHeight="1" x14ac:dyDescent="0.25">
      <c r="A773" s="488" t="s">
        <v>17</v>
      </c>
      <c r="B773" s="495"/>
      <c r="C773" s="495"/>
      <c r="D773" s="494"/>
      <c r="E773" s="495"/>
      <c r="F773" s="495">
        <v>0</v>
      </c>
      <c r="G773" s="495">
        <v>0</v>
      </c>
      <c r="H773" s="495">
        <v>1</v>
      </c>
      <c r="I773" s="495">
        <v>449.77</v>
      </c>
      <c r="J773" s="494">
        <v>0.2</v>
      </c>
      <c r="K773" s="495">
        <v>89.95</v>
      </c>
      <c r="L773" s="495">
        <v>21.67</v>
      </c>
      <c r="M773" s="495">
        <v>111.62</v>
      </c>
    </row>
    <row r="774" spans="1:13" ht="16.149999999999999" customHeight="1" x14ac:dyDescent="0.25">
      <c r="A774" s="488" t="s">
        <v>17</v>
      </c>
      <c r="B774" s="495"/>
      <c r="C774" s="495"/>
      <c r="D774" s="494"/>
      <c r="E774" s="495"/>
      <c r="F774" s="495">
        <v>0</v>
      </c>
      <c r="G774" s="495">
        <v>0</v>
      </c>
      <c r="H774" s="495">
        <v>1</v>
      </c>
      <c r="I774" s="495">
        <v>1203</v>
      </c>
      <c r="J774" s="494">
        <v>0.2</v>
      </c>
      <c r="K774" s="495">
        <v>240.6</v>
      </c>
      <c r="L774" s="495">
        <v>57.96</v>
      </c>
      <c r="M774" s="495">
        <v>298.56</v>
      </c>
    </row>
    <row r="775" spans="1:13" ht="16.149999999999999" customHeight="1" x14ac:dyDescent="0.25">
      <c r="A775" s="488" t="s">
        <v>17</v>
      </c>
      <c r="B775" s="495"/>
      <c r="C775" s="495"/>
      <c r="D775" s="494"/>
      <c r="E775" s="495"/>
      <c r="F775" s="495">
        <v>0</v>
      </c>
      <c r="G775" s="495">
        <v>0</v>
      </c>
      <c r="H775" s="495">
        <v>1</v>
      </c>
      <c r="I775" s="495">
        <v>1118</v>
      </c>
      <c r="J775" s="494">
        <v>0.2</v>
      </c>
      <c r="K775" s="495">
        <v>223.6</v>
      </c>
      <c r="L775" s="495">
        <v>53.87</v>
      </c>
      <c r="M775" s="495">
        <v>277.46999999999997</v>
      </c>
    </row>
    <row r="776" spans="1:13" ht="16.149999999999999" customHeight="1" x14ac:dyDescent="0.25">
      <c r="A776" s="488" t="s">
        <v>17</v>
      </c>
      <c r="B776" s="495"/>
      <c r="C776" s="495"/>
      <c r="D776" s="494"/>
      <c r="E776" s="495"/>
      <c r="F776" s="495">
        <v>0</v>
      </c>
      <c r="G776" s="495">
        <v>0</v>
      </c>
      <c r="H776" s="495">
        <v>0.15</v>
      </c>
      <c r="I776" s="495">
        <v>134.36000000000001</v>
      </c>
      <c r="J776" s="494">
        <v>0.2</v>
      </c>
      <c r="K776" s="495">
        <v>26.87</v>
      </c>
      <c r="L776" s="495">
        <v>6.47</v>
      </c>
      <c r="M776" s="495">
        <v>33.340000000000003</v>
      </c>
    </row>
    <row r="777" spans="1:13" ht="16.149999999999999" customHeight="1" x14ac:dyDescent="0.25">
      <c r="A777" s="488" t="s">
        <v>17</v>
      </c>
      <c r="B777" s="495"/>
      <c r="C777" s="495"/>
      <c r="D777" s="494"/>
      <c r="E777" s="495"/>
      <c r="F777" s="495">
        <v>0</v>
      </c>
      <c r="G777" s="495">
        <v>0</v>
      </c>
      <c r="H777" s="495">
        <v>1</v>
      </c>
      <c r="I777" s="495">
        <v>1144</v>
      </c>
      <c r="J777" s="494">
        <v>0.2</v>
      </c>
      <c r="K777" s="495">
        <v>228.8</v>
      </c>
      <c r="L777" s="495">
        <v>55.12</v>
      </c>
      <c r="M777" s="495">
        <v>283.92</v>
      </c>
    </row>
    <row r="778" spans="1:13" ht="16.149999999999999" customHeight="1" x14ac:dyDescent="0.25">
      <c r="A778" s="488" t="s">
        <v>17</v>
      </c>
      <c r="B778" s="495"/>
      <c r="C778" s="495"/>
      <c r="D778" s="494"/>
      <c r="E778" s="495"/>
      <c r="F778" s="495">
        <v>0</v>
      </c>
      <c r="G778" s="495">
        <v>0</v>
      </c>
      <c r="H778" s="495">
        <v>1</v>
      </c>
      <c r="I778" s="495">
        <v>134.36000000000001</v>
      </c>
      <c r="J778" s="494">
        <v>0.2</v>
      </c>
      <c r="K778" s="495">
        <v>26.87</v>
      </c>
      <c r="L778" s="495">
        <v>6.47</v>
      </c>
      <c r="M778" s="495">
        <v>33.340000000000003</v>
      </c>
    </row>
    <row r="779" spans="1:13" ht="16.149999999999999" customHeight="1" x14ac:dyDescent="0.25">
      <c r="A779" s="488" t="s">
        <v>17</v>
      </c>
      <c r="B779" s="495"/>
      <c r="C779" s="495"/>
      <c r="D779" s="494"/>
      <c r="E779" s="495"/>
      <c r="F779" s="495">
        <v>0</v>
      </c>
      <c r="G779" s="495">
        <v>0</v>
      </c>
      <c r="H779" s="495">
        <v>1</v>
      </c>
      <c r="I779" s="495">
        <v>1074.9100000000001</v>
      </c>
      <c r="J779" s="494">
        <v>0.2</v>
      </c>
      <c r="K779" s="495">
        <v>214.98</v>
      </c>
      <c r="L779" s="495">
        <v>51.79</v>
      </c>
      <c r="M779" s="495">
        <v>266.77</v>
      </c>
    </row>
    <row r="780" spans="1:13" ht="16.149999999999999" customHeight="1" x14ac:dyDescent="0.25">
      <c r="A780" s="488" t="s">
        <v>17</v>
      </c>
      <c r="B780" s="495"/>
      <c r="C780" s="495"/>
      <c r="D780" s="494"/>
      <c r="E780" s="495"/>
      <c r="F780" s="495">
        <v>0</v>
      </c>
      <c r="G780" s="495">
        <v>0</v>
      </c>
      <c r="H780" s="495">
        <v>0.5</v>
      </c>
      <c r="I780" s="495">
        <v>537.46</v>
      </c>
      <c r="J780" s="494">
        <v>0.2</v>
      </c>
      <c r="K780" s="495">
        <v>107.49</v>
      </c>
      <c r="L780" s="495">
        <v>25.89</v>
      </c>
      <c r="M780" s="495">
        <v>133.38</v>
      </c>
    </row>
    <row r="781" spans="1:13" ht="16.149999999999999" customHeight="1" x14ac:dyDescent="0.25">
      <c r="A781" s="488" t="s">
        <v>17</v>
      </c>
      <c r="B781" s="495"/>
      <c r="C781" s="495"/>
      <c r="D781" s="494"/>
      <c r="E781" s="495"/>
      <c r="F781" s="495">
        <v>0</v>
      </c>
      <c r="G781" s="495">
        <v>0</v>
      </c>
      <c r="H781" s="495">
        <v>0.5</v>
      </c>
      <c r="I781" s="495">
        <v>716.61</v>
      </c>
      <c r="J781" s="494">
        <v>0.2</v>
      </c>
      <c r="K781" s="495">
        <v>143.32</v>
      </c>
      <c r="L781" s="495">
        <v>34.53</v>
      </c>
      <c r="M781" s="495">
        <v>177.85</v>
      </c>
    </row>
    <row r="782" spans="1:13" ht="16.149999999999999" customHeight="1" x14ac:dyDescent="0.25">
      <c r="A782" s="488" t="s">
        <v>17</v>
      </c>
      <c r="B782" s="495"/>
      <c r="C782" s="495"/>
      <c r="D782" s="494"/>
      <c r="E782" s="495"/>
      <c r="F782" s="495">
        <v>0</v>
      </c>
      <c r="G782" s="495">
        <v>0</v>
      </c>
      <c r="H782" s="495">
        <v>0.5</v>
      </c>
      <c r="I782" s="495">
        <v>537.46</v>
      </c>
      <c r="J782" s="494">
        <v>0.2</v>
      </c>
      <c r="K782" s="495">
        <v>107.49</v>
      </c>
      <c r="L782" s="495">
        <v>25.89</v>
      </c>
      <c r="M782" s="495">
        <v>133.38</v>
      </c>
    </row>
    <row r="783" spans="1:13" ht="16.149999999999999" customHeight="1" x14ac:dyDescent="0.25">
      <c r="A783" s="488" t="s">
        <v>17</v>
      </c>
      <c r="B783" s="495"/>
      <c r="C783" s="495"/>
      <c r="D783" s="494"/>
      <c r="E783" s="495"/>
      <c r="F783" s="495">
        <v>0</v>
      </c>
      <c r="G783" s="495">
        <v>0</v>
      </c>
      <c r="H783" s="495">
        <v>1</v>
      </c>
      <c r="I783" s="495">
        <v>98.59</v>
      </c>
      <c r="J783" s="494">
        <v>0.2</v>
      </c>
      <c r="K783" s="495">
        <v>19.72</v>
      </c>
      <c r="L783" s="495">
        <v>4.75</v>
      </c>
      <c r="M783" s="495">
        <v>24.47</v>
      </c>
    </row>
    <row r="784" spans="1:13" ht="16.149999999999999" customHeight="1" x14ac:dyDescent="0.25">
      <c r="A784" s="488" t="s">
        <v>17</v>
      </c>
      <c r="B784" s="495"/>
      <c r="C784" s="495"/>
      <c r="D784" s="494"/>
      <c r="E784" s="495"/>
      <c r="F784" s="495">
        <v>0</v>
      </c>
      <c r="G784" s="495">
        <v>0</v>
      </c>
      <c r="H784" s="495">
        <v>1</v>
      </c>
      <c r="I784" s="495">
        <v>940.55</v>
      </c>
      <c r="J784" s="494">
        <v>0.2</v>
      </c>
      <c r="K784" s="495">
        <v>188.11</v>
      </c>
      <c r="L784" s="495">
        <v>45.32</v>
      </c>
      <c r="M784" s="495">
        <v>233.43</v>
      </c>
    </row>
    <row r="785" spans="1:13" ht="16.149999999999999" customHeight="1" x14ac:dyDescent="0.25">
      <c r="A785" s="488" t="s">
        <v>17</v>
      </c>
      <c r="B785" s="495"/>
      <c r="C785" s="495"/>
      <c r="D785" s="494"/>
      <c r="E785" s="495"/>
      <c r="F785" s="495">
        <v>0</v>
      </c>
      <c r="G785" s="495">
        <v>0</v>
      </c>
      <c r="H785" s="495">
        <v>1</v>
      </c>
      <c r="I785" s="495">
        <v>1030.1199999999999</v>
      </c>
      <c r="J785" s="494">
        <v>0.2</v>
      </c>
      <c r="K785" s="495">
        <v>206.02</v>
      </c>
      <c r="L785" s="495">
        <v>49.63</v>
      </c>
      <c r="M785" s="495">
        <v>255.65</v>
      </c>
    </row>
    <row r="786" spans="1:13" ht="16.149999999999999" customHeight="1" x14ac:dyDescent="0.25">
      <c r="A786" s="488" t="s">
        <v>17</v>
      </c>
      <c r="B786" s="495"/>
      <c r="C786" s="495"/>
      <c r="D786" s="494"/>
      <c r="E786" s="495"/>
      <c r="F786" s="495">
        <v>0</v>
      </c>
      <c r="G786" s="495">
        <v>0</v>
      </c>
      <c r="H786" s="495">
        <v>1</v>
      </c>
      <c r="I786" s="495">
        <v>1209.28</v>
      </c>
      <c r="J786" s="494">
        <v>0.2</v>
      </c>
      <c r="K786" s="495">
        <v>241.86</v>
      </c>
      <c r="L786" s="495">
        <v>58.26</v>
      </c>
      <c r="M786" s="495">
        <v>300.12</v>
      </c>
    </row>
    <row r="787" spans="1:13" ht="16.149999999999999" customHeight="1" x14ac:dyDescent="0.25">
      <c r="A787" s="488" t="s">
        <v>17</v>
      </c>
      <c r="B787" s="495"/>
      <c r="C787" s="495"/>
      <c r="D787" s="494"/>
      <c r="E787" s="495"/>
      <c r="F787" s="495">
        <v>0</v>
      </c>
      <c r="G787" s="495">
        <v>0</v>
      </c>
      <c r="H787" s="495">
        <v>1</v>
      </c>
      <c r="I787" s="495">
        <v>1276.46</v>
      </c>
      <c r="J787" s="494">
        <v>0.2</v>
      </c>
      <c r="K787" s="495">
        <v>255.29</v>
      </c>
      <c r="L787" s="495">
        <v>61.5</v>
      </c>
      <c r="M787" s="495">
        <v>316.78999999999996</v>
      </c>
    </row>
    <row r="788" spans="1:13" ht="16.149999999999999" customHeight="1" x14ac:dyDescent="0.25">
      <c r="A788" s="488" t="s">
        <v>17</v>
      </c>
      <c r="B788" s="495"/>
      <c r="C788" s="495"/>
      <c r="D788" s="494"/>
      <c r="E788" s="495"/>
      <c r="F788" s="495">
        <v>0</v>
      </c>
      <c r="G788" s="495">
        <v>0</v>
      </c>
      <c r="H788" s="495">
        <v>1</v>
      </c>
      <c r="I788" s="495">
        <v>1254.06</v>
      </c>
      <c r="J788" s="494">
        <v>0.2</v>
      </c>
      <c r="K788" s="495">
        <v>250.81</v>
      </c>
      <c r="L788" s="495">
        <v>60.42</v>
      </c>
      <c r="M788" s="495">
        <v>311.23</v>
      </c>
    </row>
    <row r="789" spans="1:13" ht="16.149999999999999" customHeight="1" x14ac:dyDescent="0.25">
      <c r="A789" s="488" t="s">
        <v>17</v>
      </c>
      <c r="B789" s="495"/>
      <c r="C789" s="495"/>
      <c r="D789" s="494"/>
      <c r="E789" s="495"/>
      <c r="F789" s="495">
        <v>0</v>
      </c>
      <c r="G789" s="495">
        <v>0</v>
      </c>
      <c r="H789" s="495">
        <v>0.75</v>
      </c>
      <c r="I789" s="495">
        <v>806.18</v>
      </c>
      <c r="J789" s="494">
        <v>0.2</v>
      </c>
      <c r="K789" s="495">
        <v>161.24</v>
      </c>
      <c r="L789" s="495">
        <v>38.840000000000003</v>
      </c>
      <c r="M789" s="495">
        <v>200.08</v>
      </c>
    </row>
    <row r="790" spans="1:13" ht="16.149999999999999" customHeight="1" x14ac:dyDescent="0.25">
      <c r="A790" s="488" t="s">
        <v>17</v>
      </c>
      <c r="B790" s="495"/>
      <c r="C790" s="495"/>
      <c r="D790" s="494"/>
      <c r="E790" s="495"/>
      <c r="F790" s="495">
        <v>0</v>
      </c>
      <c r="G790" s="495">
        <v>0</v>
      </c>
      <c r="H790" s="495">
        <v>0.5</v>
      </c>
      <c r="I790" s="495">
        <v>739.44</v>
      </c>
      <c r="J790" s="494">
        <v>0.2</v>
      </c>
      <c r="K790" s="495">
        <v>147.88999999999999</v>
      </c>
      <c r="L790" s="495">
        <v>35.630000000000003</v>
      </c>
      <c r="M790" s="495">
        <v>183.51999999999998</v>
      </c>
    </row>
    <row r="791" spans="1:13" ht="16.149999999999999" customHeight="1" x14ac:dyDescent="0.25">
      <c r="A791" s="488" t="s">
        <v>17</v>
      </c>
      <c r="B791" s="495"/>
      <c r="C791" s="495"/>
      <c r="D791" s="494"/>
      <c r="E791" s="495"/>
      <c r="F791" s="495">
        <v>0</v>
      </c>
      <c r="G791" s="495">
        <v>0</v>
      </c>
      <c r="H791" s="495">
        <v>1</v>
      </c>
      <c r="I791" s="495">
        <v>890.16</v>
      </c>
      <c r="J791" s="494">
        <v>0.2</v>
      </c>
      <c r="K791" s="495">
        <v>178.03</v>
      </c>
      <c r="L791" s="495">
        <v>42.89</v>
      </c>
      <c r="M791" s="495">
        <v>220.92000000000002</v>
      </c>
    </row>
    <row r="792" spans="1:13" ht="16.149999999999999" customHeight="1" x14ac:dyDescent="0.25">
      <c r="A792" s="488" t="s">
        <v>17</v>
      </c>
      <c r="B792" s="495"/>
      <c r="C792" s="495"/>
      <c r="D792" s="494"/>
      <c r="E792" s="495"/>
      <c r="F792" s="495">
        <v>0</v>
      </c>
      <c r="G792" s="495">
        <v>0</v>
      </c>
      <c r="H792" s="495">
        <v>1</v>
      </c>
      <c r="I792" s="495">
        <v>974.14</v>
      </c>
      <c r="J792" s="494">
        <v>0.2</v>
      </c>
      <c r="K792" s="495">
        <v>194.83</v>
      </c>
      <c r="L792" s="495">
        <v>46.93</v>
      </c>
      <c r="M792" s="495">
        <v>241.76000000000002</v>
      </c>
    </row>
    <row r="793" spans="1:13" ht="28.15" customHeight="1" x14ac:dyDescent="0.25">
      <c r="A793" s="488" t="s">
        <v>962</v>
      </c>
      <c r="B793" s="495"/>
      <c r="C793" s="495"/>
      <c r="D793" s="494"/>
      <c r="E793" s="495"/>
      <c r="F793" s="495">
        <v>0</v>
      </c>
      <c r="G793" s="495">
        <v>0</v>
      </c>
      <c r="H793" s="495">
        <v>1</v>
      </c>
      <c r="I793" s="495">
        <v>920.4</v>
      </c>
      <c r="J793" s="494">
        <v>0.2</v>
      </c>
      <c r="K793" s="495">
        <v>184.08</v>
      </c>
      <c r="L793" s="495">
        <v>44.34</v>
      </c>
      <c r="M793" s="495">
        <v>228.42000000000002</v>
      </c>
    </row>
    <row r="794" spans="1:13" ht="16.149999999999999" customHeight="1" x14ac:dyDescent="0.25">
      <c r="A794" s="488" t="s">
        <v>963</v>
      </c>
      <c r="B794" s="495"/>
      <c r="C794" s="495"/>
      <c r="D794" s="494"/>
      <c r="E794" s="495"/>
      <c r="F794" s="495">
        <v>0</v>
      </c>
      <c r="G794" s="495">
        <v>0</v>
      </c>
      <c r="H794" s="495">
        <v>1</v>
      </c>
      <c r="I794" s="495">
        <v>912.3</v>
      </c>
      <c r="J794" s="494">
        <v>0.2</v>
      </c>
      <c r="K794" s="495">
        <v>182.46</v>
      </c>
      <c r="L794" s="495">
        <v>43.95</v>
      </c>
      <c r="M794" s="495">
        <v>226.41000000000003</v>
      </c>
    </row>
    <row r="795" spans="1:13" ht="16.149999999999999" customHeight="1" x14ac:dyDescent="0.25">
      <c r="A795" s="488" t="s">
        <v>862</v>
      </c>
      <c r="B795" s="495">
        <v>0.5</v>
      </c>
      <c r="C795" s="495">
        <v>631.83000000000004</v>
      </c>
      <c r="D795" s="494">
        <v>0.3</v>
      </c>
      <c r="E795" s="495">
        <v>189.55</v>
      </c>
      <c r="F795" s="495">
        <v>45.66</v>
      </c>
      <c r="G795" s="495">
        <v>235.21</v>
      </c>
      <c r="H795" s="495">
        <v>0.5</v>
      </c>
      <c r="I795" s="495">
        <v>473.88</v>
      </c>
      <c r="J795" s="494">
        <v>0.2</v>
      </c>
      <c r="K795" s="495">
        <v>94.78</v>
      </c>
      <c r="L795" s="495">
        <v>22.83</v>
      </c>
      <c r="M795" s="495">
        <v>117.61</v>
      </c>
    </row>
    <row r="796" spans="1:13" ht="16.149999999999999" customHeight="1" x14ac:dyDescent="0.25">
      <c r="A796" s="488" t="s">
        <v>862</v>
      </c>
      <c r="B796" s="495">
        <v>1</v>
      </c>
      <c r="C796" s="495">
        <v>1362.4</v>
      </c>
      <c r="D796" s="494">
        <v>0.3</v>
      </c>
      <c r="E796" s="495">
        <v>408.72</v>
      </c>
      <c r="F796" s="495">
        <v>98.46</v>
      </c>
      <c r="G796" s="495">
        <v>507.18</v>
      </c>
      <c r="H796" s="495">
        <v>1</v>
      </c>
      <c r="I796" s="495">
        <v>1322.9</v>
      </c>
      <c r="J796" s="494">
        <v>0.2</v>
      </c>
      <c r="K796" s="495">
        <v>264.58</v>
      </c>
      <c r="L796" s="495">
        <v>63.74</v>
      </c>
      <c r="M796" s="495">
        <v>328.32</v>
      </c>
    </row>
    <row r="797" spans="1:13" ht="16.149999999999999" customHeight="1" x14ac:dyDescent="0.25">
      <c r="A797" s="488" t="s">
        <v>862</v>
      </c>
      <c r="B797" s="495">
        <v>1</v>
      </c>
      <c r="C797" s="495">
        <v>1263.67</v>
      </c>
      <c r="D797" s="494">
        <v>0.3</v>
      </c>
      <c r="E797" s="495">
        <v>379.1</v>
      </c>
      <c r="F797" s="495">
        <v>91.33</v>
      </c>
      <c r="G797" s="495">
        <v>470.43</v>
      </c>
      <c r="H797" s="495">
        <v>1</v>
      </c>
      <c r="I797" s="495">
        <v>1105.71</v>
      </c>
      <c r="J797" s="494">
        <v>0.2</v>
      </c>
      <c r="K797" s="495">
        <v>221.14</v>
      </c>
      <c r="L797" s="495">
        <v>53.27</v>
      </c>
      <c r="M797" s="495">
        <v>274.40999999999997</v>
      </c>
    </row>
    <row r="798" spans="1:13" ht="16.149999999999999" customHeight="1" x14ac:dyDescent="0.25">
      <c r="A798" s="488" t="s">
        <v>862</v>
      </c>
      <c r="B798" s="495">
        <v>0.5</v>
      </c>
      <c r="C798" s="495">
        <v>631.83000000000004</v>
      </c>
      <c r="D798" s="494">
        <v>0.3</v>
      </c>
      <c r="E798" s="495">
        <v>189.55</v>
      </c>
      <c r="F798" s="495">
        <v>45.66</v>
      </c>
      <c r="G798" s="495">
        <v>235.21</v>
      </c>
      <c r="H798" s="495">
        <v>0.5</v>
      </c>
      <c r="I798" s="495">
        <v>631.83000000000004</v>
      </c>
      <c r="J798" s="494">
        <v>0.2</v>
      </c>
      <c r="K798" s="495">
        <v>126.37</v>
      </c>
      <c r="L798" s="495">
        <v>30.44</v>
      </c>
      <c r="M798" s="495">
        <v>156.81</v>
      </c>
    </row>
    <row r="799" spans="1:13" ht="16.149999999999999" customHeight="1" x14ac:dyDescent="0.25">
      <c r="A799" s="488" t="s">
        <v>862</v>
      </c>
      <c r="B799" s="495">
        <v>1</v>
      </c>
      <c r="C799" s="495">
        <v>1105.7</v>
      </c>
      <c r="D799" s="494">
        <v>0.3</v>
      </c>
      <c r="E799" s="495">
        <v>331.71</v>
      </c>
      <c r="F799" s="495">
        <v>79.91</v>
      </c>
      <c r="G799" s="495">
        <v>411.62</v>
      </c>
      <c r="H799" s="495"/>
      <c r="I799" s="495"/>
      <c r="J799" s="494"/>
      <c r="K799" s="495"/>
      <c r="L799" s="495"/>
      <c r="M799" s="495"/>
    </row>
    <row r="800" spans="1:13" ht="16.149999999999999" customHeight="1" x14ac:dyDescent="0.25">
      <c r="A800" s="488" t="s">
        <v>862</v>
      </c>
      <c r="B800" s="495">
        <v>1</v>
      </c>
      <c r="C800" s="495">
        <v>1415.03</v>
      </c>
      <c r="D800" s="494">
        <v>0.3</v>
      </c>
      <c r="E800" s="495">
        <v>424.51</v>
      </c>
      <c r="F800" s="495">
        <v>102.26</v>
      </c>
      <c r="G800" s="495">
        <v>526.77</v>
      </c>
      <c r="H800" s="495">
        <v>1</v>
      </c>
      <c r="I800" s="495">
        <v>1263.67</v>
      </c>
      <c r="J800" s="494">
        <v>0.2</v>
      </c>
      <c r="K800" s="495">
        <v>252.73</v>
      </c>
      <c r="L800" s="495">
        <v>60.88</v>
      </c>
      <c r="M800" s="495">
        <v>313.61</v>
      </c>
    </row>
    <row r="801" spans="1:13" ht="16.149999999999999" customHeight="1" x14ac:dyDescent="0.25">
      <c r="A801" s="488" t="s">
        <v>862</v>
      </c>
      <c r="B801" s="495">
        <v>0.3</v>
      </c>
      <c r="C801" s="495">
        <v>533.1</v>
      </c>
      <c r="D801" s="494">
        <v>0.3</v>
      </c>
      <c r="E801" s="495">
        <v>159.93</v>
      </c>
      <c r="F801" s="495">
        <v>38.53</v>
      </c>
      <c r="G801" s="495">
        <v>198.46</v>
      </c>
      <c r="H801" s="495">
        <v>0.3</v>
      </c>
      <c r="I801" s="495">
        <v>315.92</v>
      </c>
      <c r="J801" s="494">
        <v>0.2</v>
      </c>
      <c r="K801" s="495">
        <v>63.18</v>
      </c>
      <c r="L801" s="495">
        <v>15.22</v>
      </c>
      <c r="M801" s="495">
        <v>78.400000000000006</v>
      </c>
    </row>
    <row r="802" spans="1:13" ht="16.149999999999999" customHeight="1" x14ac:dyDescent="0.25">
      <c r="A802" s="488" t="s">
        <v>862</v>
      </c>
      <c r="B802" s="495">
        <v>1</v>
      </c>
      <c r="C802" s="495">
        <v>157.96</v>
      </c>
      <c r="D802" s="494">
        <v>0.5</v>
      </c>
      <c r="E802" s="495">
        <v>78.98</v>
      </c>
      <c r="F802" s="495">
        <v>19.03</v>
      </c>
      <c r="G802" s="495">
        <v>98.01</v>
      </c>
      <c r="H802" s="495">
        <v>1</v>
      </c>
      <c r="I802" s="495">
        <v>1421.63</v>
      </c>
      <c r="J802" s="494">
        <v>0.2</v>
      </c>
      <c r="K802" s="495">
        <v>284.33</v>
      </c>
      <c r="L802" s="495">
        <v>68.5</v>
      </c>
      <c r="M802" s="495">
        <v>352.83</v>
      </c>
    </row>
    <row r="803" spans="1:13" ht="16.149999999999999" customHeight="1" x14ac:dyDescent="0.25">
      <c r="A803" s="488" t="s">
        <v>862</v>
      </c>
      <c r="B803" s="495">
        <v>1</v>
      </c>
      <c r="C803" s="495">
        <v>1099.1300000000001</v>
      </c>
      <c r="D803" s="494">
        <v>0.3</v>
      </c>
      <c r="E803" s="495">
        <v>329.74</v>
      </c>
      <c r="F803" s="495">
        <v>79.430000000000007</v>
      </c>
      <c r="G803" s="495">
        <v>409.17</v>
      </c>
      <c r="H803" s="495"/>
      <c r="I803" s="495"/>
      <c r="J803" s="494"/>
      <c r="K803" s="495"/>
      <c r="L803" s="495"/>
      <c r="M803" s="495"/>
    </row>
    <row r="804" spans="1:13" ht="16.149999999999999" customHeight="1" x14ac:dyDescent="0.25">
      <c r="A804" s="488" t="s">
        <v>862</v>
      </c>
      <c r="B804" s="495">
        <v>0.25</v>
      </c>
      <c r="C804" s="495">
        <v>157.97</v>
      </c>
      <c r="D804" s="494">
        <v>0.3</v>
      </c>
      <c r="E804" s="495">
        <v>47.39</v>
      </c>
      <c r="F804" s="495">
        <v>11.42</v>
      </c>
      <c r="G804" s="495">
        <v>58.81</v>
      </c>
      <c r="H804" s="495">
        <v>0.25</v>
      </c>
      <c r="I804" s="495">
        <v>315.92</v>
      </c>
      <c r="J804" s="494">
        <v>0.2</v>
      </c>
      <c r="K804" s="495">
        <v>63.18</v>
      </c>
      <c r="L804" s="495">
        <v>15.22</v>
      </c>
      <c r="M804" s="495">
        <v>78.400000000000006</v>
      </c>
    </row>
    <row r="805" spans="1:13" ht="16.149999999999999" customHeight="1" x14ac:dyDescent="0.25">
      <c r="A805" s="488" t="s">
        <v>862</v>
      </c>
      <c r="B805" s="495">
        <v>0.5</v>
      </c>
      <c r="C805" s="495">
        <v>473.87</v>
      </c>
      <c r="D805" s="494">
        <v>0.3</v>
      </c>
      <c r="E805" s="495">
        <v>142.16</v>
      </c>
      <c r="F805" s="495">
        <v>34.25</v>
      </c>
      <c r="G805" s="495">
        <v>176.41</v>
      </c>
      <c r="H805" s="495">
        <v>0.5</v>
      </c>
      <c r="I805" s="495">
        <v>473.88</v>
      </c>
      <c r="J805" s="494">
        <v>0.2</v>
      </c>
      <c r="K805" s="495">
        <v>94.78</v>
      </c>
      <c r="L805" s="495">
        <v>22.83</v>
      </c>
      <c r="M805" s="495">
        <v>117.61</v>
      </c>
    </row>
    <row r="806" spans="1:13" ht="16.149999999999999" customHeight="1" x14ac:dyDescent="0.25">
      <c r="A806" s="488" t="s">
        <v>862</v>
      </c>
      <c r="B806" s="495">
        <v>1</v>
      </c>
      <c r="C806" s="495">
        <v>315.92</v>
      </c>
      <c r="D806" s="494">
        <v>0.5</v>
      </c>
      <c r="E806" s="495">
        <v>157.96</v>
      </c>
      <c r="F806" s="495">
        <v>38.049999999999997</v>
      </c>
      <c r="G806" s="495">
        <v>196.01</v>
      </c>
      <c r="H806" s="495">
        <v>1</v>
      </c>
      <c r="I806" s="495">
        <v>1421.63</v>
      </c>
      <c r="J806" s="494">
        <v>0.2</v>
      </c>
      <c r="K806" s="495">
        <v>284.33</v>
      </c>
      <c r="L806" s="495">
        <v>68.5</v>
      </c>
      <c r="M806" s="495">
        <v>352.83</v>
      </c>
    </row>
    <row r="807" spans="1:13" ht="16.149999999999999" customHeight="1" x14ac:dyDescent="0.25">
      <c r="A807" s="488" t="s">
        <v>862</v>
      </c>
      <c r="B807" s="495">
        <v>1</v>
      </c>
      <c r="C807" s="495">
        <v>1322.9</v>
      </c>
      <c r="D807" s="494">
        <v>0.3</v>
      </c>
      <c r="E807" s="495">
        <v>396.87</v>
      </c>
      <c r="F807" s="495">
        <v>95.61</v>
      </c>
      <c r="G807" s="495">
        <v>492.48</v>
      </c>
      <c r="H807" s="495"/>
      <c r="I807" s="495"/>
      <c r="J807" s="494"/>
      <c r="K807" s="495"/>
      <c r="L807" s="495"/>
      <c r="M807" s="495"/>
    </row>
    <row r="808" spans="1:13" ht="16.149999999999999" customHeight="1" x14ac:dyDescent="0.25">
      <c r="A808" s="488" t="s">
        <v>862</v>
      </c>
      <c r="B808" s="495">
        <v>1</v>
      </c>
      <c r="C808" s="495">
        <v>157.96</v>
      </c>
      <c r="D808" s="494">
        <v>0.5</v>
      </c>
      <c r="E808" s="495">
        <v>78.98</v>
      </c>
      <c r="F808" s="495">
        <v>19.03</v>
      </c>
      <c r="G808" s="495">
        <v>98.01</v>
      </c>
      <c r="H808" s="495">
        <v>1</v>
      </c>
      <c r="I808" s="495">
        <v>1105.71</v>
      </c>
      <c r="J808" s="494">
        <v>0.2</v>
      </c>
      <c r="K808" s="495">
        <v>221.14</v>
      </c>
      <c r="L808" s="495">
        <v>53.27</v>
      </c>
      <c r="M808" s="495">
        <v>274.40999999999997</v>
      </c>
    </row>
    <row r="809" spans="1:13" ht="16.149999999999999" customHeight="1" x14ac:dyDescent="0.25">
      <c r="A809" s="488" t="s">
        <v>862</v>
      </c>
      <c r="B809" s="495">
        <v>1</v>
      </c>
      <c r="C809" s="495">
        <v>1105.7</v>
      </c>
      <c r="D809" s="494">
        <v>0.3</v>
      </c>
      <c r="E809" s="495">
        <v>331.71</v>
      </c>
      <c r="F809" s="495">
        <v>79.91</v>
      </c>
      <c r="G809" s="495">
        <v>411.62</v>
      </c>
      <c r="H809" s="495"/>
      <c r="I809" s="495"/>
      <c r="J809" s="494"/>
      <c r="K809" s="495"/>
      <c r="L809" s="495"/>
      <c r="M809" s="495"/>
    </row>
    <row r="810" spans="1:13" ht="16.149999999999999" customHeight="1" x14ac:dyDescent="0.25">
      <c r="A810" s="488" t="s">
        <v>862</v>
      </c>
      <c r="B810" s="495">
        <v>1</v>
      </c>
      <c r="C810" s="495">
        <v>157.96</v>
      </c>
      <c r="D810" s="494">
        <v>0.5</v>
      </c>
      <c r="E810" s="495">
        <v>78.98</v>
      </c>
      <c r="F810" s="495">
        <v>19.03</v>
      </c>
      <c r="G810" s="495">
        <v>98.01</v>
      </c>
      <c r="H810" s="495">
        <v>1</v>
      </c>
      <c r="I810" s="495">
        <v>1263.67</v>
      </c>
      <c r="J810" s="494">
        <v>0.2</v>
      </c>
      <c r="K810" s="495">
        <v>252.73</v>
      </c>
      <c r="L810" s="495">
        <v>60.88</v>
      </c>
      <c r="M810" s="495">
        <v>313.61</v>
      </c>
    </row>
    <row r="811" spans="1:13" ht="16.149999999999999" customHeight="1" x14ac:dyDescent="0.25">
      <c r="A811" s="488" t="s">
        <v>862</v>
      </c>
      <c r="B811" s="495">
        <v>1</v>
      </c>
      <c r="C811" s="495">
        <v>1046.47</v>
      </c>
      <c r="D811" s="494">
        <v>0.3</v>
      </c>
      <c r="E811" s="495">
        <v>313.94</v>
      </c>
      <c r="F811" s="495">
        <v>75.63</v>
      </c>
      <c r="G811" s="495">
        <v>389.57</v>
      </c>
      <c r="H811" s="495"/>
      <c r="I811" s="495"/>
      <c r="J811" s="494"/>
      <c r="K811" s="495"/>
      <c r="L811" s="495"/>
      <c r="M811" s="495"/>
    </row>
    <row r="812" spans="1:13" ht="16.149999999999999" customHeight="1" x14ac:dyDescent="0.25">
      <c r="A812" s="488" t="s">
        <v>862</v>
      </c>
      <c r="B812" s="495">
        <v>1</v>
      </c>
      <c r="C812" s="495">
        <v>157.96</v>
      </c>
      <c r="D812" s="494">
        <v>0.5</v>
      </c>
      <c r="E812" s="495">
        <v>78.98</v>
      </c>
      <c r="F812" s="495">
        <v>19.03</v>
      </c>
      <c r="G812" s="495">
        <v>98.01</v>
      </c>
      <c r="H812" s="495">
        <v>1</v>
      </c>
      <c r="I812" s="495">
        <v>1263.67</v>
      </c>
      <c r="J812" s="494">
        <v>0.2</v>
      </c>
      <c r="K812" s="495">
        <v>252.73</v>
      </c>
      <c r="L812" s="495">
        <v>60.88</v>
      </c>
      <c r="M812" s="495">
        <v>313.61</v>
      </c>
    </row>
    <row r="813" spans="1:13" ht="16.149999999999999" customHeight="1" x14ac:dyDescent="0.25">
      <c r="A813" s="488" t="s">
        <v>862</v>
      </c>
      <c r="B813" s="495">
        <v>1</v>
      </c>
      <c r="C813" s="495">
        <v>1105.7</v>
      </c>
      <c r="D813" s="494">
        <v>0.3</v>
      </c>
      <c r="E813" s="495">
        <v>331.71</v>
      </c>
      <c r="F813" s="495">
        <v>79.91</v>
      </c>
      <c r="G813" s="495">
        <v>411.62</v>
      </c>
      <c r="H813" s="495"/>
      <c r="I813" s="495"/>
      <c r="J813" s="494"/>
      <c r="K813" s="495"/>
      <c r="L813" s="495"/>
      <c r="M813" s="495"/>
    </row>
    <row r="814" spans="1:13" ht="16.149999999999999" customHeight="1" x14ac:dyDescent="0.25">
      <c r="A814" s="488" t="s">
        <v>862</v>
      </c>
      <c r="B814" s="495">
        <v>1</v>
      </c>
      <c r="C814" s="495">
        <v>1204.43</v>
      </c>
      <c r="D814" s="494">
        <v>0.3</v>
      </c>
      <c r="E814" s="495">
        <v>361.33</v>
      </c>
      <c r="F814" s="495">
        <v>87.04</v>
      </c>
      <c r="G814" s="495">
        <v>448.37</v>
      </c>
      <c r="H814" s="495">
        <v>1</v>
      </c>
      <c r="I814" s="495">
        <v>1105.71</v>
      </c>
      <c r="J814" s="494">
        <v>0.2</v>
      </c>
      <c r="K814" s="495">
        <v>221.14</v>
      </c>
      <c r="L814" s="495">
        <v>53.27</v>
      </c>
      <c r="M814" s="495">
        <v>274.40999999999997</v>
      </c>
    </row>
    <row r="815" spans="1:13" ht="16.149999999999999" customHeight="1" x14ac:dyDescent="0.25">
      <c r="A815" s="488" t="s">
        <v>862</v>
      </c>
      <c r="B815" s="495">
        <v>0.5</v>
      </c>
      <c r="C815" s="495">
        <v>309.33</v>
      </c>
      <c r="D815" s="494">
        <v>0.3</v>
      </c>
      <c r="E815" s="495">
        <v>92.8</v>
      </c>
      <c r="F815" s="495">
        <v>22.36</v>
      </c>
      <c r="G815" s="495">
        <v>115.16</v>
      </c>
      <c r="H815" s="495">
        <v>0.5</v>
      </c>
      <c r="I815" s="495">
        <v>789.79</v>
      </c>
      <c r="J815" s="494">
        <v>0.2</v>
      </c>
      <c r="K815" s="495">
        <v>157.96</v>
      </c>
      <c r="L815" s="495">
        <v>38.049999999999997</v>
      </c>
      <c r="M815" s="495">
        <v>196.01</v>
      </c>
    </row>
    <row r="816" spans="1:13" ht="16.149999999999999" customHeight="1" x14ac:dyDescent="0.25">
      <c r="A816" s="488" t="s">
        <v>862</v>
      </c>
      <c r="B816" s="495">
        <v>0.5</v>
      </c>
      <c r="C816" s="495">
        <v>691.07</v>
      </c>
      <c r="D816" s="494">
        <v>0.3</v>
      </c>
      <c r="E816" s="495">
        <v>207.32</v>
      </c>
      <c r="F816" s="495">
        <v>49.94</v>
      </c>
      <c r="G816" s="495">
        <v>257.26</v>
      </c>
      <c r="H816" s="495">
        <v>0.5</v>
      </c>
      <c r="I816" s="495">
        <v>572.6</v>
      </c>
      <c r="J816" s="494">
        <v>0.2</v>
      </c>
      <c r="K816" s="495">
        <v>114.52</v>
      </c>
      <c r="L816" s="495">
        <v>27.59</v>
      </c>
      <c r="M816" s="495">
        <v>142.10999999999999</v>
      </c>
    </row>
    <row r="817" spans="1:13" ht="16.149999999999999" customHeight="1" x14ac:dyDescent="0.25">
      <c r="A817" s="488" t="s">
        <v>862</v>
      </c>
      <c r="B817" s="495">
        <v>1</v>
      </c>
      <c r="C817" s="495">
        <v>315.92</v>
      </c>
      <c r="D817" s="494">
        <v>0.5</v>
      </c>
      <c r="E817" s="495">
        <v>157.96</v>
      </c>
      <c r="F817" s="495">
        <v>38.049999999999997</v>
      </c>
      <c r="G817" s="495">
        <v>196.01</v>
      </c>
      <c r="H817" s="495">
        <v>1</v>
      </c>
      <c r="I817" s="495">
        <v>1270.25</v>
      </c>
      <c r="J817" s="494">
        <v>0.2</v>
      </c>
      <c r="K817" s="495">
        <v>254.05</v>
      </c>
      <c r="L817" s="495">
        <v>61.2</v>
      </c>
      <c r="M817" s="495">
        <v>315.25</v>
      </c>
    </row>
    <row r="818" spans="1:13" ht="16.149999999999999" customHeight="1" x14ac:dyDescent="0.25">
      <c r="A818" s="488" t="s">
        <v>862</v>
      </c>
      <c r="B818" s="495">
        <v>1</v>
      </c>
      <c r="C818" s="495">
        <v>1000.4</v>
      </c>
      <c r="D818" s="494">
        <v>0.3</v>
      </c>
      <c r="E818" s="495">
        <v>300.12</v>
      </c>
      <c r="F818" s="495">
        <v>72.3</v>
      </c>
      <c r="G818" s="495">
        <v>372.42</v>
      </c>
      <c r="H818" s="495"/>
      <c r="I818" s="495"/>
      <c r="J818" s="494"/>
      <c r="K818" s="495"/>
      <c r="L818" s="495"/>
      <c r="M818" s="495"/>
    </row>
    <row r="819" spans="1:13" ht="16.149999999999999" customHeight="1" x14ac:dyDescent="0.25">
      <c r="A819" s="488" t="s">
        <v>862</v>
      </c>
      <c r="B819" s="495">
        <v>1</v>
      </c>
      <c r="C819" s="495">
        <v>1046.47</v>
      </c>
      <c r="D819" s="494">
        <v>0.3</v>
      </c>
      <c r="E819" s="495">
        <v>313.94</v>
      </c>
      <c r="F819" s="495">
        <v>75.63</v>
      </c>
      <c r="G819" s="495">
        <v>389.57</v>
      </c>
      <c r="H819" s="495">
        <v>1</v>
      </c>
      <c r="I819" s="495">
        <v>1263.67</v>
      </c>
      <c r="J819" s="494">
        <v>0.2</v>
      </c>
      <c r="K819" s="495">
        <v>252.73</v>
      </c>
      <c r="L819" s="495">
        <v>60.88</v>
      </c>
      <c r="M819" s="495">
        <v>313.61</v>
      </c>
    </row>
    <row r="820" spans="1:13" ht="16.149999999999999" customHeight="1" x14ac:dyDescent="0.25">
      <c r="A820" s="488" t="s">
        <v>862</v>
      </c>
      <c r="B820" s="495">
        <v>1</v>
      </c>
      <c r="C820" s="495">
        <v>1421.63</v>
      </c>
      <c r="D820" s="494">
        <v>0.3</v>
      </c>
      <c r="E820" s="495">
        <v>426.49</v>
      </c>
      <c r="F820" s="495">
        <v>102.74</v>
      </c>
      <c r="G820" s="495">
        <v>529.23</v>
      </c>
      <c r="H820" s="495">
        <v>1</v>
      </c>
      <c r="I820" s="495">
        <v>1421.63</v>
      </c>
      <c r="J820" s="494">
        <v>0.2</v>
      </c>
      <c r="K820" s="495">
        <v>284.33</v>
      </c>
      <c r="L820" s="495">
        <v>68.5</v>
      </c>
      <c r="M820" s="495">
        <v>352.83</v>
      </c>
    </row>
    <row r="821" spans="1:13" ht="16.149999999999999" customHeight="1" x14ac:dyDescent="0.25">
      <c r="A821" s="488" t="s">
        <v>862</v>
      </c>
      <c r="B821" s="495">
        <v>1</v>
      </c>
      <c r="C821" s="495">
        <v>157.96</v>
      </c>
      <c r="D821" s="494">
        <v>0.5</v>
      </c>
      <c r="E821" s="495">
        <v>78.98</v>
      </c>
      <c r="F821" s="495">
        <v>19.03</v>
      </c>
      <c r="G821" s="495">
        <v>98.01</v>
      </c>
      <c r="H821" s="495">
        <v>1</v>
      </c>
      <c r="I821" s="495">
        <v>1263.67</v>
      </c>
      <c r="J821" s="494">
        <v>0.2</v>
      </c>
      <c r="K821" s="495">
        <v>252.73</v>
      </c>
      <c r="L821" s="495">
        <v>60.88</v>
      </c>
      <c r="M821" s="495">
        <v>313.61</v>
      </c>
    </row>
    <row r="822" spans="1:13" ht="16.149999999999999" customHeight="1" x14ac:dyDescent="0.25">
      <c r="A822" s="488" t="s">
        <v>862</v>
      </c>
      <c r="B822" s="495">
        <v>1</v>
      </c>
      <c r="C822" s="495">
        <v>1105.7</v>
      </c>
      <c r="D822" s="494">
        <v>0.3</v>
      </c>
      <c r="E822" s="495">
        <v>331.71</v>
      </c>
      <c r="F822" s="495">
        <v>79.91</v>
      </c>
      <c r="G822" s="495">
        <v>411.62</v>
      </c>
      <c r="H822" s="495"/>
      <c r="I822" s="495"/>
      <c r="J822" s="494"/>
      <c r="K822" s="495"/>
      <c r="L822" s="495"/>
      <c r="M822" s="495"/>
    </row>
    <row r="823" spans="1:13" ht="16.149999999999999" customHeight="1" x14ac:dyDescent="0.25">
      <c r="A823" s="488" t="s">
        <v>862</v>
      </c>
      <c r="B823" s="495">
        <v>1</v>
      </c>
      <c r="C823" s="495">
        <v>1263.67</v>
      </c>
      <c r="D823" s="494">
        <v>0.3</v>
      </c>
      <c r="E823" s="495">
        <v>379.1</v>
      </c>
      <c r="F823" s="495">
        <v>91.33</v>
      </c>
      <c r="G823" s="495">
        <v>470.43</v>
      </c>
      <c r="H823" s="495">
        <v>1</v>
      </c>
      <c r="I823" s="495">
        <v>1263.67</v>
      </c>
      <c r="J823" s="494">
        <v>0.2</v>
      </c>
      <c r="K823" s="495">
        <v>252.73</v>
      </c>
      <c r="L823" s="495">
        <v>60.88</v>
      </c>
      <c r="M823" s="495">
        <v>313.61</v>
      </c>
    </row>
    <row r="824" spans="1:13" ht="16.149999999999999" customHeight="1" x14ac:dyDescent="0.25">
      <c r="A824" s="488" t="s">
        <v>862</v>
      </c>
      <c r="B824" s="495">
        <v>0.5</v>
      </c>
      <c r="C824" s="495">
        <v>473.87</v>
      </c>
      <c r="D824" s="494">
        <v>0.3</v>
      </c>
      <c r="E824" s="495">
        <v>142.16</v>
      </c>
      <c r="F824" s="495">
        <v>34.25</v>
      </c>
      <c r="G824" s="495">
        <v>176.41</v>
      </c>
      <c r="H824" s="495">
        <v>0.5</v>
      </c>
      <c r="I824" s="495">
        <v>631.83000000000004</v>
      </c>
      <c r="J824" s="494">
        <v>0.2</v>
      </c>
      <c r="K824" s="495">
        <v>126.37</v>
      </c>
      <c r="L824" s="495">
        <v>30.44</v>
      </c>
      <c r="M824" s="495">
        <v>156.81</v>
      </c>
    </row>
    <row r="825" spans="1:13" ht="16.149999999999999" customHeight="1" x14ac:dyDescent="0.25">
      <c r="A825" s="488" t="s">
        <v>862</v>
      </c>
      <c r="B825" s="495">
        <v>0.5</v>
      </c>
      <c r="C825" s="495">
        <v>631.83000000000004</v>
      </c>
      <c r="D825" s="494">
        <v>0.3</v>
      </c>
      <c r="E825" s="495">
        <v>189.55</v>
      </c>
      <c r="F825" s="495">
        <v>45.66</v>
      </c>
      <c r="G825" s="495">
        <v>235.21</v>
      </c>
      <c r="H825" s="495">
        <v>0.5</v>
      </c>
      <c r="I825" s="495">
        <v>631.83000000000004</v>
      </c>
      <c r="J825" s="494">
        <v>0.2</v>
      </c>
      <c r="K825" s="495">
        <v>126.37</v>
      </c>
      <c r="L825" s="495">
        <v>30.44</v>
      </c>
      <c r="M825" s="495">
        <v>156.81</v>
      </c>
    </row>
    <row r="826" spans="1:13" ht="16.149999999999999" customHeight="1" x14ac:dyDescent="0.25">
      <c r="A826" s="488" t="s">
        <v>862</v>
      </c>
      <c r="B826" s="495">
        <v>1</v>
      </c>
      <c r="C826" s="495">
        <v>473.87</v>
      </c>
      <c r="D826" s="494">
        <v>0.3</v>
      </c>
      <c r="E826" s="495">
        <v>142.16</v>
      </c>
      <c r="F826" s="495">
        <v>34.25</v>
      </c>
      <c r="G826" s="495">
        <v>176.41</v>
      </c>
      <c r="H826" s="495">
        <v>1</v>
      </c>
      <c r="I826" s="495">
        <v>1263.67</v>
      </c>
      <c r="J826" s="494">
        <v>0.2</v>
      </c>
      <c r="K826" s="495">
        <v>252.73</v>
      </c>
      <c r="L826" s="495">
        <v>60.88</v>
      </c>
      <c r="M826" s="495">
        <v>313.61</v>
      </c>
    </row>
    <row r="827" spans="1:13" ht="16.149999999999999" customHeight="1" x14ac:dyDescent="0.25">
      <c r="A827" s="488" t="s">
        <v>862</v>
      </c>
      <c r="B827" s="495">
        <v>0.5</v>
      </c>
      <c r="C827" s="495">
        <v>315.93</v>
      </c>
      <c r="D827" s="494">
        <v>0.3</v>
      </c>
      <c r="E827" s="495">
        <v>94.78</v>
      </c>
      <c r="F827" s="495">
        <v>22.83</v>
      </c>
      <c r="G827" s="495">
        <v>117.61</v>
      </c>
      <c r="H827" s="495">
        <v>0.5</v>
      </c>
      <c r="I827" s="495">
        <v>631.83000000000004</v>
      </c>
      <c r="J827" s="494">
        <v>0.2</v>
      </c>
      <c r="K827" s="495">
        <v>126.37</v>
      </c>
      <c r="L827" s="495">
        <v>30.44</v>
      </c>
      <c r="M827" s="495">
        <v>156.81</v>
      </c>
    </row>
    <row r="828" spans="1:13" ht="16.149999999999999" customHeight="1" x14ac:dyDescent="0.25">
      <c r="A828" s="488" t="s">
        <v>862</v>
      </c>
      <c r="B828" s="495">
        <v>0.5</v>
      </c>
      <c r="C828" s="495">
        <v>625.27</v>
      </c>
      <c r="D828" s="494">
        <v>0.3</v>
      </c>
      <c r="E828" s="495">
        <v>187.58</v>
      </c>
      <c r="F828" s="495">
        <v>45.19</v>
      </c>
      <c r="G828" s="495">
        <v>232.77</v>
      </c>
      <c r="H828" s="495">
        <v>0.5</v>
      </c>
      <c r="I828" s="495">
        <v>631.83000000000004</v>
      </c>
      <c r="J828" s="494">
        <v>0.2</v>
      </c>
      <c r="K828" s="495">
        <v>126.37</v>
      </c>
      <c r="L828" s="495">
        <v>30.44</v>
      </c>
      <c r="M828" s="495">
        <v>156.81</v>
      </c>
    </row>
    <row r="829" spans="1:13" ht="16.149999999999999" customHeight="1" x14ac:dyDescent="0.25">
      <c r="A829" s="488" t="s">
        <v>862</v>
      </c>
      <c r="B829" s="495"/>
      <c r="C829" s="495"/>
      <c r="D829" s="494"/>
      <c r="E829" s="495"/>
      <c r="F829" s="495">
        <v>0</v>
      </c>
      <c r="G829" s="495">
        <v>0</v>
      </c>
      <c r="H829" s="495">
        <v>1</v>
      </c>
      <c r="I829" s="495">
        <v>716.87</v>
      </c>
      <c r="J829" s="494">
        <v>0.2</v>
      </c>
      <c r="K829" s="495">
        <v>143.37</v>
      </c>
      <c r="L829" s="495">
        <v>34.54</v>
      </c>
      <c r="M829" s="495">
        <v>177.91</v>
      </c>
    </row>
    <row r="830" spans="1:13" ht="16.149999999999999" customHeight="1" x14ac:dyDescent="0.25">
      <c r="A830" s="488" t="s">
        <v>862</v>
      </c>
      <c r="B830" s="495"/>
      <c r="C830" s="495"/>
      <c r="D830" s="494"/>
      <c r="E830" s="495"/>
      <c r="F830" s="495">
        <v>0</v>
      </c>
      <c r="G830" s="495">
        <v>0</v>
      </c>
      <c r="H830" s="495">
        <v>1</v>
      </c>
      <c r="I830" s="495">
        <v>944.58</v>
      </c>
      <c r="J830" s="494">
        <v>0.2</v>
      </c>
      <c r="K830" s="495">
        <v>188.92</v>
      </c>
      <c r="L830" s="495">
        <v>45.51</v>
      </c>
      <c r="M830" s="495">
        <v>234.42999999999998</v>
      </c>
    </row>
    <row r="831" spans="1:13" ht="16.149999999999999" customHeight="1" x14ac:dyDescent="0.25">
      <c r="A831" s="488" t="s">
        <v>862</v>
      </c>
      <c r="B831" s="495"/>
      <c r="C831" s="495"/>
      <c r="D831" s="494"/>
      <c r="E831" s="495"/>
      <c r="F831" s="495">
        <v>0</v>
      </c>
      <c r="G831" s="495">
        <v>0</v>
      </c>
      <c r="H831" s="495">
        <v>0.5</v>
      </c>
      <c r="I831" s="495">
        <v>497.59</v>
      </c>
      <c r="J831" s="494">
        <v>0.2</v>
      </c>
      <c r="K831" s="495">
        <v>99.52</v>
      </c>
      <c r="L831" s="495">
        <v>23.97</v>
      </c>
      <c r="M831" s="495">
        <v>123.49</v>
      </c>
    </row>
    <row r="832" spans="1:13" ht="16.149999999999999" customHeight="1" x14ac:dyDescent="0.25">
      <c r="A832" s="488" t="s">
        <v>862</v>
      </c>
      <c r="B832" s="495"/>
      <c r="C832" s="495"/>
      <c r="D832" s="494"/>
      <c r="E832" s="495"/>
      <c r="F832" s="495">
        <v>0</v>
      </c>
      <c r="G832" s="495">
        <v>0</v>
      </c>
      <c r="H832" s="495">
        <v>0.5</v>
      </c>
      <c r="I832" s="495">
        <v>539.76</v>
      </c>
      <c r="J832" s="494">
        <v>0.2</v>
      </c>
      <c r="K832" s="495">
        <v>107.95</v>
      </c>
      <c r="L832" s="495">
        <v>26.01</v>
      </c>
      <c r="M832" s="495">
        <v>133.96</v>
      </c>
    </row>
    <row r="833" spans="1:13" ht="16.149999999999999" customHeight="1" x14ac:dyDescent="0.25">
      <c r="A833" s="488" t="s">
        <v>862</v>
      </c>
      <c r="B833" s="495"/>
      <c r="C833" s="495"/>
      <c r="D833" s="494"/>
      <c r="E833" s="495"/>
      <c r="F833" s="495">
        <v>0</v>
      </c>
      <c r="G833" s="495">
        <v>0</v>
      </c>
      <c r="H833" s="495">
        <v>0.5</v>
      </c>
      <c r="I833" s="495">
        <v>608.80999999999995</v>
      </c>
      <c r="J833" s="494">
        <v>0.2</v>
      </c>
      <c r="K833" s="495">
        <v>121.76</v>
      </c>
      <c r="L833" s="495">
        <v>29.33</v>
      </c>
      <c r="M833" s="495">
        <v>151.09</v>
      </c>
    </row>
    <row r="834" spans="1:13" ht="16.149999999999999" customHeight="1" x14ac:dyDescent="0.25">
      <c r="A834" s="488" t="s">
        <v>862</v>
      </c>
      <c r="B834" s="495"/>
      <c r="C834" s="495"/>
      <c r="D834" s="494"/>
      <c r="E834" s="495"/>
      <c r="F834" s="495">
        <v>0</v>
      </c>
      <c r="G834" s="495">
        <v>0</v>
      </c>
      <c r="H834" s="495">
        <v>1</v>
      </c>
      <c r="I834" s="495">
        <v>1268.3599999999999</v>
      </c>
      <c r="J834" s="494">
        <v>0.2</v>
      </c>
      <c r="K834" s="495">
        <v>253.67</v>
      </c>
      <c r="L834" s="495">
        <v>61.11</v>
      </c>
      <c r="M834" s="495">
        <v>314.77999999999997</v>
      </c>
    </row>
    <row r="835" spans="1:13" ht="16.149999999999999" customHeight="1" x14ac:dyDescent="0.25">
      <c r="A835" s="488" t="s">
        <v>862</v>
      </c>
      <c r="B835" s="495"/>
      <c r="C835" s="495"/>
      <c r="D835" s="494"/>
      <c r="E835" s="495"/>
      <c r="F835" s="495">
        <v>0</v>
      </c>
      <c r="G835" s="495">
        <v>0</v>
      </c>
      <c r="H835" s="495">
        <v>1</v>
      </c>
      <c r="I835" s="495">
        <v>1369.83</v>
      </c>
      <c r="J835" s="494">
        <v>0.2</v>
      </c>
      <c r="K835" s="495">
        <v>273.97000000000003</v>
      </c>
      <c r="L835" s="495">
        <v>66</v>
      </c>
      <c r="M835" s="495">
        <v>339.97</v>
      </c>
    </row>
    <row r="836" spans="1:13" ht="16.149999999999999" customHeight="1" x14ac:dyDescent="0.25">
      <c r="A836" s="488" t="s">
        <v>862</v>
      </c>
      <c r="B836" s="495"/>
      <c r="C836" s="495"/>
      <c r="D836" s="494"/>
      <c r="E836" s="495"/>
      <c r="F836" s="495">
        <v>0</v>
      </c>
      <c r="G836" s="495">
        <v>0</v>
      </c>
      <c r="H836" s="495">
        <v>1</v>
      </c>
      <c r="I836" s="495">
        <v>1217.6300000000001</v>
      </c>
      <c r="J836" s="494">
        <v>0.2</v>
      </c>
      <c r="K836" s="495">
        <v>243.53</v>
      </c>
      <c r="L836" s="495">
        <v>58.67</v>
      </c>
      <c r="M836" s="495">
        <v>302.2</v>
      </c>
    </row>
    <row r="837" spans="1:13" ht="16.149999999999999" customHeight="1" x14ac:dyDescent="0.25">
      <c r="A837" s="488" t="s">
        <v>862</v>
      </c>
      <c r="B837" s="495"/>
      <c r="C837" s="495"/>
      <c r="D837" s="494"/>
      <c r="E837" s="495"/>
      <c r="F837" s="495">
        <v>0</v>
      </c>
      <c r="G837" s="495">
        <v>0</v>
      </c>
      <c r="H837" s="495">
        <v>0.25</v>
      </c>
      <c r="I837" s="495">
        <v>304.41000000000003</v>
      </c>
      <c r="J837" s="494">
        <v>0.2</v>
      </c>
      <c r="K837" s="495">
        <v>60.88</v>
      </c>
      <c r="L837" s="495">
        <v>14.67</v>
      </c>
      <c r="M837" s="495">
        <v>75.55</v>
      </c>
    </row>
    <row r="838" spans="1:13" ht="16.149999999999999" customHeight="1" x14ac:dyDescent="0.25">
      <c r="A838" s="488" t="s">
        <v>862</v>
      </c>
      <c r="B838" s="495"/>
      <c r="C838" s="495"/>
      <c r="D838" s="494"/>
      <c r="E838" s="495"/>
      <c r="F838" s="495">
        <v>0</v>
      </c>
      <c r="G838" s="495">
        <v>0</v>
      </c>
      <c r="H838" s="495">
        <v>0.5</v>
      </c>
      <c r="I838" s="495">
        <v>456.61</v>
      </c>
      <c r="J838" s="494">
        <v>0.2</v>
      </c>
      <c r="K838" s="495">
        <v>91.32</v>
      </c>
      <c r="L838" s="495">
        <v>22</v>
      </c>
      <c r="M838" s="495">
        <v>113.32</v>
      </c>
    </row>
    <row r="839" spans="1:13" ht="18.600000000000001" customHeight="1" x14ac:dyDescent="0.25">
      <c r="A839" s="488" t="s">
        <v>862</v>
      </c>
      <c r="B839" s="495"/>
      <c r="C839" s="495"/>
      <c r="D839" s="494"/>
      <c r="E839" s="495"/>
      <c r="F839" s="495">
        <v>0</v>
      </c>
      <c r="G839" s="495">
        <v>0</v>
      </c>
      <c r="H839" s="495">
        <v>0.5</v>
      </c>
      <c r="I839" s="495">
        <v>558.08000000000004</v>
      </c>
      <c r="J839" s="494">
        <v>0.2</v>
      </c>
      <c r="K839" s="495">
        <v>111.62</v>
      </c>
      <c r="L839" s="495">
        <v>26.89</v>
      </c>
      <c r="M839" s="495">
        <v>138.51</v>
      </c>
    </row>
    <row r="840" spans="1:13" ht="33" customHeight="1" x14ac:dyDescent="0.25">
      <c r="A840" s="488" t="s">
        <v>964</v>
      </c>
      <c r="B840" s="495"/>
      <c r="C840" s="495"/>
      <c r="D840" s="494"/>
      <c r="E840" s="495"/>
      <c r="F840" s="495">
        <v>0</v>
      </c>
      <c r="G840" s="495">
        <v>0</v>
      </c>
      <c r="H840" s="495">
        <v>1</v>
      </c>
      <c r="I840" s="495">
        <v>1629.84</v>
      </c>
      <c r="J840" s="494">
        <v>0.2</v>
      </c>
      <c r="K840" s="495">
        <v>325.97000000000003</v>
      </c>
      <c r="L840" s="495">
        <v>78.53</v>
      </c>
      <c r="M840" s="495">
        <v>404.5</v>
      </c>
    </row>
    <row r="841" spans="1:13" ht="27.6" customHeight="1" x14ac:dyDescent="0.25">
      <c r="A841" s="488" t="s">
        <v>964</v>
      </c>
      <c r="B841" s="495"/>
      <c r="C841" s="495"/>
      <c r="D841" s="494"/>
      <c r="E841" s="495"/>
      <c r="F841" s="495">
        <v>0</v>
      </c>
      <c r="G841" s="495">
        <v>0</v>
      </c>
      <c r="H841" s="495">
        <v>1</v>
      </c>
      <c r="I841" s="495">
        <v>1014.69</v>
      </c>
      <c r="J841" s="494">
        <v>0.2</v>
      </c>
      <c r="K841" s="495">
        <v>202.94</v>
      </c>
      <c r="L841" s="495">
        <v>48.89</v>
      </c>
      <c r="M841" s="495">
        <v>251.82999999999998</v>
      </c>
    </row>
    <row r="842" spans="1:13" ht="16.149999999999999" customHeight="1" x14ac:dyDescent="0.25">
      <c r="A842" s="488" t="s">
        <v>863</v>
      </c>
      <c r="B842" s="495"/>
      <c r="C842" s="495"/>
      <c r="D842" s="494"/>
      <c r="E842" s="495"/>
      <c r="F842" s="495">
        <v>0</v>
      </c>
      <c r="G842" s="495">
        <v>0</v>
      </c>
      <c r="H842" s="495">
        <v>1</v>
      </c>
      <c r="I842" s="495">
        <v>919.18</v>
      </c>
      <c r="J842" s="494">
        <v>0.2</v>
      </c>
      <c r="K842" s="495">
        <v>183.84</v>
      </c>
      <c r="L842" s="495">
        <v>44.29</v>
      </c>
      <c r="M842" s="495">
        <v>228.13</v>
      </c>
    </row>
    <row r="843" spans="1:13" ht="16.149999999999999" customHeight="1" x14ac:dyDescent="0.25">
      <c r="A843" s="488" t="s">
        <v>795</v>
      </c>
      <c r="B843" s="495"/>
      <c r="C843" s="495"/>
      <c r="D843" s="494"/>
      <c r="E843" s="495"/>
      <c r="F843" s="495">
        <v>0</v>
      </c>
      <c r="G843" s="495">
        <v>0</v>
      </c>
      <c r="H843" s="495">
        <v>1</v>
      </c>
      <c r="I843" s="495">
        <v>147.88999999999999</v>
      </c>
      <c r="J843" s="494">
        <v>0.2</v>
      </c>
      <c r="K843" s="495">
        <v>29.58</v>
      </c>
      <c r="L843" s="495">
        <v>7.13</v>
      </c>
      <c r="M843" s="495">
        <v>36.71</v>
      </c>
    </row>
    <row r="844" spans="1:13" ht="16.149999999999999" customHeight="1" x14ac:dyDescent="0.25">
      <c r="A844" s="488" t="s">
        <v>795</v>
      </c>
      <c r="B844" s="495"/>
      <c r="C844" s="495"/>
      <c r="D844" s="494"/>
      <c r="E844" s="495"/>
      <c r="F844" s="495">
        <v>0</v>
      </c>
      <c r="G844" s="495">
        <v>0</v>
      </c>
      <c r="H844" s="495">
        <v>1</v>
      </c>
      <c r="I844" s="495">
        <v>147.88999999999999</v>
      </c>
      <c r="J844" s="494">
        <v>0.2</v>
      </c>
      <c r="K844" s="495">
        <v>29.58</v>
      </c>
      <c r="L844" s="495">
        <v>7.13</v>
      </c>
      <c r="M844" s="495">
        <v>36.71</v>
      </c>
    </row>
    <row r="845" spans="1:13" ht="16.149999999999999" customHeight="1" x14ac:dyDescent="0.25">
      <c r="A845" s="488" t="s">
        <v>795</v>
      </c>
      <c r="B845" s="495"/>
      <c r="C845" s="495"/>
      <c r="D845" s="494"/>
      <c r="E845" s="495"/>
      <c r="F845" s="495">
        <v>0</v>
      </c>
      <c r="G845" s="495">
        <v>0</v>
      </c>
      <c r="H845" s="495">
        <v>1</v>
      </c>
      <c r="I845" s="495">
        <v>147.88999999999999</v>
      </c>
      <c r="J845" s="494">
        <v>0.2</v>
      </c>
      <c r="K845" s="495">
        <v>29.58</v>
      </c>
      <c r="L845" s="495">
        <v>7.13</v>
      </c>
      <c r="M845" s="495">
        <v>36.71</v>
      </c>
    </row>
    <row r="846" spans="1:13" ht="16.149999999999999" customHeight="1" x14ac:dyDescent="0.25">
      <c r="A846" s="488" t="s">
        <v>795</v>
      </c>
      <c r="B846" s="495"/>
      <c r="C846" s="495"/>
      <c r="D846" s="494"/>
      <c r="E846" s="495"/>
      <c r="F846" s="495">
        <v>0</v>
      </c>
      <c r="G846" s="495">
        <v>0</v>
      </c>
      <c r="H846" s="495">
        <v>1</v>
      </c>
      <c r="I846" s="495">
        <v>147.88999999999999</v>
      </c>
      <c r="J846" s="494">
        <v>0.2</v>
      </c>
      <c r="K846" s="495">
        <v>29.58</v>
      </c>
      <c r="L846" s="495">
        <v>7.13</v>
      </c>
      <c r="M846" s="495">
        <v>36.71</v>
      </c>
    </row>
    <row r="847" spans="1:13" ht="16.149999999999999" customHeight="1" x14ac:dyDescent="0.25">
      <c r="A847" s="488" t="s">
        <v>695</v>
      </c>
      <c r="B847" s="495">
        <v>1</v>
      </c>
      <c r="C847" s="495">
        <v>975</v>
      </c>
      <c r="D847" s="494">
        <v>0.3</v>
      </c>
      <c r="E847" s="495">
        <v>292.5</v>
      </c>
      <c r="F847" s="495">
        <v>70.459999999999994</v>
      </c>
      <c r="G847" s="495">
        <v>362.96</v>
      </c>
      <c r="H847" s="495">
        <v>1</v>
      </c>
      <c r="I847" s="495">
        <v>1107.72</v>
      </c>
      <c r="J847" s="494">
        <v>0.2</v>
      </c>
      <c r="K847" s="495">
        <v>221.54</v>
      </c>
      <c r="L847" s="495">
        <v>53.37</v>
      </c>
      <c r="M847" s="495">
        <v>274.90999999999997</v>
      </c>
    </row>
    <row r="848" spans="1:13" ht="16.149999999999999" customHeight="1" x14ac:dyDescent="0.25">
      <c r="A848" s="488" t="s">
        <v>695</v>
      </c>
      <c r="B848" s="495">
        <v>0.5</v>
      </c>
      <c r="C848" s="495">
        <v>487</v>
      </c>
      <c r="D848" s="494">
        <v>0.3</v>
      </c>
      <c r="E848" s="495">
        <v>146.1</v>
      </c>
      <c r="F848" s="495">
        <v>35.200000000000003</v>
      </c>
      <c r="G848" s="495">
        <v>181.3</v>
      </c>
      <c r="H848" s="495">
        <v>0.5</v>
      </c>
      <c r="I848" s="495">
        <v>598.16999999999996</v>
      </c>
      <c r="J848" s="494">
        <v>0.2</v>
      </c>
      <c r="K848" s="495">
        <v>119.63</v>
      </c>
      <c r="L848" s="495">
        <v>28.82</v>
      </c>
      <c r="M848" s="495">
        <v>148.44999999999999</v>
      </c>
    </row>
    <row r="849" spans="1:13" ht="16.149999999999999" customHeight="1" x14ac:dyDescent="0.25">
      <c r="A849" s="488" t="s">
        <v>695</v>
      </c>
      <c r="B849" s="495"/>
      <c r="C849" s="495"/>
      <c r="D849" s="494"/>
      <c r="E849" s="495"/>
      <c r="F849" s="495">
        <v>0</v>
      </c>
      <c r="G849" s="495">
        <v>0</v>
      </c>
      <c r="H849" s="495">
        <v>0.5</v>
      </c>
      <c r="I849" s="495">
        <v>398.78</v>
      </c>
      <c r="J849" s="494">
        <v>0.2</v>
      </c>
      <c r="K849" s="495">
        <v>79.760000000000005</v>
      </c>
      <c r="L849" s="495">
        <v>19.21</v>
      </c>
      <c r="M849" s="495">
        <v>98.97</v>
      </c>
    </row>
    <row r="850" spans="1:13" ht="16.149999999999999" customHeight="1" x14ac:dyDescent="0.25">
      <c r="A850" s="488" t="s">
        <v>695</v>
      </c>
      <c r="B850" s="495">
        <v>0.25</v>
      </c>
      <c r="C850" s="495">
        <v>268</v>
      </c>
      <c r="D850" s="494">
        <v>0.3</v>
      </c>
      <c r="E850" s="495">
        <v>80.400000000000006</v>
      </c>
      <c r="F850" s="495">
        <v>19.37</v>
      </c>
      <c r="G850" s="495">
        <v>99.77000000000001</v>
      </c>
      <c r="H850" s="495">
        <v>0.25</v>
      </c>
      <c r="I850" s="495">
        <v>292.89999999999998</v>
      </c>
      <c r="J850" s="494">
        <v>0.2</v>
      </c>
      <c r="K850" s="495">
        <v>58.58</v>
      </c>
      <c r="L850" s="495">
        <v>14.11</v>
      </c>
      <c r="M850" s="495">
        <v>72.69</v>
      </c>
    </row>
    <row r="851" spans="1:13" ht="16.149999999999999" customHeight="1" x14ac:dyDescent="0.25">
      <c r="A851" s="488" t="s">
        <v>695</v>
      </c>
      <c r="B851" s="495">
        <v>0.25</v>
      </c>
      <c r="C851" s="495">
        <v>244</v>
      </c>
      <c r="D851" s="494">
        <v>0.3</v>
      </c>
      <c r="E851" s="495">
        <v>73.2</v>
      </c>
      <c r="F851" s="495">
        <v>17.63</v>
      </c>
      <c r="G851" s="495">
        <v>90.83</v>
      </c>
      <c r="H851" s="495">
        <v>0.25</v>
      </c>
      <c r="I851" s="495">
        <v>265.85000000000002</v>
      </c>
      <c r="J851" s="494">
        <v>0.2</v>
      </c>
      <c r="K851" s="495">
        <v>53.17</v>
      </c>
      <c r="L851" s="495">
        <v>12.81</v>
      </c>
      <c r="M851" s="495">
        <v>65.98</v>
      </c>
    </row>
    <row r="852" spans="1:13" ht="16.149999999999999" customHeight="1" x14ac:dyDescent="0.25">
      <c r="A852" s="488" t="s">
        <v>695</v>
      </c>
      <c r="B852" s="495">
        <v>0.5</v>
      </c>
      <c r="C852" s="495">
        <v>376.33</v>
      </c>
      <c r="D852" s="494">
        <v>0.3</v>
      </c>
      <c r="E852" s="495">
        <v>112.9</v>
      </c>
      <c r="F852" s="495">
        <v>27.2</v>
      </c>
      <c r="G852" s="495">
        <v>140.1</v>
      </c>
      <c r="H852" s="495">
        <v>0.5</v>
      </c>
      <c r="I852" s="495">
        <v>531.71</v>
      </c>
      <c r="J852" s="494">
        <v>0.2</v>
      </c>
      <c r="K852" s="495">
        <v>106.34</v>
      </c>
      <c r="L852" s="495">
        <v>25.62</v>
      </c>
      <c r="M852" s="495">
        <v>131.96</v>
      </c>
    </row>
    <row r="853" spans="1:13" ht="16.149999999999999" customHeight="1" x14ac:dyDescent="0.25">
      <c r="A853" s="488" t="s">
        <v>695</v>
      </c>
      <c r="B853" s="495">
        <v>0.5</v>
      </c>
      <c r="C853" s="495">
        <v>442.73</v>
      </c>
      <c r="D853" s="494">
        <v>0.3</v>
      </c>
      <c r="E853" s="495">
        <v>132.82</v>
      </c>
      <c r="F853" s="495">
        <v>32</v>
      </c>
      <c r="G853" s="495">
        <v>164.82</v>
      </c>
      <c r="H853" s="495">
        <v>0.5</v>
      </c>
      <c r="I853" s="495">
        <v>930.49</v>
      </c>
      <c r="J853" s="494">
        <v>0.2</v>
      </c>
      <c r="K853" s="495">
        <v>186.1</v>
      </c>
      <c r="L853" s="495">
        <v>44.83</v>
      </c>
      <c r="M853" s="495">
        <v>230.93</v>
      </c>
    </row>
    <row r="854" spans="1:13" ht="16.149999999999999" customHeight="1" x14ac:dyDescent="0.25">
      <c r="A854" s="488" t="s">
        <v>695</v>
      </c>
      <c r="B854" s="495">
        <v>0.5</v>
      </c>
      <c r="C854" s="495">
        <v>537</v>
      </c>
      <c r="D854" s="494">
        <v>0.3</v>
      </c>
      <c r="E854" s="495">
        <v>161.1</v>
      </c>
      <c r="F854" s="495">
        <v>38.81</v>
      </c>
      <c r="G854" s="495">
        <v>199.91</v>
      </c>
      <c r="H854" s="495">
        <v>0.5</v>
      </c>
      <c r="I854" s="495">
        <v>585.79</v>
      </c>
      <c r="J854" s="494">
        <v>0.2</v>
      </c>
      <c r="K854" s="495">
        <v>117.16</v>
      </c>
      <c r="L854" s="495">
        <v>28.22</v>
      </c>
      <c r="M854" s="495">
        <v>145.38</v>
      </c>
    </row>
    <row r="855" spans="1:13" ht="16.149999999999999" customHeight="1" x14ac:dyDescent="0.25">
      <c r="A855" s="488" t="s">
        <v>695</v>
      </c>
      <c r="B855" s="495">
        <v>0.5</v>
      </c>
      <c r="C855" s="495">
        <v>487</v>
      </c>
      <c r="D855" s="494">
        <v>0.3</v>
      </c>
      <c r="E855" s="495">
        <v>146.1</v>
      </c>
      <c r="F855" s="495">
        <v>35.200000000000003</v>
      </c>
      <c r="G855" s="495">
        <v>181.3</v>
      </c>
      <c r="H855" s="495">
        <v>0.5</v>
      </c>
      <c r="I855" s="495">
        <v>531.71</v>
      </c>
      <c r="J855" s="494">
        <v>0.2</v>
      </c>
      <c r="K855" s="495">
        <v>106.34</v>
      </c>
      <c r="L855" s="495">
        <v>25.62</v>
      </c>
      <c r="M855" s="495">
        <v>131.96</v>
      </c>
    </row>
    <row r="856" spans="1:13" ht="16.149999999999999" customHeight="1" x14ac:dyDescent="0.25">
      <c r="A856" s="488" t="s">
        <v>695</v>
      </c>
      <c r="B856" s="495">
        <v>0.5</v>
      </c>
      <c r="C856" s="495">
        <v>487</v>
      </c>
      <c r="D856" s="494">
        <v>0.3</v>
      </c>
      <c r="E856" s="495">
        <v>146.1</v>
      </c>
      <c r="F856" s="495">
        <v>35.200000000000003</v>
      </c>
      <c r="G856" s="495">
        <v>181.3</v>
      </c>
      <c r="H856" s="495">
        <v>0.5</v>
      </c>
      <c r="I856" s="495">
        <v>531.71</v>
      </c>
      <c r="J856" s="494">
        <v>0.2</v>
      </c>
      <c r="K856" s="495">
        <v>106.34</v>
      </c>
      <c r="L856" s="495">
        <v>25.62</v>
      </c>
      <c r="M856" s="495">
        <v>131.96</v>
      </c>
    </row>
    <row r="857" spans="1:13" ht="16.149999999999999" customHeight="1" x14ac:dyDescent="0.25">
      <c r="A857" s="488" t="s">
        <v>695</v>
      </c>
      <c r="B857" s="495">
        <v>0.25</v>
      </c>
      <c r="C857" s="495">
        <v>244</v>
      </c>
      <c r="D857" s="494">
        <v>0.3</v>
      </c>
      <c r="E857" s="495">
        <v>73.2</v>
      </c>
      <c r="F857" s="495">
        <v>17.63</v>
      </c>
      <c r="G857" s="495">
        <v>90.83</v>
      </c>
      <c r="H857" s="495">
        <v>0.25</v>
      </c>
      <c r="I857" s="495">
        <v>265.85000000000002</v>
      </c>
      <c r="J857" s="494">
        <v>0.2</v>
      </c>
      <c r="K857" s="495">
        <v>53.17</v>
      </c>
      <c r="L857" s="495">
        <v>12.81</v>
      </c>
      <c r="M857" s="495">
        <v>65.98</v>
      </c>
    </row>
    <row r="858" spans="1:13" ht="16.149999999999999" customHeight="1" x14ac:dyDescent="0.25">
      <c r="A858" s="488" t="s">
        <v>695</v>
      </c>
      <c r="B858" s="495">
        <v>0.5</v>
      </c>
      <c r="C858" s="495">
        <v>487</v>
      </c>
      <c r="D858" s="494">
        <v>0.3</v>
      </c>
      <c r="E858" s="495">
        <v>146.1</v>
      </c>
      <c r="F858" s="495">
        <v>35.200000000000003</v>
      </c>
      <c r="G858" s="495">
        <v>181.3</v>
      </c>
      <c r="H858" s="495">
        <v>0.5</v>
      </c>
      <c r="I858" s="495">
        <v>531.71</v>
      </c>
      <c r="J858" s="494">
        <v>0.2</v>
      </c>
      <c r="K858" s="495">
        <v>106.34</v>
      </c>
      <c r="L858" s="495">
        <v>25.62</v>
      </c>
      <c r="M858" s="495">
        <v>131.96</v>
      </c>
    </row>
    <row r="859" spans="1:13" ht="16.149999999999999" customHeight="1" x14ac:dyDescent="0.25">
      <c r="A859" s="488" t="s">
        <v>695</v>
      </c>
      <c r="B859" s="495">
        <v>1</v>
      </c>
      <c r="C859" s="495">
        <v>1203.74</v>
      </c>
      <c r="D859" s="494">
        <v>0.5</v>
      </c>
      <c r="E859" s="495">
        <v>601.87</v>
      </c>
      <c r="F859" s="495">
        <v>144.99</v>
      </c>
      <c r="G859" s="495">
        <v>746.86</v>
      </c>
      <c r="H859" s="495">
        <v>1</v>
      </c>
      <c r="I859" s="495">
        <v>943.84</v>
      </c>
      <c r="J859" s="494">
        <v>0.2</v>
      </c>
      <c r="K859" s="495">
        <v>188.77</v>
      </c>
      <c r="L859" s="495">
        <v>45.47</v>
      </c>
      <c r="M859" s="495">
        <v>234.24</v>
      </c>
    </row>
    <row r="860" spans="1:13" ht="16.149999999999999" customHeight="1" x14ac:dyDescent="0.25">
      <c r="A860" s="488" t="s">
        <v>231</v>
      </c>
      <c r="B860" s="495">
        <v>0.75</v>
      </c>
      <c r="C860" s="495">
        <v>782</v>
      </c>
      <c r="D860" s="494">
        <v>0.3</v>
      </c>
      <c r="E860" s="495">
        <v>234.6</v>
      </c>
      <c r="F860" s="495">
        <v>56.52</v>
      </c>
      <c r="G860" s="495">
        <v>291.12</v>
      </c>
      <c r="H860" s="495">
        <v>0.75</v>
      </c>
      <c r="I860" s="495">
        <v>829.11</v>
      </c>
      <c r="J860" s="494">
        <v>0.2</v>
      </c>
      <c r="K860" s="495">
        <v>165.82</v>
      </c>
      <c r="L860" s="495">
        <v>39.950000000000003</v>
      </c>
      <c r="M860" s="495">
        <v>205.76999999999998</v>
      </c>
    </row>
    <row r="861" spans="1:13" ht="16.149999999999999" customHeight="1" x14ac:dyDescent="0.25">
      <c r="A861" s="488" t="s">
        <v>231</v>
      </c>
      <c r="B861" s="495">
        <v>0.5</v>
      </c>
      <c r="C861" s="495">
        <v>402.6</v>
      </c>
      <c r="D861" s="494">
        <v>0.3</v>
      </c>
      <c r="E861" s="495">
        <v>120.78</v>
      </c>
      <c r="F861" s="495">
        <v>29.1</v>
      </c>
      <c r="G861" s="495">
        <v>149.88</v>
      </c>
      <c r="H861" s="495">
        <v>0.5</v>
      </c>
      <c r="I861" s="495">
        <v>521.15</v>
      </c>
      <c r="J861" s="494">
        <v>0.2</v>
      </c>
      <c r="K861" s="495">
        <v>104.23</v>
      </c>
      <c r="L861" s="495">
        <v>25.11</v>
      </c>
      <c r="M861" s="495">
        <v>129.34</v>
      </c>
    </row>
    <row r="862" spans="1:13" ht="16.149999999999999" customHeight="1" x14ac:dyDescent="0.25">
      <c r="A862" s="488" t="s">
        <v>231</v>
      </c>
      <c r="B862" s="495">
        <v>0.75</v>
      </c>
      <c r="C862" s="495">
        <v>639.83000000000004</v>
      </c>
      <c r="D862" s="494">
        <v>0.3</v>
      </c>
      <c r="E862" s="495">
        <v>191.95</v>
      </c>
      <c r="F862" s="495">
        <v>46.24</v>
      </c>
      <c r="G862" s="495">
        <v>238.19</v>
      </c>
      <c r="H862" s="495">
        <v>0.75</v>
      </c>
      <c r="I862" s="495">
        <v>663.29</v>
      </c>
      <c r="J862" s="494">
        <v>0.2</v>
      </c>
      <c r="K862" s="495">
        <v>132.66</v>
      </c>
      <c r="L862" s="495">
        <v>31.96</v>
      </c>
      <c r="M862" s="495">
        <v>164.62</v>
      </c>
    </row>
    <row r="863" spans="1:13" ht="16.149999999999999" customHeight="1" x14ac:dyDescent="0.25">
      <c r="A863" s="488" t="s">
        <v>231</v>
      </c>
      <c r="B863" s="495">
        <v>0.25</v>
      </c>
      <c r="C863" s="495">
        <v>261</v>
      </c>
      <c r="D863" s="494">
        <v>0.3</v>
      </c>
      <c r="E863" s="495">
        <v>78.3</v>
      </c>
      <c r="F863" s="495">
        <v>18.86</v>
      </c>
      <c r="G863" s="495">
        <v>97.16</v>
      </c>
      <c r="H863" s="495">
        <v>0.25</v>
      </c>
      <c r="I863" s="495">
        <v>284.27</v>
      </c>
      <c r="J863" s="494">
        <v>0.2</v>
      </c>
      <c r="K863" s="495">
        <v>56.85</v>
      </c>
      <c r="L863" s="495">
        <v>13.7</v>
      </c>
      <c r="M863" s="495">
        <v>70.55</v>
      </c>
    </row>
    <row r="864" spans="1:13" ht="16.149999999999999" customHeight="1" x14ac:dyDescent="0.25">
      <c r="A864" s="488" t="s">
        <v>231</v>
      </c>
      <c r="B864" s="495">
        <v>1</v>
      </c>
      <c r="C864" s="495">
        <v>857.27</v>
      </c>
      <c r="D864" s="494">
        <v>0.3</v>
      </c>
      <c r="E864" s="495">
        <v>257.18</v>
      </c>
      <c r="F864" s="495">
        <v>61.95</v>
      </c>
      <c r="G864" s="495">
        <v>319.13</v>
      </c>
      <c r="H864" s="495">
        <v>1</v>
      </c>
      <c r="I864" s="495">
        <v>514.44000000000005</v>
      </c>
      <c r="J864" s="494">
        <v>0.2</v>
      </c>
      <c r="K864" s="495">
        <v>102.89</v>
      </c>
      <c r="L864" s="495">
        <v>24.79</v>
      </c>
      <c r="M864" s="495">
        <v>127.68</v>
      </c>
    </row>
    <row r="865" spans="1:13" ht="16.149999999999999" customHeight="1" x14ac:dyDescent="0.25">
      <c r="A865" s="488" t="s">
        <v>231</v>
      </c>
      <c r="B865" s="495">
        <v>0.5</v>
      </c>
      <c r="C865" s="495">
        <v>364.73</v>
      </c>
      <c r="D865" s="494">
        <v>0.3</v>
      </c>
      <c r="E865" s="495">
        <v>109.42</v>
      </c>
      <c r="F865" s="495">
        <v>26.36</v>
      </c>
      <c r="G865" s="495">
        <v>135.78</v>
      </c>
      <c r="H865" s="495">
        <v>0.5</v>
      </c>
      <c r="I865" s="495">
        <v>257.22000000000003</v>
      </c>
      <c r="J865" s="494">
        <v>0.2</v>
      </c>
      <c r="K865" s="495">
        <v>51.44</v>
      </c>
      <c r="L865" s="495">
        <v>12.39</v>
      </c>
      <c r="M865" s="495">
        <v>63.83</v>
      </c>
    </row>
    <row r="866" spans="1:13" ht="16.149999999999999" customHeight="1" x14ac:dyDescent="0.25">
      <c r="A866" s="488" t="s">
        <v>231</v>
      </c>
      <c r="B866" s="495">
        <v>0.5</v>
      </c>
      <c r="C866" s="495">
        <v>521</v>
      </c>
      <c r="D866" s="494">
        <v>0.3</v>
      </c>
      <c r="E866" s="495">
        <v>156.30000000000001</v>
      </c>
      <c r="F866" s="495">
        <v>37.65</v>
      </c>
      <c r="G866" s="495">
        <v>193.95000000000002</v>
      </c>
      <c r="H866" s="495">
        <v>0.5</v>
      </c>
      <c r="I866" s="495">
        <v>615.91</v>
      </c>
      <c r="J866" s="494">
        <v>0.2</v>
      </c>
      <c r="K866" s="495">
        <v>123.18</v>
      </c>
      <c r="L866" s="495">
        <v>29.67</v>
      </c>
      <c r="M866" s="495">
        <v>152.85000000000002</v>
      </c>
    </row>
    <row r="867" spans="1:13" ht="16.149999999999999" customHeight="1" x14ac:dyDescent="0.25">
      <c r="A867" s="488" t="s">
        <v>231</v>
      </c>
      <c r="B867" s="495">
        <v>0.25</v>
      </c>
      <c r="C867" s="495">
        <v>150.16999999999999</v>
      </c>
      <c r="D867" s="494">
        <v>0.3</v>
      </c>
      <c r="E867" s="495">
        <v>45.05</v>
      </c>
      <c r="F867" s="495">
        <v>10.85</v>
      </c>
      <c r="G867" s="495">
        <v>55.9</v>
      </c>
      <c r="H867" s="495"/>
      <c r="I867" s="495"/>
      <c r="J867" s="494"/>
      <c r="K867" s="495"/>
      <c r="L867" s="495"/>
      <c r="M867" s="495"/>
    </row>
    <row r="868" spans="1:13" ht="16.149999999999999" customHeight="1" x14ac:dyDescent="0.25">
      <c r="A868" s="488" t="s">
        <v>231</v>
      </c>
      <c r="B868" s="495">
        <v>1</v>
      </c>
      <c r="C868" s="495">
        <v>1167.56</v>
      </c>
      <c r="D868" s="494">
        <v>0.5</v>
      </c>
      <c r="E868" s="495">
        <v>583.78</v>
      </c>
      <c r="F868" s="495">
        <v>140.63</v>
      </c>
      <c r="G868" s="495">
        <v>724.41</v>
      </c>
      <c r="H868" s="495">
        <v>1</v>
      </c>
      <c r="I868" s="495">
        <v>915.46</v>
      </c>
      <c r="J868" s="494">
        <v>0.2</v>
      </c>
      <c r="K868" s="495">
        <v>183.09</v>
      </c>
      <c r="L868" s="495">
        <v>44.11</v>
      </c>
      <c r="M868" s="495">
        <v>227.2</v>
      </c>
    </row>
    <row r="869" spans="1:13" ht="30.6" customHeight="1" x14ac:dyDescent="0.25">
      <c r="A869" s="488" t="s">
        <v>864</v>
      </c>
      <c r="B869" s="495">
        <v>1</v>
      </c>
      <c r="C869" s="495">
        <v>1947</v>
      </c>
      <c r="D869" s="494">
        <v>0.5</v>
      </c>
      <c r="E869" s="495">
        <v>973.5</v>
      </c>
      <c r="F869" s="495">
        <v>234.52</v>
      </c>
      <c r="G869" s="495">
        <v>1208.02</v>
      </c>
      <c r="H869" s="495">
        <v>1</v>
      </c>
      <c r="I869" s="495">
        <v>1947</v>
      </c>
      <c r="J869" s="494">
        <v>0.2</v>
      </c>
      <c r="K869" s="495">
        <v>389.4</v>
      </c>
      <c r="L869" s="495">
        <v>93.81</v>
      </c>
      <c r="M869" s="495">
        <v>483.21</v>
      </c>
    </row>
    <row r="870" spans="1:13" ht="20.45" customHeight="1" x14ac:dyDescent="0.25">
      <c r="A870" s="488" t="s">
        <v>865</v>
      </c>
      <c r="B870" s="495"/>
      <c r="C870" s="495"/>
      <c r="D870" s="494"/>
      <c r="E870" s="495"/>
      <c r="F870" s="495">
        <v>0</v>
      </c>
      <c r="G870" s="495">
        <v>0</v>
      </c>
      <c r="H870" s="495">
        <v>1</v>
      </c>
      <c r="I870" s="495">
        <v>1971</v>
      </c>
      <c r="J870" s="494">
        <v>0.2</v>
      </c>
      <c r="K870" s="495">
        <v>394.2</v>
      </c>
      <c r="L870" s="495">
        <v>94.96</v>
      </c>
      <c r="M870" s="495">
        <v>489.15999999999997</v>
      </c>
    </row>
    <row r="871" spans="1:13" ht="21" customHeight="1" x14ac:dyDescent="0.25">
      <c r="A871" s="488" t="s">
        <v>866</v>
      </c>
      <c r="B871" s="495">
        <v>1</v>
      </c>
      <c r="C871" s="495">
        <v>1500</v>
      </c>
      <c r="D871" s="494">
        <v>0.5</v>
      </c>
      <c r="E871" s="495">
        <v>750</v>
      </c>
      <c r="F871" s="495">
        <v>180.68</v>
      </c>
      <c r="G871" s="495">
        <v>930.68000000000006</v>
      </c>
      <c r="H871" s="495">
        <v>1</v>
      </c>
      <c r="I871" s="495">
        <v>1500</v>
      </c>
      <c r="J871" s="494">
        <v>0.2</v>
      </c>
      <c r="K871" s="495">
        <v>300</v>
      </c>
      <c r="L871" s="495">
        <v>72.27</v>
      </c>
      <c r="M871" s="495">
        <v>372.27</v>
      </c>
    </row>
    <row r="872" spans="1:13" ht="29.45" customHeight="1" x14ac:dyDescent="0.25">
      <c r="A872" s="488" t="s">
        <v>867</v>
      </c>
      <c r="B872" s="495"/>
      <c r="C872" s="495"/>
      <c r="D872" s="494"/>
      <c r="E872" s="495"/>
      <c r="F872" s="495">
        <v>0</v>
      </c>
      <c r="G872" s="495">
        <v>0</v>
      </c>
      <c r="H872" s="495">
        <v>1</v>
      </c>
      <c r="I872" s="495">
        <v>1550</v>
      </c>
      <c r="J872" s="494">
        <v>0.2</v>
      </c>
      <c r="K872" s="495">
        <v>310</v>
      </c>
      <c r="L872" s="495">
        <v>74.680000000000007</v>
      </c>
      <c r="M872" s="495">
        <v>384.68</v>
      </c>
    </row>
    <row r="873" spans="1:13" ht="16.149999999999999" customHeight="1" x14ac:dyDescent="0.25">
      <c r="A873" s="488" t="s">
        <v>410</v>
      </c>
      <c r="B873" s="495">
        <v>1</v>
      </c>
      <c r="C873" s="495">
        <v>71.599999999999994</v>
      </c>
      <c r="D873" s="494">
        <v>0.5</v>
      </c>
      <c r="E873" s="495">
        <v>35.799999999999997</v>
      </c>
      <c r="F873" s="495">
        <v>8.6199999999999992</v>
      </c>
      <c r="G873" s="495">
        <v>44.419999999999995</v>
      </c>
      <c r="H873" s="495"/>
      <c r="I873" s="495"/>
      <c r="J873" s="494"/>
      <c r="K873" s="495"/>
      <c r="L873" s="495"/>
      <c r="M873" s="495"/>
    </row>
    <row r="874" spans="1:13" ht="16.149999999999999" customHeight="1" x14ac:dyDescent="0.25">
      <c r="A874" s="488" t="s">
        <v>410</v>
      </c>
      <c r="B874" s="495"/>
      <c r="C874" s="495"/>
      <c r="D874" s="494"/>
      <c r="E874" s="495"/>
      <c r="F874" s="495">
        <v>0</v>
      </c>
      <c r="G874" s="495">
        <v>0</v>
      </c>
      <c r="H874" s="495">
        <v>0.14000000000000001</v>
      </c>
      <c r="I874" s="495">
        <v>190.51</v>
      </c>
      <c r="J874" s="494">
        <v>0.2</v>
      </c>
      <c r="K874" s="495">
        <v>38.1</v>
      </c>
      <c r="L874" s="495">
        <v>9.18</v>
      </c>
      <c r="M874" s="495">
        <v>47.28</v>
      </c>
    </row>
    <row r="875" spans="1:13" ht="16.149999999999999" customHeight="1" x14ac:dyDescent="0.25">
      <c r="A875" s="488" t="s">
        <v>410</v>
      </c>
      <c r="B875" s="495">
        <v>1</v>
      </c>
      <c r="C875" s="495">
        <v>1288.6400000000001</v>
      </c>
      <c r="D875" s="494">
        <v>0.5</v>
      </c>
      <c r="E875" s="495">
        <v>644.32000000000005</v>
      </c>
      <c r="F875" s="495">
        <v>155.22</v>
      </c>
      <c r="G875" s="495">
        <v>799.54000000000008</v>
      </c>
      <c r="H875" s="495">
        <v>1</v>
      </c>
      <c r="I875" s="495">
        <v>1350</v>
      </c>
      <c r="J875" s="494">
        <v>0.2</v>
      </c>
      <c r="K875" s="495">
        <v>270</v>
      </c>
      <c r="L875" s="495">
        <v>65.040000000000006</v>
      </c>
      <c r="M875" s="495">
        <v>335.04</v>
      </c>
    </row>
    <row r="876" spans="1:13" ht="16.149999999999999" customHeight="1" x14ac:dyDescent="0.25">
      <c r="A876" s="488" t="s">
        <v>965</v>
      </c>
      <c r="B876" s="495"/>
      <c r="C876" s="495"/>
      <c r="D876" s="494"/>
      <c r="E876" s="495"/>
      <c r="F876" s="495">
        <v>0</v>
      </c>
      <c r="G876" s="495">
        <v>0</v>
      </c>
      <c r="H876" s="495">
        <v>1</v>
      </c>
      <c r="I876" s="495">
        <v>1250</v>
      </c>
      <c r="J876" s="494">
        <v>0.2</v>
      </c>
      <c r="K876" s="495">
        <v>250</v>
      </c>
      <c r="L876" s="495">
        <v>60.23</v>
      </c>
      <c r="M876" s="495">
        <v>310.23</v>
      </c>
    </row>
    <row r="877" spans="1:13" ht="16.149999999999999" customHeight="1" x14ac:dyDescent="0.25">
      <c r="A877" s="488" t="s">
        <v>868</v>
      </c>
      <c r="B877" s="495">
        <v>0.75</v>
      </c>
      <c r="C877" s="495">
        <v>795.13</v>
      </c>
      <c r="D877" s="494">
        <v>0.3</v>
      </c>
      <c r="E877" s="495">
        <v>238.54</v>
      </c>
      <c r="F877" s="495">
        <v>57.46</v>
      </c>
      <c r="G877" s="495">
        <v>296</v>
      </c>
      <c r="H877" s="495"/>
      <c r="I877" s="495"/>
      <c r="J877" s="494"/>
      <c r="K877" s="495"/>
      <c r="L877" s="495"/>
      <c r="M877" s="495"/>
    </row>
    <row r="878" spans="1:13" ht="16.149999999999999" customHeight="1" x14ac:dyDescent="0.25">
      <c r="A878" s="488" t="s">
        <v>966</v>
      </c>
      <c r="B878" s="495"/>
      <c r="C878" s="495"/>
      <c r="D878" s="494"/>
      <c r="E878" s="495"/>
      <c r="F878" s="495">
        <v>0</v>
      </c>
      <c r="G878" s="495">
        <v>0</v>
      </c>
      <c r="H878" s="495">
        <v>0.75</v>
      </c>
      <c r="I878" s="495">
        <v>140.26</v>
      </c>
      <c r="J878" s="494">
        <v>0.2</v>
      </c>
      <c r="K878" s="495">
        <v>28.05</v>
      </c>
      <c r="L878" s="495">
        <v>6.76</v>
      </c>
      <c r="M878" s="495">
        <v>34.81</v>
      </c>
    </row>
    <row r="879" spans="1:13" ht="16.149999999999999" customHeight="1" x14ac:dyDescent="0.25">
      <c r="A879" s="488" t="s">
        <v>16</v>
      </c>
      <c r="B879" s="495"/>
      <c r="C879" s="495"/>
      <c r="D879" s="494"/>
      <c r="E879" s="495"/>
      <c r="F879" s="495">
        <v>0</v>
      </c>
      <c r="G879" s="495">
        <v>0</v>
      </c>
      <c r="H879" s="495">
        <v>1</v>
      </c>
      <c r="I879" s="495">
        <v>1375</v>
      </c>
      <c r="J879" s="494">
        <v>0.2</v>
      </c>
      <c r="K879" s="495">
        <v>275</v>
      </c>
      <c r="L879" s="495">
        <v>66.25</v>
      </c>
      <c r="M879" s="495">
        <v>341.25</v>
      </c>
    </row>
    <row r="880" spans="1:13" ht="16.149999999999999" customHeight="1" x14ac:dyDescent="0.25">
      <c r="A880" s="488" t="s">
        <v>16</v>
      </c>
      <c r="B880" s="495"/>
      <c r="C880" s="495"/>
      <c r="D880" s="494"/>
      <c r="E880" s="495"/>
      <c r="F880" s="495">
        <v>0</v>
      </c>
      <c r="G880" s="495">
        <v>0</v>
      </c>
      <c r="H880" s="495">
        <v>1</v>
      </c>
      <c r="I880" s="495">
        <v>1250</v>
      </c>
      <c r="J880" s="494">
        <v>0.2</v>
      </c>
      <c r="K880" s="495">
        <v>250</v>
      </c>
      <c r="L880" s="495">
        <v>60.23</v>
      </c>
      <c r="M880" s="495">
        <v>310.23</v>
      </c>
    </row>
    <row r="881" spans="1:13" ht="16.149999999999999" customHeight="1" x14ac:dyDescent="0.25">
      <c r="A881" s="488" t="s">
        <v>16</v>
      </c>
      <c r="B881" s="495">
        <v>1</v>
      </c>
      <c r="C881" s="495">
        <v>1200</v>
      </c>
      <c r="D881" s="494">
        <v>0.5</v>
      </c>
      <c r="E881" s="495">
        <v>600</v>
      </c>
      <c r="F881" s="495">
        <v>144.54</v>
      </c>
      <c r="G881" s="495">
        <v>744.54</v>
      </c>
      <c r="H881" s="495">
        <v>1</v>
      </c>
      <c r="I881" s="495">
        <v>1017.72</v>
      </c>
      <c r="J881" s="494">
        <v>0.2</v>
      </c>
      <c r="K881" s="495">
        <v>203.54</v>
      </c>
      <c r="L881" s="495">
        <v>49.03</v>
      </c>
      <c r="M881" s="495">
        <v>252.57</v>
      </c>
    </row>
    <row r="882" spans="1:13" ht="16.149999999999999" customHeight="1" x14ac:dyDescent="0.25">
      <c r="A882" s="488" t="s">
        <v>16</v>
      </c>
      <c r="B882" s="495">
        <v>1</v>
      </c>
      <c r="C882" s="495">
        <v>1250</v>
      </c>
      <c r="D882" s="494">
        <v>0.3</v>
      </c>
      <c r="E882" s="495">
        <v>375</v>
      </c>
      <c r="F882" s="495">
        <v>90.34</v>
      </c>
      <c r="G882" s="495">
        <v>465.34000000000003</v>
      </c>
      <c r="H882" s="495">
        <v>1</v>
      </c>
      <c r="I882" s="495">
        <v>1250</v>
      </c>
      <c r="J882" s="494">
        <v>0.2</v>
      </c>
      <c r="K882" s="495">
        <v>250</v>
      </c>
      <c r="L882" s="495">
        <v>60.23</v>
      </c>
      <c r="M882" s="495">
        <v>310.23</v>
      </c>
    </row>
    <row r="883" spans="1:13" ht="16.149999999999999" customHeight="1" x14ac:dyDescent="0.25">
      <c r="A883" s="488" t="s">
        <v>16</v>
      </c>
      <c r="B883" s="495">
        <v>1</v>
      </c>
      <c r="C883" s="495">
        <v>939.88</v>
      </c>
      <c r="D883" s="494">
        <v>0.5</v>
      </c>
      <c r="E883" s="495">
        <v>469.94</v>
      </c>
      <c r="F883" s="495">
        <v>113.21</v>
      </c>
      <c r="G883" s="495">
        <v>583.15</v>
      </c>
      <c r="H883" s="495">
        <v>1</v>
      </c>
      <c r="I883" s="495">
        <v>1325.9</v>
      </c>
      <c r="J883" s="494">
        <v>0.2</v>
      </c>
      <c r="K883" s="495">
        <v>265.18</v>
      </c>
      <c r="L883" s="495">
        <v>63.88</v>
      </c>
      <c r="M883" s="495">
        <v>329.06</v>
      </c>
    </row>
    <row r="884" spans="1:13" ht="16.149999999999999" customHeight="1" x14ac:dyDescent="0.25">
      <c r="A884" s="488" t="s">
        <v>16</v>
      </c>
      <c r="B884" s="495"/>
      <c r="C884" s="495"/>
      <c r="D884" s="494"/>
      <c r="E884" s="495"/>
      <c r="F884" s="495">
        <v>0</v>
      </c>
      <c r="G884" s="495">
        <v>0</v>
      </c>
      <c r="H884" s="495">
        <v>1</v>
      </c>
      <c r="I884" s="495">
        <v>1400</v>
      </c>
      <c r="J884" s="494">
        <v>0.2</v>
      </c>
      <c r="K884" s="495">
        <v>280</v>
      </c>
      <c r="L884" s="495">
        <v>67.45</v>
      </c>
      <c r="M884" s="495">
        <v>347.45</v>
      </c>
    </row>
    <row r="885" spans="1:13" ht="16.149999999999999" customHeight="1" x14ac:dyDescent="0.25">
      <c r="A885" s="488" t="s">
        <v>16</v>
      </c>
      <c r="B885" s="495"/>
      <c r="C885" s="495"/>
      <c r="D885" s="494"/>
      <c r="E885" s="495"/>
      <c r="F885" s="495">
        <v>0</v>
      </c>
      <c r="G885" s="495">
        <v>0</v>
      </c>
      <c r="H885" s="495">
        <v>1</v>
      </c>
      <c r="I885" s="495">
        <v>1191.2</v>
      </c>
      <c r="J885" s="494">
        <v>0.2</v>
      </c>
      <c r="K885" s="495">
        <v>238.24</v>
      </c>
      <c r="L885" s="495">
        <v>57.39</v>
      </c>
      <c r="M885" s="495">
        <v>295.63</v>
      </c>
    </row>
    <row r="886" spans="1:13" ht="16.149999999999999" customHeight="1" x14ac:dyDescent="0.25">
      <c r="A886" s="488" t="s">
        <v>16</v>
      </c>
      <c r="B886" s="495"/>
      <c r="C886" s="495"/>
      <c r="D886" s="494"/>
      <c r="E886" s="495"/>
      <c r="F886" s="495">
        <v>0</v>
      </c>
      <c r="G886" s="495">
        <v>0</v>
      </c>
      <c r="H886" s="495">
        <v>1</v>
      </c>
      <c r="I886" s="495">
        <v>1300</v>
      </c>
      <c r="J886" s="494">
        <v>0.2</v>
      </c>
      <c r="K886" s="495">
        <v>260</v>
      </c>
      <c r="L886" s="495">
        <v>62.63</v>
      </c>
      <c r="M886" s="495">
        <v>322.63</v>
      </c>
    </row>
    <row r="887" spans="1:13" ht="16.149999999999999" customHeight="1" x14ac:dyDescent="0.25">
      <c r="A887" s="488" t="s">
        <v>16</v>
      </c>
      <c r="B887" s="495">
        <v>1</v>
      </c>
      <c r="C887" s="495">
        <v>1250</v>
      </c>
      <c r="D887" s="494">
        <v>0.3</v>
      </c>
      <c r="E887" s="495">
        <v>375</v>
      </c>
      <c r="F887" s="495">
        <v>90.34</v>
      </c>
      <c r="G887" s="495">
        <v>465.34000000000003</v>
      </c>
      <c r="H887" s="495">
        <v>1</v>
      </c>
      <c r="I887" s="495">
        <v>1250</v>
      </c>
      <c r="J887" s="494">
        <v>0.2</v>
      </c>
      <c r="K887" s="495">
        <v>250</v>
      </c>
      <c r="L887" s="495">
        <v>60.23</v>
      </c>
      <c r="M887" s="495">
        <v>310.23</v>
      </c>
    </row>
    <row r="888" spans="1:13" ht="16.149999999999999" customHeight="1" x14ac:dyDescent="0.25">
      <c r="A888" s="488" t="s">
        <v>16</v>
      </c>
      <c r="B888" s="495"/>
      <c r="C888" s="495"/>
      <c r="D888" s="494"/>
      <c r="E888" s="495"/>
      <c r="F888" s="495">
        <v>0</v>
      </c>
      <c r="G888" s="495">
        <v>0</v>
      </c>
      <c r="H888" s="495">
        <v>1</v>
      </c>
      <c r="I888" s="495">
        <v>526.58000000000004</v>
      </c>
      <c r="J888" s="494">
        <v>0.2</v>
      </c>
      <c r="K888" s="495">
        <v>105.32</v>
      </c>
      <c r="L888" s="495">
        <v>25.37</v>
      </c>
      <c r="M888" s="495">
        <v>130.69</v>
      </c>
    </row>
    <row r="889" spans="1:13" ht="16.149999999999999" customHeight="1" x14ac:dyDescent="0.25">
      <c r="A889" s="488" t="s">
        <v>16</v>
      </c>
      <c r="B889" s="495">
        <v>1</v>
      </c>
      <c r="C889" s="495">
        <v>1250</v>
      </c>
      <c r="D889" s="494">
        <v>0.5</v>
      </c>
      <c r="E889" s="495">
        <v>625</v>
      </c>
      <c r="F889" s="495">
        <v>150.56</v>
      </c>
      <c r="G889" s="495">
        <v>775.56</v>
      </c>
      <c r="H889" s="495">
        <v>1</v>
      </c>
      <c r="I889" s="495">
        <v>751.58</v>
      </c>
      <c r="J889" s="494">
        <v>0.2</v>
      </c>
      <c r="K889" s="495">
        <v>150.32</v>
      </c>
      <c r="L889" s="495">
        <v>36.21</v>
      </c>
      <c r="M889" s="495">
        <v>186.53</v>
      </c>
    </row>
    <row r="890" spans="1:13" ht="16.149999999999999" customHeight="1" x14ac:dyDescent="0.25">
      <c r="A890" s="488" t="s">
        <v>16</v>
      </c>
      <c r="B890" s="495"/>
      <c r="C890" s="495"/>
      <c r="D890" s="494"/>
      <c r="E890" s="495"/>
      <c r="F890" s="495">
        <v>0</v>
      </c>
      <c r="G890" s="495">
        <v>0</v>
      </c>
      <c r="H890" s="495">
        <v>1</v>
      </c>
      <c r="I890" s="495">
        <v>1250</v>
      </c>
      <c r="J890" s="494">
        <v>0.2</v>
      </c>
      <c r="K890" s="495">
        <v>250</v>
      </c>
      <c r="L890" s="495">
        <v>60.23</v>
      </c>
      <c r="M890" s="495">
        <v>310.23</v>
      </c>
    </row>
    <row r="891" spans="1:13" ht="16.149999999999999" customHeight="1" x14ac:dyDescent="0.25">
      <c r="A891" s="488" t="s">
        <v>16</v>
      </c>
      <c r="B891" s="495">
        <v>1</v>
      </c>
      <c r="C891" s="495">
        <v>681.82</v>
      </c>
      <c r="D891" s="494">
        <v>0.5</v>
      </c>
      <c r="E891" s="495">
        <v>340.91</v>
      </c>
      <c r="F891" s="495">
        <v>82.13</v>
      </c>
      <c r="G891" s="495">
        <v>423.04</v>
      </c>
      <c r="H891" s="495">
        <v>1</v>
      </c>
      <c r="I891" s="495">
        <v>1250</v>
      </c>
      <c r="J891" s="494">
        <v>0.2</v>
      </c>
      <c r="K891" s="495">
        <v>250</v>
      </c>
      <c r="L891" s="495">
        <v>60.23</v>
      </c>
      <c r="M891" s="495">
        <v>310.23</v>
      </c>
    </row>
    <row r="892" spans="1:13" ht="16.149999999999999" customHeight="1" x14ac:dyDescent="0.25">
      <c r="A892" s="488" t="s">
        <v>16</v>
      </c>
      <c r="B892" s="495"/>
      <c r="C892" s="495"/>
      <c r="D892" s="494"/>
      <c r="E892" s="495"/>
      <c r="F892" s="495">
        <v>0</v>
      </c>
      <c r="G892" s="495">
        <v>0</v>
      </c>
      <c r="H892" s="495">
        <v>1</v>
      </c>
      <c r="I892" s="495">
        <v>1200</v>
      </c>
      <c r="J892" s="494">
        <v>0.2</v>
      </c>
      <c r="K892" s="495">
        <v>240</v>
      </c>
      <c r="L892" s="495">
        <v>57.82</v>
      </c>
      <c r="M892" s="495">
        <v>297.82</v>
      </c>
    </row>
    <row r="893" spans="1:13" ht="16.149999999999999" customHeight="1" x14ac:dyDescent="0.25">
      <c r="A893" s="488" t="s">
        <v>16</v>
      </c>
      <c r="B893" s="495"/>
      <c r="C893" s="495"/>
      <c r="D893" s="494"/>
      <c r="E893" s="495"/>
      <c r="F893" s="495">
        <v>0</v>
      </c>
      <c r="G893" s="495">
        <v>0</v>
      </c>
      <c r="H893" s="495">
        <v>1</v>
      </c>
      <c r="I893" s="495">
        <v>1400</v>
      </c>
      <c r="J893" s="494">
        <v>0.2</v>
      </c>
      <c r="K893" s="495">
        <v>280</v>
      </c>
      <c r="L893" s="495">
        <v>67.45</v>
      </c>
      <c r="M893" s="495">
        <v>347.45</v>
      </c>
    </row>
    <row r="894" spans="1:13" ht="16.149999999999999" customHeight="1" x14ac:dyDescent="0.25">
      <c r="A894" s="488" t="s">
        <v>16</v>
      </c>
      <c r="B894" s="495">
        <v>1</v>
      </c>
      <c r="C894" s="495">
        <v>1200</v>
      </c>
      <c r="D894" s="494">
        <v>0.3</v>
      </c>
      <c r="E894" s="495">
        <v>360</v>
      </c>
      <c r="F894" s="495">
        <v>86.72</v>
      </c>
      <c r="G894" s="495">
        <v>446.72</v>
      </c>
      <c r="H894" s="495">
        <v>1</v>
      </c>
      <c r="I894" s="495">
        <v>1200</v>
      </c>
      <c r="J894" s="494">
        <v>0.2</v>
      </c>
      <c r="K894" s="495">
        <v>240</v>
      </c>
      <c r="L894" s="495">
        <v>57.82</v>
      </c>
      <c r="M894" s="495">
        <v>297.82</v>
      </c>
    </row>
    <row r="895" spans="1:13" ht="16.149999999999999" customHeight="1" x14ac:dyDescent="0.25">
      <c r="A895" s="488" t="s">
        <v>16</v>
      </c>
      <c r="B895" s="495"/>
      <c r="C895" s="495"/>
      <c r="D895" s="494"/>
      <c r="E895" s="495"/>
      <c r="F895" s="495">
        <v>0</v>
      </c>
      <c r="G895" s="495">
        <v>0</v>
      </c>
      <c r="H895" s="495">
        <v>1</v>
      </c>
      <c r="I895" s="495">
        <v>1375</v>
      </c>
      <c r="J895" s="494">
        <v>0.2</v>
      </c>
      <c r="K895" s="495">
        <v>275</v>
      </c>
      <c r="L895" s="495">
        <v>66.25</v>
      </c>
      <c r="M895" s="495">
        <v>341.25</v>
      </c>
    </row>
    <row r="896" spans="1:13" ht="16.149999999999999" customHeight="1" x14ac:dyDescent="0.25">
      <c r="A896" s="488" t="s">
        <v>16</v>
      </c>
      <c r="B896" s="495">
        <v>1</v>
      </c>
      <c r="C896" s="495">
        <v>1775</v>
      </c>
      <c r="D896" s="494">
        <v>0.3</v>
      </c>
      <c r="E896" s="495">
        <v>532.5</v>
      </c>
      <c r="F896" s="495">
        <v>128.28</v>
      </c>
      <c r="G896" s="495">
        <v>660.78</v>
      </c>
      <c r="H896" s="495">
        <v>1</v>
      </c>
      <c r="I896" s="495">
        <v>1775</v>
      </c>
      <c r="J896" s="494">
        <v>0.2</v>
      </c>
      <c r="K896" s="495">
        <v>355</v>
      </c>
      <c r="L896" s="495">
        <v>85.52</v>
      </c>
      <c r="M896" s="495">
        <v>440.52</v>
      </c>
    </row>
    <row r="897" spans="1:13" ht="16.149999999999999" customHeight="1" x14ac:dyDescent="0.25">
      <c r="A897" s="488" t="s">
        <v>16</v>
      </c>
      <c r="B897" s="495"/>
      <c r="C897" s="495"/>
      <c r="D897" s="494"/>
      <c r="E897" s="495"/>
      <c r="F897" s="495">
        <v>0</v>
      </c>
      <c r="G897" s="495">
        <v>0</v>
      </c>
      <c r="H897" s="495">
        <v>1</v>
      </c>
      <c r="I897" s="495">
        <v>19.850000000000001</v>
      </c>
      <c r="J897" s="494">
        <v>0.2</v>
      </c>
      <c r="K897" s="495">
        <v>3.97</v>
      </c>
      <c r="L897" s="495">
        <v>0.96</v>
      </c>
      <c r="M897" s="495">
        <v>4.93</v>
      </c>
    </row>
    <row r="898" spans="1:13" ht="16.149999999999999" customHeight="1" x14ac:dyDescent="0.25">
      <c r="A898" s="488" t="s">
        <v>16</v>
      </c>
      <c r="B898" s="495"/>
      <c r="C898" s="495"/>
      <c r="D898" s="494"/>
      <c r="E898" s="495"/>
      <c r="F898" s="495">
        <v>0</v>
      </c>
      <c r="G898" s="495">
        <v>0</v>
      </c>
      <c r="H898" s="495">
        <v>1</v>
      </c>
      <c r="I898" s="495">
        <v>1550</v>
      </c>
      <c r="J898" s="494">
        <v>0.2</v>
      </c>
      <c r="K898" s="495">
        <v>310</v>
      </c>
      <c r="L898" s="495">
        <v>74.680000000000007</v>
      </c>
      <c r="M898" s="495">
        <v>384.68</v>
      </c>
    </row>
    <row r="899" spans="1:13" ht="16.149999999999999" customHeight="1" x14ac:dyDescent="0.25">
      <c r="A899" s="488" t="s">
        <v>16</v>
      </c>
      <c r="B899" s="495"/>
      <c r="C899" s="495"/>
      <c r="D899" s="494"/>
      <c r="E899" s="495"/>
      <c r="F899" s="495">
        <v>0</v>
      </c>
      <c r="G899" s="495">
        <v>0</v>
      </c>
      <c r="H899" s="495">
        <v>1</v>
      </c>
      <c r="I899" s="495">
        <v>1231.2</v>
      </c>
      <c r="J899" s="494">
        <v>0.2</v>
      </c>
      <c r="K899" s="495">
        <v>246.24</v>
      </c>
      <c r="L899" s="495">
        <v>59.32</v>
      </c>
      <c r="M899" s="495">
        <v>305.56</v>
      </c>
    </row>
    <row r="900" spans="1:13" s="483" customFormat="1" ht="46.9" customHeight="1" x14ac:dyDescent="0.2">
      <c r="A900" s="489" t="s">
        <v>13</v>
      </c>
      <c r="B900" s="490">
        <f>SUM(B901:B1012)</f>
        <v>43.52000000000001</v>
      </c>
      <c r="C900" s="498"/>
      <c r="D900" s="705"/>
      <c r="E900" s="490">
        <f>SUM(E901:E1012)</f>
        <v>11154.300000000001</v>
      </c>
      <c r="F900" s="490">
        <f>SUM(F901:F1012)</f>
        <v>2687.0800000000008</v>
      </c>
      <c r="G900" s="490">
        <f>SUM(G901:G1012)</f>
        <v>13841.380000000003</v>
      </c>
      <c r="H900" s="490">
        <f>SUM(H901:H1012)</f>
        <v>92.46</v>
      </c>
      <c r="I900" s="498"/>
      <c r="J900" s="705"/>
      <c r="K900" s="490">
        <f>SUM(K901:K1012)</f>
        <v>11509.3</v>
      </c>
      <c r="L900" s="490">
        <f>SUM(L901:L1012)</f>
        <v>2772.6299999999992</v>
      </c>
      <c r="M900" s="490">
        <f>SUM(M901:M1012)</f>
        <v>14281.930000000004</v>
      </c>
    </row>
    <row r="901" spans="1:13" ht="16.149999999999999" customHeight="1" x14ac:dyDescent="0.25">
      <c r="A901" s="488" t="s">
        <v>156</v>
      </c>
      <c r="B901" s="495">
        <v>1</v>
      </c>
      <c r="C901" s="495">
        <v>647.76</v>
      </c>
      <c r="D901" s="494">
        <v>0.5</v>
      </c>
      <c r="E901" s="495">
        <v>323.88</v>
      </c>
      <c r="F901" s="495">
        <v>78.02</v>
      </c>
      <c r="G901" s="495">
        <v>401.9</v>
      </c>
      <c r="H901" s="495">
        <v>1</v>
      </c>
      <c r="I901" s="495">
        <v>618.30999999999995</v>
      </c>
      <c r="J901" s="494">
        <v>0.2</v>
      </c>
      <c r="K901" s="495">
        <v>123.66</v>
      </c>
      <c r="L901" s="495">
        <v>29.79</v>
      </c>
      <c r="M901" s="495">
        <v>153.44999999999999</v>
      </c>
    </row>
    <row r="902" spans="1:13" ht="16.149999999999999" customHeight="1" x14ac:dyDescent="0.25">
      <c r="A902" s="488" t="s">
        <v>156</v>
      </c>
      <c r="B902" s="495"/>
      <c r="C902" s="495"/>
      <c r="D902" s="494"/>
      <c r="E902" s="495"/>
      <c r="F902" s="495">
        <v>0</v>
      </c>
      <c r="G902" s="495">
        <v>0</v>
      </c>
      <c r="H902" s="495">
        <v>0.5</v>
      </c>
      <c r="I902" s="495">
        <v>364.83</v>
      </c>
      <c r="J902" s="494">
        <v>0.2</v>
      </c>
      <c r="K902" s="495">
        <v>72.97</v>
      </c>
      <c r="L902" s="495">
        <v>17.579999999999998</v>
      </c>
      <c r="M902" s="495">
        <v>90.55</v>
      </c>
    </row>
    <row r="903" spans="1:13" ht="16.149999999999999" customHeight="1" x14ac:dyDescent="0.25">
      <c r="A903" s="488" t="s">
        <v>156</v>
      </c>
      <c r="B903" s="495"/>
      <c r="C903" s="495"/>
      <c r="D903" s="494"/>
      <c r="E903" s="495"/>
      <c r="F903" s="495">
        <v>0</v>
      </c>
      <c r="G903" s="495">
        <v>0</v>
      </c>
      <c r="H903" s="495">
        <v>1</v>
      </c>
      <c r="I903" s="495">
        <v>364.83</v>
      </c>
      <c r="J903" s="494">
        <v>0.2</v>
      </c>
      <c r="K903" s="495">
        <v>72.97</v>
      </c>
      <c r="L903" s="495">
        <v>17.579999999999998</v>
      </c>
      <c r="M903" s="495">
        <v>90.55</v>
      </c>
    </row>
    <row r="904" spans="1:13" ht="16.149999999999999" customHeight="1" x14ac:dyDescent="0.25">
      <c r="A904" s="488" t="s">
        <v>156</v>
      </c>
      <c r="B904" s="495"/>
      <c r="C904" s="495"/>
      <c r="D904" s="494"/>
      <c r="E904" s="495"/>
      <c r="F904" s="495">
        <v>0</v>
      </c>
      <c r="G904" s="495">
        <v>0</v>
      </c>
      <c r="H904" s="495">
        <v>1</v>
      </c>
      <c r="I904" s="495">
        <v>699.26</v>
      </c>
      <c r="J904" s="494">
        <v>0.2</v>
      </c>
      <c r="K904" s="495">
        <v>139.85</v>
      </c>
      <c r="L904" s="495">
        <v>33.69</v>
      </c>
      <c r="M904" s="495">
        <v>173.54</v>
      </c>
    </row>
    <row r="905" spans="1:13" ht="16.149999999999999" customHeight="1" x14ac:dyDescent="0.25">
      <c r="A905" s="488" t="s">
        <v>156</v>
      </c>
      <c r="B905" s="495"/>
      <c r="C905" s="495"/>
      <c r="D905" s="494"/>
      <c r="E905" s="495"/>
      <c r="F905" s="495">
        <v>0</v>
      </c>
      <c r="G905" s="495">
        <v>0</v>
      </c>
      <c r="H905" s="495">
        <v>0.5</v>
      </c>
      <c r="I905" s="495">
        <v>241.32</v>
      </c>
      <c r="J905" s="494">
        <v>0.2</v>
      </c>
      <c r="K905" s="495">
        <v>48.26</v>
      </c>
      <c r="L905" s="495">
        <v>11.63</v>
      </c>
      <c r="M905" s="495">
        <v>59.89</v>
      </c>
    </row>
    <row r="906" spans="1:13" ht="16.149999999999999" customHeight="1" x14ac:dyDescent="0.25">
      <c r="A906" s="488" t="s">
        <v>156</v>
      </c>
      <c r="B906" s="495"/>
      <c r="C906" s="495"/>
      <c r="D906" s="494"/>
      <c r="E906" s="495"/>
      <c r="F906" s="495">
        <v>0</v>
      </c>
      <c r="G906" s="495">
        <v>0</v>
      </c>
      <c r="H906" s="495">
        <v>0.5</v>
      </c>
      <c r="I906" s="495">
        <v>364.83</v>
      </c>
      <c r="J906" s="494">
        <v>0.2</v>
      </c>
      <c r="K906" s="495">
        <v>72.97</v>
      </c>
      <c r="L906" s="495">
        <v>17.579999999999998</v>
      </c>
      <c r="M906" s="495">
        <v>90.55</v>
      </c>
    </row>
    <row r="907" spans="1:13" ht="16.149999999999999" customHeight="1" x14ac:dyDescent="0.25">
      <c r="A907" s="488" t="s">
        <v>156</v>
      </c>
      <c r="B907" s="495"/>
      <c r="C907" s="495"/>
      <c r="D907" s="494"/>
      <c r="E907" s="495"/>
      <c r="F907" s="495">
        <v>0</v>
      </c>
      <c r="G907" s="495">
        <v>0</v>
      </c>
      <c r="H907" s="495">
        <v>1</v>
      </c>
      <c r="I907" s="495">
        <v>638.45000000000005</v>
      </c>
      <c r="J907" s="494">
        <v>0.2</v>
      </c>
      <c r="K907" s="495">
        <v>127.69</v>
      </c>
      <c r="L907" s="495">
        <v>30.76</v>
      </c>
      <c r="M907" s="495">
        <v>158.44999999999999</v>
      </c>
    </row>
    <row r="908" spans="1:13" ht="16.149999999999999" customHeight="1" x14ac:dyDescent="0.25">
      <c r="A908" s="488" t="s">
        <v>156</v>
      </c>
      <c r="B908" s="495">
        <v>0.5</v>
      </c>
      <c r="C908" s="495">
        <v>299</v>
      </c>
      <c r="D908" s="494">
        <v>0.5</v>
      </c>
      <c r="E908" s="495">
        <v>149.5</v>
      </c>
      <c r="F908" s="495">
        <v>36.01</v>
      </c>
      <c r="G908" s="495">
        <v>185.51</v>
      </c>
      <c r="H908" s="495">
        <v>0.5</v>
      </c>
      <c r="I908" s="495">
        <v>325</v>
      </c>
      <c r="J908" s="494">
        <v>0.2</v>
      </c>
      <c r="K908" s="495">
        <v>65</v>
      </c>
      <c r="L908" s="495">
        <v>15.66</v>
      </c>
      <c r="M908" s="495">
        <v>80.66</v>
      </c>
    </row>
    <row r="909" spans="1:13" ht="16.149999999999999" customHeight="1" x14ac:dyDescent="0.25">
      <c r="A909" s="488" t="s">
        <v>156</v>
      </c>
      <c r="B909" s="495">
        <v>1</v>
      </c>
      <c r="C909" s="495">
        <v>603.23</v>
      </c>
      <c r="D909" s="494">
        <v>0.3</v>
      </c>
      <c r="E909" s="495">
        <v>180.97</v>
      </c>
      <c r="F909" s="495">
        <v>43.6</v>
      </c>
      <c r="G909" s="495">
        <v>224.57</v>
      </c>
      <c r="H909" s="495"/>
      <c r="I909" s="495"/>
      <c r="J909" s="494"/>
      <c r="K909" s="495"/>
      <c r="L909" s="495"/>
      <c r="M909" s="495"/>
    </row>
    <row r="910" spans="1:13" ht="16.149999999999999" customHeight="1" x14ac:dyDescent="0.25">
      <c r="A910" s="488" t="s">
        <v>156</v>
      </c>
      <c r="B910" s="495">
        <v>1</v>
      </c>
      <c r="C910" s="495">
        <v>663.57</v>
      </c>
      <c r="D910" s="494">
        <v>0.3</v>
      </c>
      <c r="E910" s="495">
        <v>199.07</v>
      </c>
      <c r="F910" s="495">
        <v>47.96</v>
      </c>
      <c r="G910" s="495">
        <v>247.03</v>
      </c>
      <c r="H910" s="495">
        <v>1</v>
      </c>
      <c r="I910" s="495">
        <v>663.57</v>
      </c>
      <c r="J910" s="494">
        <v>0.2</v>
      </c>
      <c r="K910" s="495">
        <v>132.71</v>
      </c>
      <c r="L910" s="495">
        <v>31.97</v>
      </c>
      <c r="M910" s="495">
        <v>164.68</v>
      </c>
    </row>
    <row r="911" spans="1:13" ht="16.149999999999999" customHeight="1" x14ac:dyDescent="0.25">
      <c r="A911" s="488" t="s">
        <v>156</v>
      </c>
      <c r="B911" s="495">
        <v>1</v>
      </c>
      <c r="C911" s="495">
        <v>663.57</v>
      </c>
      <c r="D911" s="494">
        <v>0.3</v>
      </c>
      <c r="E911" s="495">
        <v>199.07</v>
      </c>
      <c r="F911" s="495">
        <v>47.96</v>
      </c>
      <c r="G911" s="495">
        <v>247.03</v>
      </c>
      <c r="H911" s="495">
        <v>1</v>
      </c>
      <c r="I911" s="495">
        <v>723.9</v>
      </c>
      <c r="J911" s="494">
        <v>0.2</v>
      </c>
      <c r="K911" s="495">
        <v>144.78</v>
      </c>
      <c r="L911" s="495">
        <v>34.880000000000003</v>
      </c>
      <c r="M911" s="495">
        <v>179.66</v>
      </c>
    </row>
    <row r="912" spans="1:13" ht="16.149999999999999" customHeight="1" x14ac:dyDescent="0.25">
      <c r="A912" s="488" t="s">
        <v>156</v>
      </c>
      <c r="B912" s="495">
        <v>1</v>
      </c>
      <c r="C912" s="495">
        <v>663.57</v>
      </c>
      <c r="D912" s="494">
        <v>0.3</v>
      </c>
      <c r="E912" s="495">
        <v>199.07</v>
      </c>
      <c r="F912" s="495">
        <v>47.96</v>
      </c>
      <c r="G912" s="495">
        <v>247.03</v>
      </c>
      <c r="H912" s="495">
        <v>1</v>
      </c>
      <c r="I912" s="495">
        <v>693.74</v>
      </c>
      <c r="J912" s="494">
        <v>0.2</v>
      </c>
      <c r="K912" s="495">
        <v>138.75</v>
      </c>
      <c r="L912" s="495">
        <v>33.42</v>
      </c>
      <c r="M912" s="495">
        <v>172.17000000000002</v>
      </c>
    </row>
    <row r="913" spans="1:13" ht="16.149999999999999" customHeight="1" x14ac:dyDescent="0.25">
      <c r="A913" s="488" t="s">
        <v>156</v>
      </c>
      <c r="B913" s="495">
        <v>1</v>
      </c>
      <c r="C913" s="495">
        <v>684.68</v>
      </c>
      <c r="D913" s="494">
        <v>0.5</v>
      </c>
      <c r="E913" s="495">
        <v>342.34</v>
      </c>
      <c r="F913" s="495">
        <v>82.47</v>
      </c>
      <c r="G913" s="495">
        <v>424.80999999999995</v>
      </c>
      <c r="H913" s="495">
        <v>1</v>
      </c>
      <c r="I913" s="495">
        <v>779.99</v>
      </c>
      <c r="J913" s="494">
        <v>0.2</v>
      </c>
      <c r="K913" s="495">
        <v>156</v>
      </c>
      <c r="L913" s="495">
        <v>37.58</v>
      </c>
      <c r="M913" s="495">
        <v>193.57999999999998</v>
      </c>
    </row>
    <row r="914" spans="1:13" ht="16.149999999999999" customHeight="1" x14ac:dyDescent="0.25">
      <c r="A914" s="488" t="s">
        <v>156</v>
      </c>
      <c r="B914" s="495">
        <v>0.5</v>
      </c>
      <c r="C914" s="495">
        <v>342.34</v>
      </c>
      <c r="D914" s="494">
        <v>0.5</v>
      </c>
      <c r="E914" s="495">
        <v>171.17</v>
      </c>
      <c r="F914" s="495">
        <v>41.23</v>
      </c>
      <c r="G914" s="495">
        <v>212.39999999999998</v>
      </c>
      <c r="H914" s="495">
        <v>0.5</v>
      </c>
      <c r="I914" s="495">
        <v>373.46</v>
      </c>
      <c r="J914" s="494">
        <v>0.2</v>
      </c>
      <c r="K914" s="495">
        <v>74.69</v>
      </c>
      <c r="L914" s="495">
        <v>17.989999999999998</v>
      </c>
      <c r="M914" s="495">
        <v>92.679999999999993</v>
      </c>
    </row>
    <row r="915" spans="1:13" ht="16.149999999999999" customHeight="1" x14ac:dyDescent="0.25">
      <c r="A915" s="488" t="s">
        <v>156</v>
      </c>
      <c r="B915" s="495">
        <v>1</v>
      </c>
      <c r="C915" s="495">
        <v>529.08000000000004</v>
      </c>
      <c r="D915" s="494">
        <v>0.5</v>
      </c>
      <c r="E915" s="495">
        <v>264.54000000000002</v>
      </c>
      <c r="F915" s="495">
        <v>63.73</v>
      </c>
      <c r="G915" s="495">
        <v>328.27000000000004</v>
      </c>
      <c r="H915" s="495">
        <v>1</v>
      </c>
      <c r="I915" s="495">
        <v>466.82</v>
      </c>
      <c r="J915" s="494">
        <v>0.2</v>
      </c>
      <c r="K915" s="495">
        <v>93.36</v>
      </c>
      <c r="L915" s="495">
        <v>22.49</v>
      </c>
      <c r="M915" s="495">
        <v>115.85</v>
      </c>
    </row>
    <row r="916" spans="1:13" ht="16.149999999999999" customHeight="1" x14ac:dyDescent="0.25">
      <c r="A916" s="488" t="s">
        <v>156</v>
      </c>
      <c r="B916" s="495">
        <v>1</v>
      </c>
      <c r="C916" s="495">
        <v>684.68</v>
      </c>
      <c r="D916" s="494">
        <v>0.5</v>
      </c>
      <c r="E916" s="495">
        <v>342.34</v>
      </c>
      <c r="F916" s="495">
        <v>82.47</v>
      </c>
      <c r="G916" s="495">
        <v>424.80999999999995</v>
      </c>
      <c r="H916" s="495">
        <v>1</v>
      </c>
      <c r="I916" s="495">
        <v>746.92</v>
      </c>
      <c r="J916" s="494">
        <v>0.2</v>
      </c>
      <c r="K916" s="495">
        <v>149.38</v>
      </c>
      <c r="L916" s="495">
        <v>35.99</v>
      </c>
      <c r="M916" s="495">
        <v>185.37</v>
      </c>
    </row>
    <row r="917" spans="1:13" ht="16.149999999999999" customHeight="1" x14ac:dyDescent="0.25">
      <c r="A917" s="488" t="s">
        <v>156</v>
      </c>
      <c r="B917" s="495">
        <v>1</v>
      </c>
      <c r="C917" s="495">
        <v>684.68</v>
      </c>
      <c r="D917" s="494">
        <v>0.5</v>
      </c>
      <c r="E917" s="495">
        <v>342.34</v>
      </c>
      <c r="F917" s="495">
        <v>82.47</v>
      </c>
      <c r="G917" s="495">
        <v>424.80999999999995</v>
      </c>
      <c r="H917" s="495">
        <v>1</v>
      </c>
      <c r="I917" s="495">
        <v>713.85</v>
      </c>
      <c r="J917" s="494">
        <v>0.2</v>
      </c>
      <c r="K917" s="495">
        <v>142.77000000000001</v>
      </c>
      <c r="L917" s="495">
        <v>34.39</v>
      </c>
      <c r="M917" s="495">
        <v>177.16000000000003</v>
      </c>
    </row>
    <row r="918" spans="1:13" ht="16.149999999999999" customHeight="1" x14ac:dyDescent="0.25">
      <c r="A918" s="488" t="s">
        <v>156</v>
      </c>
      <c r="B918" s="495">
        <v>1</v>
      </c>
      <c r="C918" s="495">
        <v>684.68</v>
      </c>
      <c r="D918" s="494">
        <v>0.5</v>
      </c>
      <c r="E918" s="495">
        <v>342.34</v>
      </c>
      <c r="F918" s="495">
        <v>82.47</v>
      </c>
      <c r="G918" s="495">
        <v>424.80999999999995</v>
      </c>
      <c r="H918" s="495">
        <v>1</v>
      </c>
      <c r="I918" s="495">
        <v>746.92</v>
      </c>
      <c r="J918" s="494">
        <v>0.2</v>
      </c>
      <c r="K918" s="495">
        <v>149.38</v>
      </c>
      <c r="L918" s="495">
        <v>35.99</v>
      </c>
      <c r="M918" s="495">
        <v>185.37</v>
      </c>
    </row>
    <row r="919" spans="1:13" ht="16.149999999999999" customHeight="1" x14ac:dyDescent="0.25">
      <c r="A919" s="488" t="s">
        <v>156</v>
      </c>
      <c r="B919" s="495">
        <v>1</v>
      </c>
      <c r="C919" s="495">
        <v>248.98</v>
      </c>
      <c r="D919" s="494">
        <v>0.5</v>
      </c>
      <c r="E919" s="495">
        <v>124.49</v>
      </c>
      <c r="F919" s="495">
        <v>29.99</v>
      </c>
      <c r="G919" s="495">
        <v>154.47999999999999</v>
      </c>
      <c r="H919" s="495">
        <v>1</v>
      </c>
      <c r="I919" s="495">
        <v>686.62</v>
      </c>
      <c r="J919" s="494">
        <v>0.2</v>
      </c>
      <c r="K919" s="495">
        <v>137.32</v>
      </c>
      <c r="L919" s="495">
        <v>33.08</v>
      </c>
      <c r="M919" s="495">
        <v>170.39999999999998</v>
      </c>
    </row>
    <row r="920" spans="1:13" ht="16.149999999999999" customHeight="1" x14ac:dyDescent="0.25">
      <c r="A920" s="488" t="s">
        <v>156</v>
      </c>
      <c r="B920" s="495"/>
      <c r="C920" s="495"/>
      <c r="D920" s="494"/>
      <c r="E920" s="495"/>
      <c r="F920" s="495">
        <v>0</v>
      </c>
      <c r="G920" s="495">
        <v>0</v>
      </c>
      <c r="H920" s="495">
        <v>1</v>
      </c>
      <c r="I920" s="495">
        <v>288.91000000000003</v>
      </c>
      <c r="J920" s="494">
        <v>0.2</v>
      </c>
      <c r="K920" s="495">
        <v>57.78</v>
      </c>
      <c r="L920" s="495">
        <v>13.92</v>
      </c>
      <c r="M920" s="495">
        <v>71.7</v>
      </c>
    </row>
    <row r="921" spans="1:13" ht="16.149999999999999" customHeight="1" x14ac:dyDescent="0.25">
      <c r="A921" s="488" t="s">
        <v>156</v>
      </c>
      <c r="B921" s="495"/>
      <c r="C921" s="495"/>
      <c r="D921" s="494"/>
      <c r="E921" s="495"/>
      <c r="F921" s="495">
        <v>0</v>
      </c>
      <c r="G921" s="495">
        <v>0</v>
      </c>
      <c r="H921" s="495">
        <v>1</v>
      </c>
      <c r="I921" s="495">
        <v>761</v>
      </c>
      <c r="J921" s="494">
        <v>0.2</v>
      </c>
      <c r="K921" s="495">
        <v>152.19999999999999</v>
      </c>
      <c r="L921" s="495">
        <v>36.659999999999997</v>
      </c>
      <c r="M921" s="495">
        <v>188.85999999999999</v>
      </c>
    </row>
    <row r="922" spans="1:13" ht="16.149999999999999" customHeight="1" x14ac:dyDescent="0.25">
      <c r="A922" s="488" t="s">
        <v>156</v>
      </c>
      <c r="B922" s="495"/>
      <c r="C922" s="495"/>
      <c r="D922" s="494"/>
      <c r="E922" s="495"/>
      <c r="F922" s="495">
        <v>0</v>
      </c>
      <c r="G922" s="495">
        <v>0</v>
      </c>
      <c r="H922" s="495">
        <v>1</v>
      </c>
      <c r="I922" s="495">
        <v>581.5</v>
      </c>
      <c r="J922" s="494">
        <v>0.2</v>
      </c>
      <c r="K922" s="495">
        <v>116.3</v>
      </c>
      <c r="L922" s="495">
        <v>28.02</v>
      </c>
      <c r="M922" s="495">
        <v>144.32</v>
      </c>
    </row>
    <row r="923" spans="1:13" ht="16.149999999999999" customHeight="1" x14ac:dyDescent="0.25">
      <c r="A923" s="488" t="s">
        <v>156</v>
      </c>
      <c r="B923" s="495"/>
      <c r="C923" s="495"/>
      <c r="D923" s="494"/>
      <c r="E923" s="495"/>
      <c r="F923" s="495">
        <v>0</v>
      </c>
      <c r="G923" s="495">
        <v>0</v>
      </c>
      <c r="H923" s="495">
        <v>1</v>
      </c>
      <c r="I923" s="495">
        <v>581.5</v>
      </c>
      <c r="J923" s="494">
        <v>0.2</v>
      </c>
      <c r="K923" s="495">
        <v>116.3</v>
      </c>
      <c r="L923" s="495">
        <v>28.02</v>
      </c>
      <c r="M923" s="495">
        <v>144.32</v>
      </c>
    </row>
    <row r="924" spans="1:13" ht="16.149999999999999" customHeight="1" x14ac:dyDescent="0.25">
      <c r="A924" s="488" t="s">
        <v>156</v>
      </c>
      <c r="B924" s="495"/>
      <c r="C924" s="495"/>
      <c r="D924" s="494"/>
      <c r="E924" s="495"/>
      <c r="F924" s="495">
        <v>0</v>
      </c>
      <c r="G924" s="495">
        <v>0</v>
      </c>
      <c r="H924" s="495">
        <v>1</v>
      </c>
      <c r="I924" s="495">
        <v>581.5</v>
      </c>
      <c r="J924" s="494">
        <v>0.2</v>
      </c>
      <c r="K924" s="495">
        <v>116.3</v>
      </c>
      <c r="L924" s="495">
        <v>28.02</v>
      </c>
      <c r="M924" s="495">
        <v>144.32</v>
      </c>
    </row>
    <row r="925" spans="1:13" ht="16.149999999999999" customHeight="1" x14ac:dyDescent="0.25">
      <c r="A925" s="488" t="s">
        <v>156</v>
      </c>
      <c r="B925" s="495"/>
      <c r="C925" s="495"/>
      <c r="D925" s="494"/>
      <c r="E925" s="495"/>
      <c r="F925" s="495">
        <v>0</v>
      </c>
      <c r="G925" s="495">
        <v>0</v>
      </c>
      <c r="H925" s="495">
        <v>1</v>
      </c>
      <c r="I925" s="495">
        <v>575.98</v>
      </c>
      <c r="J925" s="494">
        <v>0.2</v>
      </c>
      <c r="K925" s="495">
        <v>115.2</v>
      </c>
      <c r="L925" s="495">
        <v>27.75</v>
      </c>
      <c r="M925" s="495">
        <v>142.94999999999999</v>
      </c>
    </row>
    <row r="926" spans="1:13" ht="16.149999999999999" customHeight="1" x14ac:dyDescent="0.25">
      <c r="A926" s="488" t="s">
        <v>156</v>
      </c>
      <c r="B926" s="495"/>
      <c r="C926" s="495"/>
      <c r="D926" s="494"/>
      <c r="E926" s="495"/>
      <c r="F926" s="495">
        <v>0</v>
      </c>
      <c r="G926" s="495">
        <v>0</v>
      </c>
      <c r="H926" s="495">
        <v>1</v>
      </c>
      <c r="I926" s="495">
        <v>432.45</v>
      </c>
      <c r="J926" s="494">
        <v>0.2</v>
      </c>
      <c r="K926" s="495">
        <v>86.49</v>
      </c>
      <c r="L926" s="495">
        <v>20.84</v>
      </c>
      <c r="M926" s="495">
        <v>107.33</v>
      </c>
    </row>
    <row r="927" spans="1:13" ht="16.149999999999999" customHeight="1" x14ac:dyDescent="0.25">
      <c r="A927" s="488" t="s">
        <v>156</v>
      </c>
      <c r="B927" s="495"/>
      <c r="C927" s="495"/>
      <c r="D927" s="494"/>
      <c r="E927" s="495"/>
      <c r="F927" s="495">
        <v>0</v>
      </c>
      <c r="G927" s="495">
        <v>0</v>
      </c>
      <c r="H927" s="495">
        <v>1</v>
      </c>
      <c r="I927" s="495">
        <v>581.5</v>
      </c>
      <c r="J927" s="494">
        <v>0.2</v>
      </c>
      <c r="K927" s="495">
        <v>116.3</v>
      </c>
      <c r="L927" s="495">
        <v>28.02</v>
      </c>
      <c r="M927" s="495">
        <v>144.32</v>
      </c>
    </row>
    <row r="928" spans="1:13" ht="16.149999999999999" customHeight="1" x14ac:dyDescent="0.25">
      <c r="A928" s="488" t="s">
        <v>156</v>
      </c>
      <c r="B928" s="495">
        <v>1</v>
      </c>
      <c r="C928" s="495">
        <v>500.54</v>
      </c>
      <c r="D928" s="494">
        <v>0.5</v>
      </c>
      <c r="E928" s="495">
        <v>250.27</v>
      </c>
      <c r="F928" s="495">
        <v>60.29</v>
      </c>
      <c r="G928" s="495">
        <v>310.56</v>
      </c>
      <c r="H928" s="495"/>
      <c r="I928" s="495"/>
      <c r="J928" s="494"/>
      <c r="K928" s="495"/>
      <c r="L928" s="495"/>
      <c r="M928" s="495"/>
    </row>
    <row r="929" spans="1:13" ht="16.149999999999999" customHeight="1" x14ac:dyDescent="0.25">
      <c r="A929" s="488" t="s">
        <v>156</v>
      </c>
      <c r="B929" s="495">
        <v>1</v>
      </c>
      <c r="C929" s="495">
        <v>647.76</v>
      </c>
      <c r="D929" s="494">
        <v>0.5</v>
      </c>
      <c r="E929" s="495">
        <v>323.88</v>
      </c>
      <c r="F929" s="495">
        <v>78.02</v>
      </c>
      <c r="G929" s="495">
        <v>401.9</v>
      </c>
      <c r="H929" s="495">
        <v>1</v>
      </c>
      <c r="I929" s="495">
        <v>412.2</v>
      </c>
      <c r="J929" s="494">
        <v>0.2</v>
      </c>
      <c r="K929" s="495">
        <v>82.44</v>
      </c>
      <c r="L929" s="495">
        <v>19.86</v>
      </c>
      <c r="M929" s="495">
        <v>102.3</v>
      </c>
    </row>
    <row r="930" spans="1:13" ht="16.149999999999999" customHeight="1" x14ac:dyDescent="0.25">
      <c r="A930" s="488" t="s">
        <v>156</v>
      </c>
      <c r="B930" s="495">
        <v>1</v>
      </c>
      <c r="C930" s="495">
        <v>647.76</v>
      </c>
      <c r="D930" s="494">
        <v>0.5</v>
      </c>
      <c r="E930" s="495">
        <v>323.88</v>
      </c>
      <c r="F930" s="495">
        <v>78.02</v>
      </c>
      <c r="G930" s="495">
        <v>401.9</v>
      </c>
      <c r="H930" s="495">
        <v>1</v>
      </c>
      <c r="I930" s="495">
        <v>353.32</v>
      </c>
      <c r="J930" s="494">
        <v>0.2</v>
      </c>
      <c r="K930" s="495">
        <v>70.66</v>
      </c>
      <c r="L930" s="495">
        <v>17.02</v>
      </c>
      <c r="M930" s="495">
        <v>87.679999999999993</v>
      </c>
    </row>
    <row r="931" spans="1:13" ht="16.149999999999999" customHeight="1" x14ac:dyDescent="0.25">
      <c r="A931" s="488" t="s">
        <v>156</v>
      </c>
      <c r="B931" s="495"/>
      <c r="C931" s="495"/>
      <c r="D931" s="494"/>
      <c r="E931" s="495"/>
      <c r="F931" s="495">
        <v>0</v>
      </c>
      <c r="G931" s="495">
        <v>0</v>
      </c>
      <c r="H931" s="495">
        <v>1</v>
      </c>
      <c r="I931" s="495">
        <v>518.94000000000005</v>
      </c>
      <c r="J931" s="494">
        <v>0.2</v>
      </c>
      <c r="K931" s="495">
        <v>103.79</v>
      </c>
      <c r="L931" s="495">
        <v>25</v>
      </c>
      <c r="M931" s="495">
        <v>128.79000000000002</v>
      </c>
    </row>
    <row r="932" spans="1:13" ht="16.149999999999999" customHeight="1" x14ac:dyDescent="0.25">
      <c r="A932" s="488" t="s">
        <v>156</v>
      </c>
      <c r="B932" s="495"/>
      <c r="C932" s="495"/>
      <c r="D932" s="494"/>
      <c r="E932" s="495"/>
      <c r="F932" s="495">
        <v>0</v>
      </c>
      <c r="G932" s="495">
        <v>0</v>
      </c>
      <c r="H932" s="495">
        <v>1</v>
      </c>
      <c r="I932" s="495">
        <v>577.82000000000005</v>
      </c>
      <c r="J932" s="494">
        <v>0.2</v>
      </c>
      <c r="K932" s="495">
        <v>115.56</v>
      </c>
      <c r="L932" s="495">
        <v>27.84</v>
      </c>
      <c r="M932" s="495">
        <v>143.4</v>
      </c>
    </row>
    <row r="933" spans="1:13" ht="16.149999999999999" customHeight="1" x14ac:dyDescent="0.25">
      <c r="A933" s="488" t="s">
        <v>156</v>
      </c>
      <c r="B933" s="495"/>
      <c r="C933" s="495"/>
      <c r="D933" s="494"/>
      <c r="E933" s="495"/>
      <c r="F933" s="495">
        <v>0</v>
      </c>
      <c r="G933" s="495">
        <v>0</v>
      </c>
      <c r="H933" s="495">
        <v>1</v>
      </c>
      <c r="I933" s="495">
        <v>86.49</v>
      </c>
      <c r="J933" s="494">
        <v>0.2</v>
      </c>
      <c r="K933" s="495">
        <v>17.3</v>
      </c>
      <c r="L933" s="495">
        <v>4.17</v>
      </c>
      <c r="M933" s="495">
        <v>21.47</v>
      </c>
    </row>
    <row r="934" spans="1:13" ht="16.149999999999999" customHeight="1" x14ac:dyDescent="0.25">
      <c r="A934" s="488" t="s">
        <v>156</v>
      </c>
      <c r="B934" s="495">
        <v>1</v>
      </c>
      <c r="C934" s="495">
        <v>647.77</v>
      </c>
      <c r="D934" s="494">
        <v>0.3</v>
      </c>
      <c r="E934" s="495">
        <v>194.33</v>
      </c>
      <c r="F934" s="495">
        <v>46.81</v>
      </c>
      <c r="G934" s="495">
        <v>241.14000000000001</v>
      </c>
      <c r="H934" s="495">
        <v>1</v>
      </c>
      <c r="I934" s="495">
        <v>618.30999999999995</v>
      </c>
      <c r="J934" s="494">
        <v>0.2</v>
      </c>
      <c r="K934" s="495">
        <v>123.66</v>
      </c>
      <c r="L934" s="495">
        <v>29.79</v>
      </c>
      <c r="M934" s="495">
        <v>153.44999999999999</v>
      </c>
    </row>
    <row r="935" spans="1:13" ht="16.149999999999999" customHeight="1" x14ac:dyDescent="0.25">
      <c r="A935" s="488" t="s">
        <v>156</v>
      </c>
      <c r="B935" s="495">
        <v>1</v>
      </c>
      <c r="C935" s="495">
        <v>647.77</v>
      </c>
      <c r="D935" s="494">
        <v>0.3</v>
      </c>
      <c r="E935" s="495">
        <v>194.33</v>
      </c>
      <c r="F935" s="495">
        <v>46.81</v>
      </c>
      <c r="G935" s="495">
        <v>241.14000000000001</v>
      </c>
      <c r="H935" s="495">
        <v>1</v>
      </c>
      <c r="I935" s="495">
        <v>382.76</v>
      </c>
      <c r="J935" s="494">
        <v>0.2</v>
      </c>
      <c r="K935" s="495">
        <v>76.55</v>
      </c>
      <c r="L935" s="495">
        <v>18.440000000000001</v>
      </c>
      <c r="M935" s="495">
        <v>94.99</v>
      </c>
    </row>
    <row r="936" spans="1:13" ht="16.149999999999999" customHeight="1" x14ac:dyDescent="0.25">
      <c r="A936" s="488" t="s">
        <v>156</v>
      </c>
      <c r="B936" s="495">
        <v>1</v>
      </c>
      <c r="C936" s="495">
        <v>647.77</v>
      </c>
      <c r="D936" s="494">
        <v>0.3</v>
      </c>
      <c r="E936" s="495">
        <v>194.33</v>
      </c>
      <c r="F936" s="495">
        <v>46.81</v>
      </c>
      <c r="G936" s="495">
        <v>241.14000000000001</v>
      </c>
      <c r="H936" s="495">
        <v>1</v>
      </c>
      <c r="I936" s="495">
        <v>677.19</v>
      </c>
      <c r="J936" s="494">
        <v>0.2</v>
      </c>
      <c r="K936" s="495">
        <v>135.44</v>
      </c>
      <c r="L936" s="495">
        <v>32.630000000000003</v>
      </c>
      <c r="M936" s="495">
        <v>168.07</v>
      </c>
    </row>
    <row r="937" spans="1:13" ht="16.149999999999999" customHeight="1" x14ac:dyDescent="0.25">
      <c r="A937" s="488" t="s">
        <v>156</v>
      </c>
      <c r="B937" s="495">
        <v>1</v>
      </c>
      <c r="C937" s="495">
        <v>647.77</v>
      </c>
      <c r="D937" s="494">
        <v>0.3</v>
      </c>
      <c r="E937" s="495">
        <v>194.33</v>
      </c>
      <c r="F937" s="495">
        <v>46.81</v>
      </c>
      <c r="G937" s="495">
        <v>241.14000000000001</v>
      </c>
      <c r="H937" s="495">
        <v>1</v>
      </c>
      <c r="I937" s="495">
        <v>618.30999999999995</v>
      </c>
      <c r="J937" s="494">
        <v>0.2</v>
      </c>
      <c r="K937" s="495">
        <v>123.66</v>
      </c>
      <c r="L937" s="495">
        <v>29.79</v>
      </c>
      <c r="M937" s="495">
        <v>153.44999999999999</v>
      </c>
    </row>
    <row r="938" spans="1:13" ht="16.149999999999999" customHeight="1" x14ac:dyDescent="0.25">
      <c r="A938" s="488" t="s">
        <v>156</v>
      </c>
      <c r="B938" s="495"/>
      <c r="C938" s="495"/>
      <c r="D938" s="494"/>
      <c r="E938" s="495"/>
      <c r="F938" s="495">
        <v>0</v>
      </c>
      <c r="G938" s="495">
        <v>0</v>
      </c>
      <c r="H938" s="495">
        <v>1</v>
      </c>
      <c r="I938" s="495">
        <v>534.63</v>
      </c>
      <c r="J938" s="494">
        <v>0.2</v>
      </c>
      <c r="K938" s="495">
        <v>106.93</v>
      </c>
      <c r="L938" s="495">
        <v>25.76</v>
      </c>
      <c r="M938" s="495">
        <v>132.69</v>
      </c>
    </row>
    <row r="939" spans="1:13" ht="16.149999999999999" customHeight="1" x14ac:dyDescent="0.25">
      <c r="A939" s="488" t="s">
        <v>156</v>
      </c>
      <c r="B939" s="495"/>
      <c r="C939" s="495"/>
      <c r="D939" s="494"/>
      <c r="E939" s="495"/>
      <c r="F939" s="495">
        <v>0</v>
      </c>
      <c r="G939" s="495">
        <v>0</v>
      </c>
      <c r="H939" s="495">
        <v>1</v>
      </c>
      <c r="I939" s="495">
        <v>217.14</v>
      </c>
      <c r="J939" s="494">
        <v>0.2</v>
      </c>
      <c r="K939" s="495">
        <v>43.43</v>
      </c>
      <c r="L939" s="495">
        <v>10.46</v>
      </c>
      <c r="M939" s="495">
        <v>53.89</v>
      </c>
    </row>
    <row r="940" spans="1:13" ht="16.149999999999999" customHeight="1" x14ac:dyDescent="0.25">
      <c r="A940" s="488" t="s">
        <v>156</v>
      </c>
      <c r="B940" s="495"/>
      <c r="C940" s="495"/>
      <c r="D940" s="494"/>
      <c r="E940" s="495"/>
      <c r="F940" s="495">
        <v>0</v>
      </c>
      <c r="G940" s="495">
        <v>0</v>
      </c>
      <c r="H940" s="495">
        <v>1</v>
      </c>
      <c r="I940" s="495">
        <v>518.94000000000005</v>
      </c>
      <c r="J940" s="494">
        <v>0.2</v>
      </c>
      <c r="K940" s="495">
        <v>103.79</v>
      </c>
      <c r="L940" s="495">
        <v>25</v>
      </c>
      <c r="M940" s="495">
        <v>128.79000000000002</v>
      </c>
    </row>
    <row r="941" spans="1:13" ht="16.149999999999999" customHeight="1" x14ac:dyDescent="0.25">
      <c r="A941" s="488" t="s">
        <v>156</v>
      </c>
      <c r="B941" s="495"/>
      <c r="C941" s="495"/>
      <c r="D941" s="494"/>
      <c r="E941" s="495"/>
      <c r="F941" s="495">
        <v>0</v>
      </c>
      <c r="G941" s="495">
        <v>0</v>
      </c>
      <c r="H941" s="495">
        <v>1</v>
      </c>
      <c r="I941" s="495">
        <v>461.89</v>
      </c>
      <c r="J941" s="494">
        <v>0.2</v>
      </c>
      <c r="K941" s="495">
        <v>92.38</v>
      </c>
      <c r="L941" s="495">
        <v>22.25</v>
      </c>
      <c r="M941" s="495">
        <v>114.63</v>
      </c>
    </row>
    <row r="942" spans="1:13" ht="16.149999999999999" customHeight="1" x14ac:dyDescent="0.25">
      <c r="A942" s="488" t="s">
        <v>156</v>
      </c>
      <c r="B942" s="495"/>
      <c r="C942" s="495"/>
      <c r="D942" s="494"/>
      <c r="E942" s="495"/>
      <c r="F942" s="495">
        <v>0</v>
      </c>
      <c r="G942" s="495">
        <v>0</v>
      </c>
      <c r="H942" s="495">
        <v>1</v>
      </c>
      <c r="I942" s="495">
        <v>172.98</v>
      </c>
      <c r="J942" s="494">
        <v>0.2</v>
      </c>
      <c r="K942" s="495">
        <v>34.6</v>
      </c>
      <c r="L942" s="495">
        <v>8.34</v>
      </c>
      <c r="M942" s="495">
        <v>42.94</v>
      </c>
    </row>
    <row r="943" spans="1:13" ht="16.149999999999999" customHeight="1" x14ac:dyDescent="0.25">
      <c r="A943" s="488" t="s">
        <v>156</v>
      </c>
      <c r="B943" s="495"/>
      <c r="C943" s="495"/>
      <c r="D943" s="494"/>
      <c r="E943" s="495"/>
      <c r="F943" s="495">
        <v>0</v>
      </c>
      <c r="G943" s="495">
        <v>0</v>
      </c>
      <c r="H943" s="495">
        <v>1</v>
      </c>
      <c r="I943" s="495">
        <v>534.63</v>
      </c>
      <c r="J943" s="494">
        <v>0.2</v>
      </c>
      <c r="K943" s="495">
        <v>106.93</v>
      </c>
      <c r="L943" s="495">
        <v>25.76</v>
      </c>
      <c r="M943" s="495">
        <v>132.69</v>
      </c>
    </row>
    <row r="944" spans="1:13" ht="16.149999999999999" customHeight="1" x14ac:dyDescent="0.25">
      <c r="A944" s="488" t="s">
        <v>156</v>
      </c>
      <c r="B944" s="495">
        <v>1</v>
      </c>
      <c r="C944" s="495">
        <v>663.58</v>
      </c>
      <c r="D944" s="494">
        <v>0.5</v>
      </c>
      <c r="E944" s="495">
        <v>331.79</v>
      </c>
      <c r="F944" s="495">
        <v>79.930000000000007</v>
      </c>
      <c r="G944" s="495">
        <v>411.72</v>
      </c>
      <c r="H944" s="495">
        <v>1</v>
      </c>
      <c r="I944" s="495">
        <v>603.25</v>
      </c>
      <c r="J944" s="494">
        <v>0.2</v>
      </c>
      <c r="K944" s="495">
        <v>120.65</v>
      </c>
      <c r="L944" s="495">
        <v>29.06</v>
      </c>
      <c r="M944" s="495">
        <v>149.71</v>
      </c>
    </row>
    <row r="945" spans="1:13" ht="16.149999999999999" customHeight="1" x14ac:dyDescent="0.25">
      <c r="A945" s="488" t="s">
        <v>156</v>
      </c>
      <c r="B945" s="495">
        <v>1</v>
      </c>
      <c r="C945" s="495">
        <v>663.58</v>
      </c>
      <c r="D945" s="494">
        <v>0.5</v>
      </c>
      <c r="E945" s="495">
        <v>331.79</v>
      </c>
      <c r="F945" s="495">
        <v>79.930000000000007</v>
      </c>
      <c r="G945" s="495">
        <v>411.72</v>
      </c>
      <c r="H945" s="495">
        <v>1</v>
      </c>
      <c r="I945" s="495">
        <v>542.91999999999996</v>
      </c>
      <c r="J945" s="494">
        <v>0.2</v>
      </c>
      <c r="K945" s="495">
        <v>108.58</v>
      </c>
      <c r="L945" s="495">
        <v>26.16</v>
      </c>
      <c r="M945" s="495">
        <v>134.74</v>
      </c>
    </row>
    <row r="946" spans="1:13" ht="16.149999999999999" customHeight="1" x14ac:dyDescent="0.25">
      <c r="A946" s="488" t="s">
        <v>156</v>
      </c>
      <c r="B946" s="495">
        <v>1</v>
      </c>
      <c r="C946" s="495">
        <v>663.58</v>
      </c>
      <c r="D946" s="494">
        <v>0.5</v>
      </c>
      <c r="E946" s="495">
        <v>331.79</v>
      </c>
      <c r="F946" s="495">
        <v>79.930000000000007</v>
      </c>
      <c r="G946" s="495">
        <v>411.72</v>
      </c>
      <c r="H946" s="495">
        <v>1</v>
      </c>
      <c r="I946" s="495">
        <v>633.41</v>
      </c>
      <c r="J946" s="494">
        <v>0.2</v>
      </c>
      <c r="K946" s="495">
        <v>126.68</v>
      </c>
      <c r="L946" s="495">
        <v>30.52</v>
      </c>
      <c r="M946" s="495">
        <v>157.20000000000002</v>
      </c>
    </row>
    <row r="947" spans="1:13" ht="16.149999999999999" customHeight="1" x14ac:dyDescent="0.25">
      <c r="A947" s="488" t="s">
        <v>156</v>
      </c>
      <c r="B947" s="495">
        <v>1</v>
      </c>
      <c r="C947" s="495">
        <v>663.58</v>
      </c>
      <c r="D947" s="494">
        <v>0.5</v>
      </c>
      <c r="E947" s="495">
        <v>331.79</v>
      </c>
      <c r="F947" s="495">
        <v>79.930000000000007</v>
      </c>
      <c r="G947" s="495">
        <v>411.72</v>
      </c>
      <c r="H947" s="495">
        <v>1</v>
      </c>
      <c r="I947" s="495">
        <v>633.41</v>
      </c>
      <c r="J947" s="494">
        <v>0.2</v>
      </c>
      <c r="K947" s="495">
        <v>126.68</v>
      </c>
      <c r="L947" s="495">
        <v>30.52</v>
      </c>
      <c r="M947" s="495">
        <v>157.20000000000002</v>
      </c>
    </row>
    <row r="948" spans="1:13" ht="16.149999999999999" customHeight="1" x14ac:dyDescent="0.25">
      <c r="A948" s="488" t="s">
        <v>156</v>
      </c>
      <c r="B948" s="495"/>
      <c r="C948" s="495"/>
      <c r="D948" s="494"/>
      <c r="E948" s="495"/>
      <c r="F948" s="495">
        <v>0</v>
      </c>
      <c r="G948" s="495">
        <v>0</v>
      </c>
      <c r="H948" s="495">
        <v>1</v>
      </c>
      <c r="I948" s="495">
        <v>600.45000000000005</v>
      </c>
      <c r="J948" s="494">
        <v>0.2</v>
      </c>
      <c r="K948" s="495">
        <v>120.09</v>
      </c>
      <c r="L948" s="495">
        <v>28.93</v>
      </c>
      <c r="M948" s="495">
        <v>149.02000000000001</v>
      </c>
    </row>
    <row r="949" spans="1:13" ht="16.149999999999999" customHeight="1" x14ac:dyDescent="0.25">
      <c r="A949" s="488" t="s">
        <v>156</v>
      </c>
      <c r="B949" s="495"/>
      <c r="C949" s="495"/>
      <c r="D949" s="494"/>
      <c r="E949" s="495"/>
      <c r="F949" s="495">
        <v>0</v>
      </c>
      <c r="G949" s="495">
        <v>0</v>
      </c>
      <c r="H949" s="495">
        <v>1</v>
      </c>
      <c r="I949" s="495">
        <v>269.82</v>
      </c>
      <c r="J949" s="494">
        <v>0.2</v>
      </c>
      <c r="K949" s="495">
        <v>53.96</v>
      </c>
      <c r="L949" s="495">
        <v>13</v>
      </c>
      <c r="M949" s="495">
        <v>66.960000000000008</v>
      </c>
    </row>
    <row r="950" spans="1:13" ht="16.149999999999999" customHeight="1" x14ac:dyDescent="0.25">
      <c r="A950" s="488" t="s">
        <v>156</v>
      </c>
      <c r="B950" s="495"/>
      <c r="C950" s="495"/>
      <c r="D950" s="494"/>
      <c r="E950" s="495"/>
      <c r="F950" s="495">
        <v>0</v>
      </c>
      <c r="G950" s="495">
        <v>0</v>
      </c>
      <c r="H950" s="495">
        <v>1</v>
      </c>
      <c r="I950" s="495">
        <v>600.45000000000005</v>
      </c>
      <c r="J950" s="494">
        <v>0.2</v>
      </c>
      <c r="K950" s="495">
        <v>120.09</v>
      </c>
      <c r="L950" s="495">
        <v>28.93</v>
      </c>
      <c r="M950" s="495">
        <v>149.02000000000001</v>
      </c>
    </row>
    <row r="951" spans="1:13" ht="16.149999999999999" customHeight="1" x14ac:dyDescent="0.25">
      <c r="A951" s="488" t="s">
        <v>156</v>
      </c>
      <c r="B951" s="495"/>
      <c r="C951" s="495"/>
      <c r="D951" s="494"/>
      <c r="E951" s="495"/>
      <c r="F951" s="495">
        <v>0</v>
      </c>
      <c r="G951" s="495">
        <v>0</v>
      </c>
      <c r="H951" s="495">
        <v>1</v>
      </c>
      <c r="I951" s="495">
        <v>600.45000000000005</v>
      </c>
      <c r="J951" s="494">
        <v>0.2</v>
      </c>
      <c r="K951" s="495">
        <v>120.09</v>
      </c>
      <c r="L951" s="495">
        <v>28.93</v>
      </c>
      <c r="M951" s="495">
        <v>149.02000000000001</v>
      </c>
    </row>
    <row r="952" spans="1:13" ht="16.149999999999999" customHeight="1" x14ac:dyDescent="0.25">
      <c r="A952" s="488" t="s">
        <v>156</v>
      </c>
      <c r="B952" s="495"/>
      <c r="C952" s="495"/>
      <c r="D952" s="494"/>
      <c r="E952" s="495"/>
      <c r="F952" s="495">
        <v>0</v>
      </c>
      <c r="G952" s="495">
        <v>0</v>
      </c>
      <c r="H952" s="495">
        <v>1</v>
      </c>
      <c r="I952" s="495">
        <v>600.45000000000005</v>
      </c>
      <c r="J952" s="494">
        <v>0.2</v>
      </c>
      <c r="K952" s="495">
        <v>120.09</v>
      </c>
      <c r="L952" s="495">
        <v>28.93</v>
      </c>
      <c r="M952" s="495">
        <v>149.02000000000001</v>
      </c>
    </row>
    <row r="953" spans="1:13" ht="16.149999999999999" customHeight="1" x14ac:dyDescent="0.25">
      <c r="A953" s="488" t="s">
        <v>156</v>
      </c>
      <c r="B953" s="495">
        <v>1</v>
      </c>
      <c r="C953" s="495">
        <v>647.76</v>
      </c>
      <c r="D953" s="494">
        <v>0.5</v>
      </c>
      <c r="E953" s="495">
        <v>323.88</v>
      </c>
      <c r="F953" s="495">
        <v>78.02</v>
      </c>
      <c r="G953" s="495">
        <v>401.9</v>
      </c>
      <c r="H953" s="495">
        <v>1</v>
      </c>
      <c r="I953" s="495">
        <v>794.97</v>
      </c>
      <c r="J953" s="494">
        <v>0.2</v>
      </c>
      <c r="K953" s="495">
        <v>158.99</v>
      </c>
      <c r="L953" s="495">
        <v>38.299999999999997</v>
      </c>
      <c r="M953" s="495">
        <v>197.29000000000002</v>
      </c>
    </row>
    <row r="954" spans="1:13" ht="16.149999999999999" customHeight="1" x14ac:dyDescent="0.25">
      <c r="A954" s="488" t="s">
        <v>156</v>
      </c>
      <c r="B954" s="495">
        <v>1</v>
      </c>
      <c r="C954" s="495">
        <v>647.76</v>
      </c>
      <c r="D954" s="494">
        <v>0.5</v>
      </c>
      <c r="E954" s="495">
        <v>323.88</v>
      </c>
      <c r="F954" s="495">
        <v>78.02</v>
      </c>
      <c r="G954" s="495">
        <v>401.9</v>
      </c>
      <c r="H954" s="495">
        <v>1</v>
      </c>
      <c r="I954" s="495">
        <v>706.64</v>
      </c>
      <c r="J954" s="494">
        <v>0.2</v>
      </c>
      <c r="K954" s="495">
        <v>141.33000000000001</v>
      </c>
      <c r="L954" s="495">
        <v>34.049999999999997</v>
      </c>
      <c r="M954" s="495">
        <v>175.38</v>
      </c>
    </row>
    <row r="955" spans="1:13" ht="16.149999999999999" customHeight="1" x14ac:dyDescent="0.25">
      <c r="A955" s="488" t="s">
        <v>156</v>
      </c>
      <c r="B955" s="495">
        <v>1</v>
      </c>
      <c r="C955" s="495">
        <v>618.32000000000005</v>
      </c>
      <c r="D955" s="494">
        <v>0.5</v>
      </c>
      <c r="E955" s="495">
        <v>309.16000000000003</v>
      </c>
      <c r="F955" s="495">
        <v>74.48</v>
      </c>
      <c r="G955" s="495">
        <v>383.64000000000004</v>
      </c>
      <c r="H955" s="495">
        <v>1</v>
      </c>
      <c r="I955" s="495">
        <v>736.08</v>
      </c>
      <c r="J955" s="494">
        <v>0.2</v>
      </c>
      <c r="K955" s="495">
        <v>147.22</v>
      </c>
      <c r="L955" s="495">
        <v>35.47</v>
      </c>
      <c r="M955" s="495">
        <v>182.69</v>
      </c>
    </row>
    <row r="956" spans="1:13" ht="16.149999999999999" customHeight="1" x14ac:dyDescent="0.25">
      <c r="A956" s="488" t="s">
        <v>156</v>
      </c>
      <c r="B956" s="495">
        <v>1</v>
      </c>
      <c r="C956" s="495">
        <v>647.76</v>
      </c>
      <c r="D956" s="494">
        <v>0.5</v>
      </c>
      <c r="E956" s="495">
        <v>323.88</v>
      </c>
      <c r="F956" s="495">
        <v>78.02</v>
      </c>
      <c r="G956" s="495">
        <v>401.9</v>
      </c>
      <c r="H956" s="495">
        <v>1</v>
      </c>
      <c r="I956" s="495">
        <v>353.32</v>
      </c>
      <c r="J956" s="494">
        <v>0.2</v>
      </c>
      <c r="K956" s="495">
        <v>70.66</v>
      </c>
      <c r="L956" s="495">
        <v>17.02</v>
      </c>
      <c r="M956" s="495">
        <v>87.679999999999993</v>
      </c>
    </row>
    <row r="957" spans="1:13" ht="16.149999999999999" customHeight="1" x14ac:dyDescent="0.25">
      <c r="A957" s="488" t="s">
        <v>156</v>
      </c>
      <c r="B957" s="495">
        <v>1</v>
      </c>
      <c r="C957" s="495">
        <v>647.76</v>
      </c>
      <c r="D957" s="494">
        <v>0.5</v>
      </c>
      <c r="E957" s="495">
        <v>323.88</v>
      </c>
      <c r="F957" s="495">
        <v>78.02</v>
      </c>
      <c r="G957" s="495">
        <v>401.9</v>
      </c>
      <c r="H957" s="495">
        <v>1</v>
      </c>
      <c r="I957" s="495">
        <v>736.08</v>
      </c>
      <c r="J957" s="494">
        <v>0.2</v>
      </c>
      <c r="K957" s="495">
        <v>147.22</v>
      </c>
      <c r="L957" s="495">
        <v>35.47</v>
      </c>
      <c r="M957" s="495">
        <v>182.69</v>
      </c>
    </row>
    <row r="958" spans="1:13" ht="16.149999999999999" customHeight="1" x14ac:dyDescent="0.25">
      <c r="A958" s="488" t="s">
        <v>156</v>
      </c>
      <c r="B958" s="495">
        <v>1</v>
      </c>
      <c r="C958" s="495">
        <v>441.66</v>
      </c>
      <c r="D958" s="494">
        <v>0.5</v>
      </c>
      <c r="E958" s="495">
        <v>220.83</v>
      </c>
      <c r="F958" s="495">
        <v>53.2</v>
      </c>
      <c r="G958" s="495">
        <v>274.03000000000003</v>
      </c>
      <c r="H958" s="495"/>
      <c r="I958" s="495"/>
      <c r="J958" s="494"/>
      <c r="K958" s="495"/>
      <c r="L958" s="495"/>
      <c r="M958" s="495"/>
    </row>
    <row r="959" spans="1:13" ht="16.149999999999999" customHeight="1" x14ac:dyDescent="0.25">
      <c r="A959" s="488" t="s">
        <v>156</v>
      </c>
      <c r="B959" s="495">
        <v>1</v>
      </c>
      <c r="C959" s="495">
        <v>647.76</v>
      </c>
      <c r="D959" s="494">
        <v>0.5</v>
      </c>
      <c r="E959" s="495">
        <v>323.88</v>
      </c>
      <c r="F959" s="495">
        <v>78.02</v>
      </c>
      <c r="G959" s="495">
        <v>401.9</v>
      </c>
      <c r="H959" s="495">
        <v>1</v>
      </c>
      <c r="I959" s="495">
        <v>794.97</v>
      </c>
      <c r="J959" s="494">
        <v>0.2</v>
      </c>
      <c r="K959" s="495">
        <v>158.99</v>
      </c>
      <c r="L959" s="495">
        <v>38.299999999999997</v>
      </c>
      <c r="M959" s="495">
        <v>197.29000000000002</v>
      </c>
    </row>
    <row r="960" spans="1:13" ht="16.149999999999999" customHeight="1" x14ac:dyDescent="0.25">
      <c r="A960" s="488" t="s">
        <v>156</v>
      </c>
      <c r="B960" s="495">
        <v>1</v>
      </c>
      <c r="C960" s="495">
        <v>647.76</v>
      </c>
      <c r="D960" s="494">
        <v>0.5</v>
      </c>
      <c r="E960" s="495">
        <v>323.88</v>
      </c>
      <c r="F960" s="495">
        <v>78.02</v>
      </c>
      <c r="G960" s="495">
        <v>401.9</v>
      </c>
      <c r="H960" s="495">
        <v>1</v>
      </c>
      <c r="I960" s="495">
        <v>677.19</v>
      </c>
      <c r="J960" s="494">
        <v>0.2</v>
      </c>
      <c r="K960" s="495">
        <v>135.44</v>
      </c>
      <c r="L960" s="495">
        <v>32.630000000000003</v>
      </c>
      <c r="M960" s="495">
        <v>168.07</v>
      </c>
    </row>
    <row r="961" spans="1:13" ht="16.149999999999999" customHeight="1" x14ac:dyDescent="0.25">
      <c r="A961" s="488" t="s">
        <v>156</v>
      </c>
      <c r="B961" s="495"/>
      <c r="C961" s="495"/>
      <c r="D961" s="494"/>
      <c r="E961" s="495"/>
      <c r="F961" s="495">
        <v>0</v>
      </c>
      <c r="G961" s="495">
        <v>0</v>
      </c>
      <c r="H961" s="495">
        <v>1</v>
      </c>
      <c r="I961" s="495">
        <v>614.65</v>
      </c>
      <c r="J961" s="494">
        <v>0.2</v>
      </c>
      <c r="K961" s="495">
        <v>122.93</v>
      </c>
      <c r="L961" s="495">
        <v>29.61</v>
      </c>
      <c r="M961" s="495">
        <v>152.54000000000002</v>
      </c>
    </row>
    <row r="962" spans="1:13" ht="16.149999999999999" customHeight="1" x14ac:dyDescent="0.25">
      <c r="A962" s="488" t="s">
        <v>156</v>
      </c>
      <c r="B962" s="495"/>
      <c r="C962" s="495"/>
      <c r="D962" s="494"/>
      <c r="E962" s="495"/>
      <c r="F962" s="495">
        <v>0</v>
      </c>
      <c r="G962" s="495">
        <v>0</v>
      </c>
      <c r="H962" s="495">
        <v>1</v>
      </c>
      <c r="I962" s="495">
        <v>494.06</v>
      </c>
      <c r="J962" s="494">
        <v>0.2</v>
      </c>
      <c r="K962" s="495">
        <v>98.81</v>
      </c>
      <c r="L962" s="495">
        <v>23.8</v>
      </c>
      <c r="M962" s="495">
        <v>122.61</v>
      </c>
    </row>
    <row r="963" spans="1:13" ht="16.149999999999999" customHeight="1" x14ac:dyDescent="0.25">
      <c r="A963" s="488" t="s">
        <v>156</v>
      </c>
      <c r="B963" s="495"/>
      <c r="C963" s="495"/>
      <c r="D963" s="494"/>
      <c r="E963" s="495"/>
      <c r="F963" s="495">
        <v>0</v>
      </c>
      <c r="G963" s="495">
        <v>0</v>
      </c>
      <c r="H963" s="495">
        <v>1</v>
      </c>
      <c r="I963" s="495">
        <v>680.79</v>
      </c>
      <c r="J963" s="494">
        <v>0.2</v>
      </c>
      <c r="K963" s="495">
        <v>136.16</v>
      </c>
      <c r="L963" s="495">
        <v>32.799999999999997</v>
      </c>
      <c r="M963" s="495">
        <v>168.95999999999998</v>
      </c>
    </row>
    <row r="964" spans="1:13" ht="16.149999999999999" customHeight="1" x14ac:dyDescent="0.25">
      <c r="A964" s="488" t="s">
        <v>156</v>
      </c>
      <c r="B964" s="495"/>
      <c r="C964" s="495"/>
      <c r="D964" s="494"/>
      <c r="E964" s="495"/>
      <c r="F964" s="495">
        <v>0</v>
      </c>
      <c r="G964" s="495">
        <v>0</v>
      </c>
      <c r="H964" s="495">
        <v>1</v>
      </c>
      <c r="I964" s="495">
        <v>303.44</v>
      </c>
      <c r="J964" s="494">
        <v>0.2</v>
      </c>
      <c r="K964" s="495">
        <v>60.69</v>
      </c>
      <c r="L964" s="495">
        <v>14.62</v>
      </c>
      <c r="M964" s="495">
        <v>75.31</v>
      </c>
    </row>
    <row r="965" spans="1:13" ht="16.149999999999999" customHeight="1" x14ac:dyDescent="0.25">
      <c r="A965" s="488" t="s">
        <v>156</v>
      </c>
      <c r="B965" s="495"/>
      <c r="C965" s="495"/>
      <c r="D965" s="494"/>
      <c r="E965" s="495"/>
      <c r="F965" s="495">
        <v>0</v>
      </c>
      <c r="G965" s="495">
        <v>0</v>
      </c>
      <c r="H965" s="495">
        <v>0.5</v>
      </c>
      <c r="I965" s="495">
        <v>307.33</v>
      </c>
      <c r="J965" s="494">
        <v>0.2</v>
      </c>
      <c r="K965" s="495">
        <v>61.47</v>
      </c>
      <c r="L965" s="495">
        <v>14.81</v>
      </c>
      <c r="M965" s="495">
        <v>76.28</v>
      </c>
    </row>
    <row r="966" spans="1:13" ht="16.149999999999999" customHeight="1" x14ac:dyDescent="0.25">
      <c r="A966" s="488" t="s">
        <v>156</v>
      </c>
      <c r="B966" s="495"/>
      <c r="C966" s="495"/>
      <c r="D966" s="494"/>
      <c r="E966" s="495"/>
      <c r="F966" s="495">
        <v>0</v>
      </c>
      <c r="G966" s="495">
        <v>0</v>
      </c>
      <c r="H966" s="495">
        <v>1</v>
      </c>
      <c r="I966" s="495">
        <v>614.65</v>
      </c>
      <c r="J966" s="494">
        <v>0.2</v>
      </c>
      <c r="K966" s="495">
        <v>122.93</v>
      </c>
      <c r="L966" s="495">
        <v>29.61</v>
      </c>
      <c r="M966" s="495">
        <v>152.54000000000002</v>
      </c>
    </row>
    <row r="967" spans="1:13" ht="16.149999999999999" customHeight="1" x14ac:dyDescent="0.25">
      <c r="A967" s="488" t="s">
        <v>156</v>
      </c>
      <c r="B967" s="495">
        <v>1</v>
      </c>
      <c r="C967" s="495">
        <v>861.1</v>
      </c>
      <c r="D967" s="494">
        <v>0.3</v>
      </c>
      <c r="E967" s="495">
        <v>258.33</v>
      </c>
      <c r="F967" s="495">
        <v>62.23</v>
      </c>
      <c r="G967" s="495">
        <v>320.56</v>
      </c>
      <c r="H967" s="495">
        <v>1</v>
      </c>
      <c r="I967" s="495">
        <v>831.98</v>
      </c>
      <c r="J967" s="494">
        <v>0.2</v>
      </c>
      <c r="K967" s="495">
        <v>166.4</v>
      </c>
      <c r="L967" s="495">
        <v>40.090000000000003</v>
      </c>
      <c r="M967" s="495">
        <v>206.49</v>
      </c>
    </row>
    <row r="968" spans="1:13" ht="16.149999999999999" customHeight="1" x14ac:dyDescent="0.25">
      <c r="A968" s="488" t="s">
        <v>156</v>
      </c>
      <c r="B968" s="495">
        <v>1</v>
      </c>
      <c r="C968" s="495">
        <v>399.37</v>
      </c>
      <c r="D968" s="494">
        <v>0.3</v>
      </c>
      <c r="E968" s="495">
        <v>119.81</v>
      </c>
      <c r="F968" s="495">
        <v>28.86</v>
      </c>
      <c r="G968" s="495">
        <v>148.67000000000002</v>
      </c>
      <c r="H968" s="495">
        <v>1</v>
      </c>
      <c r="I968" s="495">
        <v>965.1</v>
      </c>
      <c r="J968" s="494">
        <v>0.2</v>
      </c>
      <c r="K968" s="495">
        <v>193.02</v>
      </c>
      <c r="L968" s="495">
        <v>46.5</v>
      </c>
      <c r="M968" s="495">
        <v>239.52</v>
      </c>
    </row>
    <row r="969" spans="1:13" ht="16.149999999999999" customHeight="1" x14ac:dyDescent="0.25">
      <c r="A969" s="488" t="s">
        <v>156</v>
      </c>
      <c r="B969" s="495">
        <v>1</v>
      </c>
      <c r="C969" s="495">
        <v>50.93</v>
      </c>
      <c r="D969" s="494">
        <v>0.3</v>
      </c>
      <c r="E969" s="495">
        <v>15.28</v>
      </c>
      <c r="F969" s="495">
        <v>3.68</v>
      </c>
      <c r="G969" s="495">
        <v>18.96</v>
      </c>
      <c r="H969" s="495"/>
      <c r="I969" s="495"/>
      <c r="J969" s="494"/>
      <c r="K969" s="495"/>
      <c r="L969" s="495"/>
      <c r="M969" s="495"/>
    </row>
    <row r="970" spans="1:13" ht="16.149999999999999" customHeight="1" x14ac:dyDescent="0.25">
      <c r="A970" s="488" t="s">
        <v>156</v>
      </c>
      <c r="B970" s="495">
        <v>1</v>
      </c>
      <c r="C970" s="495">
        <v>831.97</v>
      </c>
      <c r="D970" s="494">
        <v>0.3</v>
      </c>
      <c r="E970" s="495">
        <v>249.59</v>
      </c>
      <c r="F970" s="495">
        <v>60.13</v>
      </c>
      <c r="G970" s="495">
        <v>309.72000000000003</v>
      </c>
      <c r="H970" s="495">
        <v>1</v>
      </c>
      <c r="I970" s="495">
        <v>998.38</v>
      </c>
      <c r="J970" s="494">
        <v>0.2</v>
      </c>
      <c r="K970" s="495">
        <v>199.68</v>
      </c>
      <c r="L970" s="495">
        <v>48.1</v>
      </c>
      <c r="M970" s="495">
        <v>247.78</v>
      </c>
    </row>
    <row r="971" spans="1:13" ht="16.149999999999999" customHeight="1" x14ac:dyDescent="0.25">
      <c r="A971" s="488" t="s">
        <v>156</v>
      </c>
      <c r="B971" s="495">
        <v>0.5</v>
      </c>
      <c r="C971" s="495">
        <v>399.37</v>
      </c>
      <c r="D971" s="494">
        <v>0.3</v>
      </c>
      <c r="E971" s="495">
        <v>119.81</v>
      </c>
      <c r="F971" s="495">
        <v>28.86</v>
      </c>
      <c r="G971" s="495">
        <v>148.67000000000002</v>
      </c>
      <c r="H971" s="495">
        <v>0.5</v>
      </c>
      <c r="I971" s="495">
        <v>232.95</v>
      </c>
      <c r="J971" s="494">
        <v>0.2</v>
      </c>
      <c r="K971" s="495">
        <v>46.59</v>
      </c>
      <c r="L971" s="495">
        <v>11.22</v>
      </c>
      <c r="M971" s="495">
        <v>57.81</v>
      </c>
    </row>
    <row r="972" spans="1:13" ht="16.149999999999999" customHeight="1" x14ac:dyDescent="0.25">
      <c r="A972" s="488" t="s">
        <v>156</v>
      </c>
      <c r="B972" s="495">
        <v>0.5</v>
      </c>
      <c r="C972" s="495">
        <v>99.84</v>
      </c>
      <c r="D972" s="494">
        <v>0.5</v>
      </c>
      <c r="E972" s="495">
        <v>49.92</v>
      </c>
      <c r="F972" s="495">
        <v>12.03</v>
      </c>
      <c r="G972" s="495">
        <v>61.95</v>
      </c>
      <c r="H972" s="495">
        <v>0.5</v>
      </c>
      <c r="I972" s="495">
        <v>831.98</v>
      </c>
      <c r="J972" s="494">
        <v>0.2</v>
      </c>
      <c r="K972" s="495">
        <v>166.4</v>
      </c>
      <c r="L972" s="495">
        <v>40.090000000000003</v>
      </c>
      <c r="M972" s="495">
        <v>206.49</v>
      </c>
    </row>
    <row r="973" spans="1:13" ht="16.149999999999999" customHeight="1" x14ac:dyDescent="0.25">
      <c r="A973" s="488" t="s">
        <v>156</v>
      </c>
      <c r="B973" s="495">
        <v>0.5</v>
      </c>
      <c r="C973" s="495">
        <v>366.07</v>
      </c>
      <c r="D973" s="494">
        <v>0.3</v>
      </c>
      <c r="E973" s="495">
        <v>109.82</v>
      </c>
      <c r="F973" s="495">
        <v>26.46</v>
      </c>
      <c r="G973" s="495">
        <v>136.28</v>
      </c>
      <c r="H973" s="495"/>
      <c r="I973" s="495"/>
      <c r="J973" s="494"/>
      <c r="K973" s="495"/>
      <c r="L973" s="495"/>
      <c r="M973" s="495"/>
    </row>
    <row r="974" spans="1:13" ht="16.149999999999999" customHeight="1" x14ac:dyDescent="0.25">
      <c r="A974" s="488" t="s">
        <v>156</v>
      </c>
      <c r="B974" s="495">
        <v>1</v>
      </c>
      <c r="C974" s="495">
        <v>99.84</v>
      </c>
      <c r="D974" s="494">
        <v>0.5</v>
      </c>
      <c r="E974" s="495">
        <v>49.92</v>
      </c>
      <c r="F974" s="495">
        <v>12.03</v>
      </c>
      <c r="G974" s="495">
        <v>61.95</v>
      </c>
      <c r="H974" s="495">
        <v>1</v>
      </c>
      <c r="I974" s="495">
        <v>532.47</v>
      </c>
      <c r="J974" s="494">
        <v>0.2</v>
      </c>
      <c r="K974" s="495">
        <v>106.49</v>
      </c>
      <c r="L974" s="495">
        <v>25.65</v>
      </c>
      <c r="M974" s="495">
        <v>132.13999999999999</v>
      </c>
    </row>
    <row r="975" spans="1:13" ht="16.149999999999999" customHeight="1" x14ac:dyDescent="0.25">
      <c r="A975" s="488" t="s">
        <v>156</v>
      </c>
      <c r="B975" s="495">
        <v>1</v>
      </c>
      <c r="C975" s="495">
        <v>698.87</v>
      </c>
      <c r="D975" s="494">
        <v>0.3</v>
      </c>
      <c r="E975" s="495">
        <v>209.66</v>
      </c>
      <c r="F975" s="495">
        <v>50.51</v>
      </c>
      <c r="G975" s="495">
        <v>260.17</v>
      </c>
      <c r="H975" s="495"/>
      <c r="I975" s="495"/>
      <c r="J975" s="494"/>
      <c r="K975" s="495"/>
      <c r="L975" s="495"/>
      <c r="M975" s="495"/>
    </row>
    <row r="976" spans="1:13" ht="16.149999999999999" customHeight="1" x14ac:dyDescent="0.25">
      <c r="A976" s="488" t="s">
        <v>156</v>
      </c>
      <c r="B976" s="495"/>
      <c r="C976" s="495"/>
      <c r="D976" s="494"/>
      <c r="E976" s="495"/>
      <c r="F976" s="495">
        <v>0</v>
      </c>
      <c r="G976" s="495">
        <v>0</v>
      </c>
      <c r="H976" s="495">
        <v>1</v>
      </c>
      <c r="I976" s="495">
        <v>299.51</v>
      </c>
      <c r="J976" s="494">
        <v>0.2</v>
      </c>
      <c r="K976" s="495">
        <v>59.9</v>
      </c>
      <c r="L976" s="495">
        <v>14.43</v>
      </c>
      <c r="M976" s="495">
        <v>74.33</v>
      </c>
    </row>
    <row r="977" spans="1:13" ht="16.149999999999999" customHeight="1" x14ac:dyDescent="0.25">
      <c r="A977" s="488" t="s">
        <v>156</v>
      </c>
      <c r="B977" s="495">
        <v>1</v>
      </c>
      <c r="C977" s="495">
        <v>898.53</v>
      </c>
      <c r="D977" s="494">
        <v>0.3</v>
      </c>
      <c r="E977" s="495">
        <v>269.56</v>
      </c>
      <c r="F977" s="495">
        <v>64.94</v>
      </c>
      <c r="G977" s="495">
        <v>334.5</v>
      </c>
      <c r="H977" s="495">
        <v>1</v>
      </c>
      <c r="I977" s="495">
        <v>998.38</v>
      </c>
      <c r="J977" s="494">
        <v>0.2</v>
      </c>
      <c r="K977" s="495">
        <v>199.68</v>
      </c>
      <c r="L977" s="495">
        <v>48.1</v>
      </c>
      <c r="M977" s="495">
        <v>247.78</v>
      </c>
    </row>
    <row r="978" spans="1:13" ht="16.149999999999999" customHeight="1" x14ac:dyDescent="0.25">
      <c r="A978" s="488" t="s">
        <v>156</v>
      </c>
      <c r="B978" s="495">
        <v>0.5</v>
      </c>
      <c r="C978" s="495">
        <v>99.84</v>
      </c>
      <c r="D978" s="494">
        <v>0.5</v>
      </c>
      <c r="E978" s="495">
        <v>49.92</v>
      </c>
      <c r="F978" s="495">
        <v>12.03</v>
      </c>
      <c r="G978" s="495">
        <v>61.95</v>
      </c>
      <c r="H978" s="495">
        <v>0.5</v>
      </c>
      <c r="I978" s="495">
        <v>24.96</v>
      </c>
      <c r="J978" s="494">
        <v>0.2</v>
      </c>
      <c r="K978" s="495">
        <v>4.99</v>
      </c>
      <c r="L978" s="495">
        <v>1.2</v>
      </c>
      <c r="M978" s="495">
        <v>6.19</v>
      </c>
    </row>
    <row r="979" spans="1:13" ht="16.149999999999999" customHeight="1" x14ac:dyDescent="0.25">
      <c r="A979" s="488" t="s">
        <v>156</v>
      </c>
      <c r="B979" s="495">
        <v>0.5</v>
      </c>
      <c r="C979" s="495">
        <v>299.5</v>
      </c>
      <c r="D979" s="494">
        <v>0.3</v>
      </c>
      <c r="E979" s="495">
        <v>89.85</v>
      </c>
      <c r="F979" s="495">
        <v>21.64</v>
      </c>
      <c r="G979" s="495">
        <v>111.49</v>
      </c>
      <c r="H979" s="495"/>
      <c r="I979" s="495"/>
      <c r="J979" s="494"/>
      <c r="K979" s="495"/>
      <c r="L979" s="495"/>
      <c r="M979" s="495"/>
    </row>
    <row r="980" spans="1:13" ht="16.149999999999999" customHeight="1" x14ac:dyDescent="0.25">
      <c r="A980" s="488" t="s">
        <v>156</v>
      </c>
      <c r="B980" s="495">
        <v>1</v>
      </c>
      <c r="C980" s="495">
        <v>798.7</v>
      </c>
      <c r="D980" s="494">
        <v>0.3</v>
      </c>
      <c r="E980" s="495">
        <v>239.61</v>
      </c>
      <c r="F980" s="495">
        <v>57.72</v>
      </c>
      <c r="G980" s="495">
        <v>297.33000000000004</v>
      </c>
      <c r="H980" s="495"/>
      <c r="I980" s="495"/>
      <c r="J980" s="494"/>
      <c r="K980" s="495"/>
      <c r="L980" s="495"/>
      <c r="M980" s="495"/>
    </row>
    <row r="981" spans="1:13" ht="16.149999999999999" customHeight="1" x14ac:dyDescent="0.25">
      <c r="A981" s="488" t="s">
        <v>156</v>
      </c>
      <c r="B981" s="495"/>
      <c r="C981" s="495"/>
      <c r="D981" s="494"/>
      <c r="E981" s="495"/>
      <c r="F981" s="495">
        <v>0</v>
      </c>
      <c r="G981" s="495">
        <v>0</v>
      </c>
      <c r="H981" s="495">
        <v>0.25</v>
      </c>
      <c r="I981" s="495">
        <v>99.84</v>
      </c>
      <c r="J981" s="494">
        <v>0.2</v>
      </c>
      <c r="K981" s="495">
        <v>19.97</v>
      </c>
      <c r="L981" s="495">
        <v>4.8099999999999996</v>
      </c>
      <c r="M981" s="495">
        <v>24.779999999999998</v>
      </c>
    </row>
    <row r="982" spans="1:13" ht="16.149999999999999" customHeight="1" x14ac:dyDescent="0.25">
      <c r="A982" s="488" t="s">
        <v>156</v>
      </c>
      <c r="B982" s="495"/>
      <c r="C982" s="495"/>
      <c r="D982" s="494"/>
      <c r="E982" s="495"/>
      <c r="F982" s="495">
        <v>0</v>
      </c>
      <c r="G982" s="495">
        <v>0</v>
      </c>
      <c r="H982" s="495">
        <v>1</v>
      </c>
      <c r="I982" s="495">
        <v>96.96</v>
      </c>
      <c r="J982" s="494">
        <v>0.2</v>
      </c>
      <c r="K982" s="495">
        <v>19.39</v>
      </c>
      <c r="L982" s="495">
        <v>4.67</v>
      </c>
      <c r="M982" s="495">
        <v>24.060000000000002</v>
      </c>
    </row>
    <row r="983" spans="1:13" ht="16.149999999999999" customHeight="1" x14ac:dyDescent="0.25">
      <c r="A983" s="488" t="s">
        <v>156</v>
      </c>
      <c r="B983" s="495"/>
      <c r="C983" s="495"/>
      <c r="D983" s="494"/>
      <c r="E983" s="495"/>
      <c r="F983" s="495">
        <v>0</v>
      </c>
      <c r="G983" s="495">
        <v>0</v>
      </c>
      <c r="H983" s="495">
        <v>1</v>
      </c>
      <c r="I983" s="495">
        <v>794.97</v>
      </c>
      <c r="J983" s="494">
        <v>0.2</v>
      </c>
      <c r="K983" s="495">
        <v>158.99</v>
      </c>
      <c r="L983" s="495">
        <v>38.299999999999997</v>
      </c>
      <c r="M983" s="495">
        <v>197.29000000000002</v>
      </c>
    </row>
    <row r="984" spans="1:13" ht="16.149999999999999" customHeight="1" x14ac:dyDescent="0.25">
      <c r="A984" s="488" t="s">
        <v>156</v>
      </c>
      <c r="B984" s="495"/>
      <c r="C984" s="495"/>
      <c r="D984" s="494"/>
      <c r="E984" s="495"/>
      <c r="F984" s="495">
        <v>0</v>
      </c>
      <c r="G984" s="495">
        <v>0</v>
      </c>
      <c r="H984" s="495">
        <v>1</v>
      </c>
      <c r="I984" s="495">
        <v>794.97</v>
      </c>
      <c r="J984" s="494">
        <v>0.2</v>
      </c>
      <c r="K984" s="495">
        <v>158.99</v>
      </c>
      <c r="L984" s="495">
        <v>38.299999999999997</v>
      </c>
      <c r="M984" s="495">
        <v>197.29000000000002</v>
      </c>
    </row>
    <row r="985" spans="1:13" ht="16.149999999999999" customHeight="1" x14ac:dyDescent="0.25">
      <c r="A985" s="488" t="s">
        <v>156</v>
      </c>
      <c r="B985" s="495"/>
      <c r="C985" s="495"/>
      <c r="D985" s="494"/>
      <c r="E985" s="495"/>
      <c r="F985" s="495">
        <v>0</v>
      </c>
      <c r="G985" s="495">
        <v>0</v>
      </c>
      <c r="H985" s="495">
        <v>0.46</v>
      </c>
      <c r="I985" s="495">
        <v>346.79</v>
      </c>
      <c r="J985" s="494">
        <v>0.2</v>
      </c>
      <c r="K985" s="495">
        <v>69.36</v>
      </c>
      <c r="L985" s="495">
        <v>16.71</v>
      </c>
      <c r="M985" s="495">
        <v>86.07</v>
      </c>
    </row>
    <row r="986" spans="1:13" ht="16.149999999999999" customHeight="1" x14ac:dyDescent="0.25">
      <c r="A986" s="488" t="s">
        <v>156</v>
      </c>
      <c r="B986" s="495"/>
      <c r="C986" s="495"/>
      <c r="D986" s="494"/>
      <c r="E986" s="495"/>
      <c r="F986" s="495">
        <v>0</v>
      </c>
      <c r="G986" s="495">
        <v>0</v>
      </c>
      <c r="H986" s="495">
        <v>1</v>
      </c>
      <c r="I986" s="495">
        <v>839.13</v>
      </c>
      <c r="J986" s="494">
        <v>0.2</v>
      </c>
      <c r="K986" s="495">
        <v>167.83</v>
      </c>
      <c r="L986" s="495">
        <v>40.43</v>
      </c>
      <c r="M986" s="495">
        <v>208.26000000000002</v>
      </c>
    </row>
    <row r="987" spans="1:13" ht="16.149999999999999" customHeight="1" x14ac:dyDescent="0.25">
      <c r="A987" s="488" t="s">
        <v>156</v>
      </c>
      <c r="B987" s="495"/>
      <c r="C987" s="495"/>
      <c r="D987" s="494"/>
      <c r="E987" s="495"/>
      <c r="F987" s="495">
        <v>0</v>
      </c>
      <c r="G987" s="495">
        <v>0</v>
      </c>
      <c r="H987" s="495">
        <v>1</v>
      </c>
      <c r="I987" s="495">
        <v>618.30999999999995</v>
      </c>
      <c r="J987" s="494">
        <v>0.2</v>
      </c>
      <c r="K987" s="495">
        <v>123.66</v>
      </c>
      <c r="L987" s="495">
        <v>29.79</v>
      </c>
      <c r="M987" s="495">
        <v>153.44999999999999</v>
      </c>
    </row>
    <row r="988" spans="1:13" ht="16.149999999999999" customHeight="1" x14ac:dyDescent="0.25">
      <c r="A988" s="488" t="s">
        <v>156</v>
      </c>
      <c r="B988" s="495"/>
      <c r="C988" s="495"/>
      <c r="D988" s="494"/>
      <c r="E988" s="495"/>
      <c r="F988" s="495">
        <v>0</v>
      </c>
      <c r="G988" s="495">
        <v>0</v>
      </c>
      <c r="H988" s="495">
        <v>1</v>
      </c>
      <c r="I988" s="495">
        <v>706.64</v>
      </c>
      <c r="J988" s="494">
        <v>0.2</v>
      </c>
      <c r="K988" s="495">
        <v>141.33000000000001</v>
      </c>
      <c r="L988" s="495">
        <v>34.049999999999997</v>
      </c>
      <c r="M988" s="495">
        <v>175.38</v>
      </c>
    </row>
    <row r="989" spans="1:13" ht="16.149999999999999" customHeight="1" x14ac:dyDescent="0.25">
      <c r="A989" s="488" t="s">
        <v>156</v>
      </c>
      <c r="B989" s="495"/>
      <c r="C989" s="495"/>
      <c r="D989" s="494"/>
      <c r="E989" s="495"/>
      <c r="F989" s="495">
        <v>0</v>
      </c>
      <c r="G989" s="495">
        <v>0</v>
      </c>
      <c r="H989" s="495">
        <v>1</v>
      </c>
      <c r="I989" s="495">
        <v>618.30999999999995</v>
      </c>
      <c r="J989" s="494">
        <v>0.2</v>
      </c>
      <c r="K989" s="495">
        <v>123.66</v>
      </c>
      <c r="L989" s="495">
        <v>29.79</v>
      </c>
      <c r="M989" s="495">
        <v>153.44999999999999</v>
      </c>
    </row>
    <row r="990" spans="1:13" ht="16.149999999999999" customHeight="1" x14ac:dyDescent="0.25">
      <c r="A990" s="488" t="s">
        <v>156</v>
      </c>
      <c r="B990" s="495"/>
      <c r="C990" s="495"/>
      <c r="D990" s="494"/>
      <c r="E990" s="495"/>
      <c r="F990" s="495">
        <v>0</v>
      </c>
      <c r="G990" s="495">
        <v>0</v>
      </c>
      <c r="H990" s="495">
        <v>1</v>
      </c>
      <c r="I990" s="495">
        <v>618.30999999999995</v>
      </c>
      <c r="J990" s="494">
        <v>0.2</v>
      </c>
      <c r="K990" s="495">
        <v>123.66</v>
      </c>
      <c r="L990" s="495">
        <v>29.79</v>
      </c>
      <c r="M990" s="495">
        <v>153.44999999999999</v>
      </c>
    </row>
    <row r="991" spans="1:13" ht="16.149999999999999" customHeight="1" x14ac:dyDescent="0.25">
      <c r="A991" s="488" t="s">
        <v>156</v>
      </c>
      <c r="B991" s="495">
        <v>0.75</v>
      </c>
      <c r="C991" s="495">
        <v>525.08000000000004</v>
      </c>
      <c r="D991" s="494">
        <v>0.5</v>
      </c>
      <c r="E991" s="495">
        <v>262.54000000000002</v>
      </c>
      <c r="F991" s="495">
        <v>63.25</v>
      </c>
      <c r="G991" s="495">
        <v>325.79000000000002</v>
      </c>
      <c r="H991" s="495">
        <v>0.75</v>
      </c>
      <c r="I991" s="495">
        <v>630.1</v>
      </c>
      <c r="J991" s="494">
        <v>0.2</v>
      </c>
      <c r="K991" s="495">
        <v>126.02</v>
      </c>
      <c r="L991" s="495">
        <v>30.36</v>
      </c>
      <c r="M991" s="495">
        <v>156.38</v>
      </c>
    </row>
    <row r="992" spans="1:13" s="703" customFormat="1" ht="16.149999999999999" customHeight="1" x14ac:dyDescent="0.25">
      <c r="A992" s="488" t="s">
        <v>156</v>
      </c>
      <c r="B992" s="495">
        <v>0.09</v>
      </c>
      <c r="C992" s="495">
        <v>52.52</v>
      </c>
      <c r="D992" s="494">
        <v>0.5</v>
      </c>
      <c r="E992" s="495">
        <v>26.26</v>
      </c>
      <c r="F992" s="495">
        <v>6.33</v>
      </c>
      <c r="G992" s="495">
        <v>32.590000000000003</v>
      </c>
      <c r="H992" s="495"/>
      <c r="I992" s="495"/>
      <c r="J992" s="494"/>
      <c r="K992" s="495"/>
      <c r="L992" s="495"/>
      <c r="M992" s="495"/>
    </row>
    <row r="993" spans="1:13" s="703" customFormat="1" ht="16.149999999999999" customHeight="1" x14ac:dyDescent="0.25">
      <c r="A993" s="488" t="s">
        <v>156</v>
      </c>
      <c r="B993" s="495">
        <v>0.09</v>
      </c>
      <c r="C993" s="495">
        <v>52.52</v>
      </c>
      <c r="D993" s="494">
        <v>0.5</v>
      </c>
      <c r="E993" s="495">
        <v>26.26</v>
      </c>
      <c r="F993" s="495">
        <v>6.33</v>
      </c>
      <c r="G993" s="495">
        <v>32.590000000000003</v>
      </c>
      <c r="H993" s="495"/>
      <c r="I993" s="495"/>
      <c r="J993" s="494"/>
      <c r="K993" s="495"/>
      <c r="L993" s="495"/>
      <c r="M993" s="495"/>
    </row>
    <row r="994" spans="1:13" s="703" customFormat="1" ht="16.149999999999999" customHeight="1" x14ac:dyDescent="0.25">
      <c r="A994" s="488" t="s">
        <v>156</v>
      </c>
      <c r="B994" s="495">
        <v>0.09</v>
      </c>
      <c r="C994" s="495">
        <v>52.52</v>
      </c>
      <c r="D994" s="494">
        <v>0.5</v>
      </c>
      <c r="E994" s="495">
        <v>26.26</v>
      </c>
      <c r="F994" s="495">
        <v>6.33</v>
      </c>
      <c r="G994" s="495">
        <v>32.590000000000003</v>
      </c>
      <c r="H994" s="495"/>
      <c r="I994" s="495"/>
      <c r="J994" s="494"/>
      <c r="K994" s="495"/>
      <c r="L994" s="495"/>
      <c r="M994" s="495"/>
    </row>
    <row r="995" spans="1:13" ht="16.149999999999999" customHeight="1" x14ac:dyDescent="0.25">
      <c r="A995" s="488" t="s">
        <v>156</v>
      </c>
      <c r="B995" s="495"/>
      <c r="C995" s="495"/>
      <c r="D995" s="494"/>
      <c r="E995" s="495"/>
      <c r="F995" s="495">
        <v>0</v>
      </c>
      <c r="G995" s="495">
        <v>0</v>
      </c>
      <c r="H995" s="495">
        <v>1</v>
      </c>
      <c r="I995" s="495">
        <v>691.36</v>
      </c>
      <c r="J995" s="494">
        <v>0.2</v>
      </c>
      <c r="K995" s="495">
        <v>138.27000000000001</v>
      </c>
      <c r="L995" s="495">
        <v>33.31</v>
      </c>
      <c r="M995" s="495">
        <v>171.58</v>
      </c>
    </row>
    <row r="996" spans="1:13" ht="16.149999999999999" customHeight="1" x14ac:dyDescent="0.25">
      <c r="A996" s="488" t="s">
        <v>156</v>
      </c>
      <c r="B996" s="495">
        <v>1</v>
      </c>
      <c r="C996" s="495">
        <v>650</v>
      </c>
      <c r="D996" s="494">
        <v>0.5</v>
      </c>
      <c r="E996" s="495">
        <v>325</v>
      </c>
      <c r="F996" s="495">
        <v>78.290000000000006</v>
      </c>
      <c r="G996" s="495">
        <v>403.29</v>
      </c>
      <c r="H996" s="495">
        <v>1</v>
      </c>
      <c r="I996" s="495">
        <v>390.82</v>
      </c>
      <c r="J996" s="494">
        <v>0.2</v>
      </c>
      <c r="K996" s="495">
        <v>78.16</v>
      </c>
      <c r="L996" s="495">
        <v>18.829999999999998</v>
      </c>
      <c r="M996" s="495">
        <v>96.99</v>
      </c>
    </row>
    <row r="997" spans="1:13" ht="16.149999999999999" customHeight="1" x14ac:dyDescent="0.25">
      <c r="A997" s="488" t="s">
        <v>156</v>
      </c>
      <c r="B997" s="495"/>
      <c r="C997" s="495"/>
      <c r="D997" s="494"/>
      <c r="E997" s="495"/>
      <c r="F997" s="495">
        <v>0</v>
      </c>
      <c r="G997" s="495">
        <v>0</v>
      </c>
      <c r="H997" s="495">
        <v>1</v>
      </c>
      <c r="I997" s="495">
        <v>355.52</v>
      </c>
      <c r="J997" s="494">
        <v>0.2</v>
      </c>
      <c r="K997" s="495">
        <v>71.099999999999994</v>
      </c>
      <c r="L997" s="495">
        <v>17.13</v>
      </c>
      <c r="M997" s="495">
        <v>88.22999999999999</v>
      </c>
    </row>
    <row r="998" spans="1:13" ht="16.149999999999999" customHeight="1" x14ac:dyDescent="0.25">
      <c r="A998" s="488" t="s">
        <v>156</v>
      </c>
      <c r="B998" s="495"/>
      <c r="C998" s="495"/>
      <c r="D998" s="494"/>
      <c r="E998" s="495"/>
      <c r="F998" s="495">
        <v>0</v>
      </c>
      <c r="G998" s="495">
        <v>0</v>
      </c>
      <c r="H998" s="495">
        <v>1</v>
      </c>
      <c r="I998" s="495">
        <v>872.64</v>
      </c>
      <c r="J998" s="494">
        <v>0.2</v>
      </c>
      <c r="K998" s="495">
        <v>174.53</v>
      </c>
      <c r="L998" s="495">
        <v>42.04</v>
      </c>
      <c r="M998" s="495">
        <v>216.57</v>
      </c>
    </row>
    <row r="999" spans="1:13" ht="16.149999999999999" customHeight="1" x14ac:dyDescent="0.25">
      <c r="A999" s="488" t="s">
        <v>156</v>
      </c>
      <c r="B999" s="495"/>
      <c r="C999" s="495"/>
      <c r="D999" s="494"/>
      <c r="E999" s="495"/>
      <c r="F999" s="495">
        <v>0</v>
      </c>
      <c r="G999" s="495">
        <v>0</v>
      </c>
      <c r="H999" s="495">
        <v>0.5</v>
      </c>
      <c r="I999" s="495">
        <v>226.24</v>
      </c>
      <c r="J999" s="494">
        <v>0.2</v>
      </c>
      <c r="K999" s="495">
        <v>45.25</v>
      </c>
      <c r="L999" s="495">
        <v>10.9</v>
      </c>
      <c r="M999" s="495">
        <v>56.15</v>
      </c>
    </row>
    <row r="1000" spans="1:13" ht="16.149999999999999" customHeight="1" x14ac:dyDescent="0.25">
      <c r="A1000" s="488" t="s">
        <v>156</v>
      </c>
      <c r="B1000" s="495"/>
      <c r="C1000" s="495"/>
      <c r="D1000" s="494"/>
      <c r="E1000" s="495"/>
      <c r="F1000" s="495">
        <v>0</v>
      </c>
      <c r="G1000" s="495">
        <v>0</v>
      </c>
      <c r="H1000" s="495">
        <v>0.5</v>
      </c>
      <c r="I1000" s="495">
        <v>646.4</v>
      </c>
      <c r="J1000" s="494">
        <v>0.2</v>
      </c>
      <c r="K1000" s="495">
        <v>129.28</v>
      </c>
      <c r="L1000" s="495">
        <v>31.14</v>
      </c>
      <c r="M1000" s="495">
        <v>160.42000000000002</v>
      </c>
    </row>
    <row r="1001" spans="1:13" ht="16.149999999999999" customHeight="1" x14ac:dyDescent="0.25">
      <c r="A1001" s="488" t="s">
        <v>156</v>
      </c>
      <c r="B1001" s="495"/>
      <c r="C1001" s="495"/>
      <c r="D1001" s="494"/>
      <c r="E1001" s="495"/>
      <c r="F1001" s="495">
        <v>0</v>
      </c>
      <c r="G1001" s="495">
        <v>0</v>
      </c>
      <c r="H1001" s="495">
        <v>0.5</v>
      </c>
      <c r="I1001" s="495">
        <v>290.88</v>
      </c>
      <c r="J1001" s="494">
        <v>0.2</v>
      </c>
      <c r="K1001" s="495">
        <v>58.18</v>
      </c>
      <c r="L1001" s="495">
        <v>14.02</v>
      </c>
      <c r="M1001" s="495">
        <v>72.2</v>
      </c>
    </row>
    <row r="1002" spans="1:13" ht="16.149999999999999" customHeight="1" x14ac:dyDescent="0.25">
      <c r="A1002" s="488" t="s">
        <v>156</v>
      </c>
      <c r="B1002" s="495"/>
      <c r="C1002" s="495"/>
      <c r="D1002" s="494"/>
      <c r="E1002" s="495"/>
      <c r="F1002" s="495">
        <v>0</v>
      </c>
      <c r="G1002" s="495">
        <v>0</v>
      </c>
      <c r="H1002" s="495">
        <v>1</v>
      </c>
      <c r="I1002" s="495">
        <v>904.96</v>
      </c>
      <c r="J1002" s="494">
        <v>0.2</v>
      </c>
      <c r="K1002" s="495">
        <v>180.99</v>
      </c>
      <c r="L1002" s="495">
        <v>43.6</v>
      </c>
      <c r="M1002" s="495">
        <v>224.59</v>
      </c>
    </row>
    <row r="1003" spans="1:13" ht="16.149999999999999" customHeight="1" x14ac:dyDescent="0.25">
      <c r="A1003" s="488" t="s">
        <v>156</v>
      </c>
      <c r="B1003" s="495"/>
      <c r="C1003" s="495"/>
      <c r="D1003" s="494"/>
      <c r="E1003" s="495"/>
      <c r="F1003" s="495">
        <v>0</v>
      </c>
      <c r="G1003" s="495">
        <v>0</v>
      </c>
      <c r="H1003" s="495">
        <v>1</v>
      </c>
      <c r="I1003" s="495">
        <v>678.72</v>
      </c>
      <c r="J1003" s="494">
        <v>0.2</v>
      </c>
      <c r="K1003" s="495">
        <v>135.74</v>
      </c>
      <c r="L1003" s="495">
        <v>32.700000000000003</v>
      </c>
      <c r="M1003" s="495">
        <v>168.44</v>
      </c>
    </row>
    <row r="1004" spans="1:13" ht="16.149999999999999" customHeight="1" x14ac:dyDescent="0.25">
      <c r="A1004" s="488" t="s">
        <v>156</v>
      </c>
      <c r="B1004" s="495"/>
      <c r="C1004" s="495"/>
      <c r="D1004" s="494"/>
      <c r="E1004" s="495"/>
      <c r="F1004" s="495">
        <v>0</v>
      </c>
      <c r="G1004" s="495">
        <v>0</v>
      </c>
      <c r="H1004" s="495">
        <v>1</v>
      </c>
      <c r="I1004" s="495">
        <v>387.84</v>
      </c>
      <c r="J1004" s="494">
        <v>0.2</v>
      </c>
      <c r="K1004" s="495">
        <v>77.569999999999993</v>
      </c>
      <c r="L1004" s="495">
        <v>18.690000000000001</v>
      </c>
      <c r="M1004" s="495">
        <v>96.259999999999991</v>
      </c>
    </row>
    <row r="1005" spans="1:13" ht="16.149999999999999" customHeight="1" x14ac:dyDescent="0.25">
      <c r="A1005" s="488" t="s">
        <v>156</v>
      </c>
      <c r="B1005" s="495"/>
      <c r="C1005" s="495"/>
      <c r="D1005" s="494"/>
      <c r="E1005" s="495"/>
      <c r="F1005" s="495">
        <v>0</v>
      </c>
      <c r="G1005" s="495">
        <v>0</v>
      </c>
      <c r="H1005" s="495">
        <v>0.5</v>
      </c>
      <c r="I1005" s="495">
        <v>387.84</v>
      </c>
      <c r="J1005" s="494">
        <v>0.2</v>
      </c>
      <c r="K1005" s="495">
        <v>77.569999999999993</v>
      </c>
      <c r="L1005" s="495">
        <v>18.690000000000001</v>
      </c>
      <c r="M1005" s="495">
        <v>96.259999999999991</v>
      </c>
    </row>
    <row r="1006" spans="1:13" ht="16.149999999999999" customHeight="1" x14ac:dyDescent="0.25">
      <c r="A1006" s="488" t="s">
        <v>156</v>
      </c>
      <c r="B1006" s="495"/>
      <c r="C1006" s="495"/>
      <c r="D1006" s="494"/>
      <c r="E1006" s="495"/>
      <c r="F1006" s="495">
        <v>0</v>
      </c>
      <c r="G1006" s="495">
        <v>0</v>
      </c>
      <c r="H1006" s="495">
        <v>1</v>
      </c>
      <c r="I1006" s="495">
        <v>775.68</v>
      </c>
      <c r="J1006" s="494">
        <v>0.2</v>
      </c>
      <c r="K1006" s="495">
        <v>155.13999999999999</v>
      </c>
      <c r="L1006" s="495">
        <v>37.369999999999997</v>
      </c>
      <c r="M1006" s="495">
        <v>192.51</v>
      </c>
    </row>
    <row r="1007" spans="1:13" ht="16.149999999999999" customHeight="1" x14ac:dyDescent="0.25">
      <c r="A1007" s="488" t="s">
        <v>156</v>
      </c>
      <c r="B1007" s="495"/>
      <c r="C1007" s="495"/>
      <c r="D1007" s="494"/>
      <c r="E1007" s="495"/>
      <c r="F1007" s="495">
        <v>0</v>
      </c>
      <c r="G1007" s="495">
        <v>0</v>
      </c>
      <c r="H1007" s="495">
        <v>1</v>
      </c>
      <c r="I1007" s="495">
        <v>484.8</v>
      </c>
      <c r="J1007" s="494">
        <v>0.2</v>
      </c>
      <c r="K1007" s="495">
        <v>96.96</v>
      </c>
      <c r="L1007" s="495">
        <v>23.36</v>
      </c>
      <c r="M1007" s="495">
        <v>120.32</v>
      </c>
    </row>
    <row r="1008" spans="1:13" ht="16.149999999999999" customHeight="1" x14ac:dyDescent="0.25">
      <c r="A1008" s="488" t="s">
        <v>156</v>
      </c>
      <c r="B1008" s="495"/>
      <c r="C1008" s="495"/>
      <c r="D1008" s="494"/>
      <c r="E1008" s="495"/>
      <c r="F1008" s="495">
        <v>0</v>
      </c>
      <c r="G1008" s="495">
        <v>0</v>
      </c>
      <c r="H1008" s="495">
        <v>1</v>
      </c>
      <c r="I1008" s="495">
        <v>937.28</v>
      </c>
      <c r="J1008" s="494">
        <v>0.2</v>
      </c>
      <c r="K1008" s="495">
        <v>187.46</v>
      </c>
      <c r="L1008" s="495">
        <v>45.16</v>
      </c>
      <c r="M1008" s="495">
        <v>232.62</v>
      </c>
    </row>
    <row r="1009" spans="1:13" ht="16.149999999999999" customHeight="1" x14ac:dyDescent="0.25">
      <c r="A1009" s="488" t="s">
        <v>156</v>
      </c>
      <c r="B1009" s="495"/>
      <c r="C1009" s="495"/>
      <c r="D1009" s="494"/>
      <c r="E1009" s="495"/>
      <c r="F1009" s="495">
        <v>0</v>
      </c>
      <c r="G1009" s="495">
        <v>0</v>
      </c>
      <c r="H1009" s="495">
        <v>1</v>
      </c>
      <c r="I1009" s="495">
        <v>969.6</v>
      </c>
      <c r="J1009" s="494">
        <v>0.2</v>
      </c>
      <c r="K1009" s="495">
        <v>193.92</v>
      </c>
      <c r="L1009" s="495">
        <v>46.72</v>
      </c>
      <c r="M1009" s="495">
        <v>240.64</v>
      </c>
    </row>
    <row r="1010" spans="1:13" ht="16.149999999999999" customHeight="1" x14ac:dyDescent="0.25">
      <c r="A1010" s="488" t="s">
        <v>156</v>
      </c>
      <c r="B1010" s="495"/>
      <c r="C1010" s="495"/>
      <c r="D1010" s="494"/>
      <c r="E1010" s="495"/>
      <c r="F1010" s="495">
        <v>0</v>
      </c>
      <c r="G1010" s="495">
        <v>0</v>
      </c>
      <c r="H1010" s="495">
        <v>0.5</v>
      </c>
      <c r="I1010" s="495">
        <v>868.6</v>
      </c>
      <c r="J1010" s="494">
        <v>0.2</v>
      </c>
      <c r="K1010" s="495">
        <v>173.72</v>
      </c>
      <c r="L1010" s="495">
        <v>41.85</v>
      </c>
      <c r="M1010" s="495">
        <v>215.57</v>
      </c>
    </row>
    <row r="1011" spans="1:13" ht="16.149999999999999" customHeight="1" x14ac:dyDescent="0.25">
      <c r="A1011" s="488" t="s">
        <v>156</v>
      </c>
      <c r="B1011" s="495"/>
      <c r="C1011" s="495"/>
      <c r="D1011" s="494"/>
      <c r="E1011" s="495"/>
      <c r="F1011" s="495">
        <v>0</v>
      </c>
      <c r="G1011" s="495">
        <v>0</v>
      </c>
      <c r="H1011" s="495">
        <v>1</v>
      </c>
      <c r="I1011" s="495">
        <v>711.04</v>
      </c>
      <c r="J1011" s="494">
        <v>0.2</v>
      </c>
      <c r="K1011" s="495">
        <v>142.21</v>
      </c>
      <c r="L1011" s="495">
        <v>34.26</v>
      </c>
      <c r="M1011" s="495">
        <v>176.47</v>
      </c>
    </row>
    <row r="1012" spans="1:13" ht="16.149999999999999" customHeight="1" x14ac:dyDescent="0.25">
      <c r="A1012" s="488" t="s">
        <v>156</v>
      </c>
      <c r="B1012" s="495"/>
      <c r="C1012" s="495"/>
      <c r="D1012" s="494"/>
      <c r="E1012" s="495"/>
      <c r="F1012" s="495">
        <v>0</v>
      </c>
      <c r="G1012" s="495">
        <v>0</v>
      </c>
      <c r="H1012" s="495">
        <v>1</v>
      </c>
      <c r="I1012" s="495">
        <v>904.96</v>
      </c>
      <c r="J1012" s="494">
        <v>0.2</v>
      </c>
      <c r="K1012" s="495">
        <v>180.99</v>
      </c>
      <c r="L1012" s="495">
        <v>43.6</v>
      </c>
      <c r="M1012" s="495">
        <v>224.59</v>
      </c>
    </row>
    <row r="1013" spans="1:13" s="483" customFormat="1" ht="31.15" customHeight="1" x14ac:dyDescent="0.2">
      <c r="A1013" s="499" t="s">
        <v>11</v>
      </c>
      <c r="B1013" s="490">
        <f>SUM(B1014:B1347)</f>
        <v>148.91</v>
      </c>
      <c r="C1013" s="490">
        <f>SUM(C1014:C1347)</f>
        <v>98043.360000000059</v>
      </c>
      <c r="D1013" s="704"/>
      <c r="E1013" s="490">
        <f>SUM(E1014:E1347)</f>
        <v>34030.530000000013</v>
      </c>
      <c r="F1013" s="490">
        <f t="shared" ref="F1013:K1013" si="2">SUM(F1014:F1347)</f>
        <v>8197.9500000000007</v>
      </c>
      <c r="G1013" s="490">
        <f t="shared" si="2"/>
        <v>42228.479999999938</v>
      </c>
      <c r="H1013" s="490">
        <f t="shared" si="2"/>
        <v>250.62</v>
      </c>
      <c r="I1013" s="490">
        <f t="shared" si="2"/>
        <v>181467.44999999972</v>
      </c>
      <c r="J1013" s="704"/>
      <c r="K1013" s="490">
        <f t="shared" si="2"/>
        <v>36293.510000000009</v>
      </c>
      <c r="L1013" s="490">
        <f>SUM(L1014:L1347)</f>
        <v>8743.1500000000069</v>
      </c>
      <c r="M1013" s="490">
        <f>SUM(M1014:M1347)</f>
        <v>45036.659999999967</v>
      </c>
    </row>
    <row r="1014" spans="1:13" ht="17.25" customHeight="1" x14ac:dyDescent="0.25">
      <c r="A1014" s="488" t="s">
        <v>869</v>
      </c>
      <c r="B1014" s="495"/>
      <c r="C1014" s="495"/>
      <c r="D1014" s="494"/>
      <c r="E1014" s="495"/>
      <c r="F1014" s="495">
        <v>0</v>
      </c>
      <c r="G1014" s="495">
        <v>0</v>
      </c>
      <c r="H1014" s="495">
        <v>1</v>
      </c>
      <c r="I1014" s="495">
        <v>2000</v>
      </c>
      <c r="J1014" s="494">
        <v>0.2</v>
      </c>
      <c r="K1014" s="495">
        <v>400</v>
      </c>
      <c r="L1014" s="495">
        <v>96.36</v>
      </c>
      <c r="M1014" s="495">
        <v>496.36</v>
      </c>
    </row>
    <row r="1015" spans="1:13" ht="17.25" customHeight="1" x14ac:dyDescent="0.25">
      <c r="A1015" s="488" t="s">
        <v>601</v>
      </c>
      <c r="B1015" s="495"/>
      <c r="C1015" s="495"/>
      <c r="D1015" s="494"/>
      <c r="E1015" s="495"/>
      <c r="F1015" s="495">
        <v>0</v>
      </c>
      <c r="G1015" s="495">
        <v>0</v>
      </c>
      <c r="H1015" s="495">
        <v>1</v>
      </c>
      <c r="I1015" s="495">
        <v>276.45</v>
      </c>
      <c r="J1015" s="494">
        <v>0.2</v>
      </c>
      <c r="K1015" s="495">
        <v>55.29</v>
      </c>
      <c r="L1015" s="495">
        <v>13.32</v>
      </c>
      <c r="M1015" s="495">
        <v>68.61</v>
      </c>
    </row>
    <row r="1016" spans="1:13" ht="17.25" customHeight="1" x14ac:dyDescent="0.25">
      <c r="A1016" s="488" t="s">
        <v>601</v>
      </c>
      <c r="B1016" s="495"/>
      <c r="C1016" s="495"/>
      <c r="D1016" s="494"/>
      <c r="E1016" s="495"/>
      <c r="F1016" s="495">
        <v>0</v>
      </c>
      <c r="G1016" s="495">
        <v>0</v>
      </c>
      <c r="H1016" s="495">
        <v>1</v>
      </c>
      <c r="I1016" s="495">
        <v>428.05</v>
      </c>
      <c r="J1016" s="494">
        <v>0.2</v>
      </c>
      <c r="K1016" s="495">
        <v>85.61</v>
      </c>
      <c r="L1016" s="495">
        <v>20.62</v>
      </c>
      <c r="M1016" s="495">
        <v>106.23</v>
      </c>
    </row>
    <row r="1017" spans="1:13" ht="17.25" customHeight="1" x14ac:dyDescent="0.25">
      <c r="A1017" s="488" t="s">
        <v>601</v>
      </c>
      <c r="B1017" s="495"/>
      <c r="C1017" s="495"/>
      <c r="D1017" s="494"/>
      <c r="E1017" s="495"/>
      <c r="F1017" s="495">
        <v>0</v>
      </c>
      <c r="G1017" s="495">
        <v>0</v>
      </c>
      <c r="H1017" s="495">
        <v>1</v>
      </c>
      <c r="I1017" s="495">
        <v>1733</v>
      </c>
      <c r="J1017" s="494">
        <v>0.2</v>
      </c>
      <c r="K1017" s="495">
        <v>346.6</v>
      </c>
      <c r="L1017" s="495">
        <v>83.5</v>
      </c>
      <c r="M1017" s="495">
        <v>430.1</v>
      </c>
    </row>
    <row r="1018" spans="1:13" ht="17.25" customHeight="1" x14ac:dyDescent="0.25">
      <c r="A1018" s="488" t="s">
        <v>601</v>
      </c>
      <c r="B1018" s="495">
        <v>1</v>
      </c>
      <c r="C1018" s="495">
        <v>1320</v>
      </c>
      <c r="D1018" s="494">
        <v>0.3</v>
      </c>
      <c r="E1018" s="495">
        <v>396</v>
      </c>
      <c r="F1018" s="495">
        <v>95.4</v>
      </c>
      <c r="G1018" s="495">
        <v>491.4</v>
      </c>
      <c r="H1018" s="495">
        <v>1</v>
      </c>
      <c r="I1018" s="495">
        <v>1320</v>
      </c>
      <c r="J1018" s="494">
        <v>0.2</v>
      </c>
      <c r="K1018" s="495">
        <v>264</v>
      </c>
      <c r="L1018" s="495">
        <v>63.6</v>
      </c>
      <c r="M1018" s="495">
        <v>327.60000000000002</v>
      </c>
    </row>
    <row r="1019" spans="1:13" ht="17.25" customHeight="1" x14ac:dyDescent="0.25">
      <c r="A1019" s="488" t="s">
        <v>601</v>
      </c>
      <c r="B1019" s="495"/>
      <c r="C1019" s="495"/>
      <c r="D1019" s="494"/>
      <c r="E1019" s="495"/>
      <c r="F1019" s="495">
        <v>0</v>
      </c>
      <c r="G1019" s="495">
        <v>0</v>
      </c>
      <c r="H1019" s="495">
        <v>1</v>
      </c>
      <c r="I1019" s="495">
        <v>1513</v>
      </c>
      <c r="J1019" s="494">
        <v>0.2</v>
      </c>
      <c r="K1019" s="495">
        <v>302.60000000000002</v>
      </c>
      <c r="L1019" s="495">
        <v>72.900000000000006</v>
      </c>
      <c r="M1019" s="495">
        <v>375.5</v>
      </c>
    </row>
    <row r="1020" spans="1:13" ht="17.25" customHeight="1" x14ac:dyDescent="0.25">
      <c r="A1020" s="488" t="s">
        <v>601</v>
      </c>
      <c r="B1020" s="495"/>
      <c r="C1020" s="495"/>
      <c r="D1020" s="494"/>
      <c r="E1020" s="495"/>
      <c r="F1020" s="495">
        <v>0</v>
      </c>
      <c r="G1020" s="495">
        <v>0</v>
      </c>
      <c r="H1020" s="495">
        <v>1</v>
      </c>
      <c r="I1020" s="495">
        <v>1374</v>
      </c>
      <c r="J1020" s="494">
        <v>0.2</v>
      </c>
      <c r="K1020" s="495">
        <v>274.8</v>
      </c>
      <c r="L1020" s="495">
        <v>66.2</v>
      </c>
      <c r="M1020" s="495">
        <v>341</v>
      </c>
    </row>
    <row r="1021" spans="1:13" ht="17.25" customHeight="1" x14ac:dyDescent="0.25">
      <c r="A1021" s="488" t="s">
        <v>870</v>
      </c>
      <c r="B1021" s="495"/>
      <c r="C1021" s="495"/>
      <c r="D1021" s="494"/>
      <c r="E1021" s="495"/>
      <c r="F1021" s="495">
        <v>0</v>
      </c>
      <c r="G1021" s="495">
        <v>0</v>
      </c>
      <c r="H1021" s="495">
        <v>0.25</v>
      </c>
      <c r="I1021" s="495">
        <v>159.11000000000001</v>
      </c>
      <c r="J1021" s="494">
        <v>0.2</v>
      </c>
      <c r="K1021" s="495">
        <v>31.82</v>
      </c>
      <c r="L1021" s="495">
        <v>7.67</v>
      </c>
      <c r="M1021" s="495">
        <v>39.49</v>
      </c>
    </row>
    <row r="1022" spans="1:13" ht="17.25" customHeight="1" x14ac:dyDescent="0.25">
      <c r="A1022" s="488" t="s">
        <v>870</v>
      </c>
      <c r="B1022" s="495"/>
      <c r="C1022" s="495"/>
      <c r="D1022" s="494"/>
      <c r="E1022" s="495"/>
      <c r="F1022" s="495">
        <v>0</v>
      </c>
      <c r="G1022" s="495">
        <v>0</v>
      </c>
      <c r="H1022" s="495">
        <v>0.5</v>
      </c>
      <c r="I1022" s="495">
        <v>390.73</v>
      </c>
      <c r="J1022" s="494">
        <v>0.2</v>
      </c>
      <c r="K1022" s="495">
        <v>78.150000000000006</v>
      </c>
      <c r="L1022" s="495">
        <v>18.829999999999998</v>
      </c>
      <c r="M1022" s="495">
        <v>96.98</v>
      </c>
    </row>
    <row r="1023" spans="1:13" ht="17.25" customHeight="1" x14ac:dyDescent="0.25">
      <c r="A1023" s="488" t="s">
        <v>870</v>
      </c>
      <c r="B1023" s="495"/>
      <c r="C1023" s="495"/>
      <c r="D1023" s="494"/>
      <c r="E1023" s="495"/>
      <c r="F1023" s="495">
        <v>0</v>
      </c>
      <c r="G1023" s="495">
        <v>0</v>
      </c>
      <c r="H1023" s="495">
        <v>0.5</v>
      </c>
      <c r="I1023" s="495">
        <v>292.04000000000002</v>
      </c>
      <c r="J1023" s="494">
        <v>0.2</v>
      </c>
      <c r="K1023" s="495">
        <v>58.41</v>
      </c>
      <c r="L1023" s="495">
        <v>14.07</v>
      </c>
      <c r="M1023" s="495">
        <v>72.47999999999999</v>
      </c>
    </row>
    <row r="1024" spans="1:13" ht="17.25" customHeight="1" x14ac:dyDescent="0.25">
      <c r="A1024" s="488" t="s">
        <v>871</v>
      </c>
      <c r="B1024" s="495">
        <v>1</v>
      </c>
      <c r="C1024" s="495">
        <v>624.77</v>
      </c>
      <c r="D1024" s="494">
        <v>0.3</v>
      </c>
      <c r="E1024" s="495">
        <v>187.43</v>
      </c>
      <c r="F1024" s="495">
        <v>45.15</v>
      </c>
      <c r="G1024" s="495">
        <v>232.58</v>
      </c>
      <c r="H1024" s="495">
        <v>1</v>
      </c>
      <c r="I1024" s="495">
        <v>558.63</v>
      </c>
      <c r="J1024" s="494">
        <v>0.2</v>
      </c>
      <c r="K1024" s="495">
        <v>111.73</v>
      </c>
      <c r="L1024" s="495">
        <v>26.92</v>
      </c>
      <c r="M1024" s="495">
        <v>138.65</v>
      </c>
    </row>
    <row r="1025" spans="1:13" ht="17.25" customHeight="1" x14ac:dyDescent="0.25">
      <c r="A1025" s="488" t="s">
        <v>872</v>
      </c>
      <c r="B1025" s="495"/>
      <c r="C1025" s="495"/>
      <c r="D1025" s="494"/>
      <c r="E1025" s="495"/>
      <c r="F1025" s="495">
        <v>0</v>
      </c>
      <c r="G1025" s="495">
        <v>0</v>
      </c>
      <c r="H1025" s="495">
        <v>1</v>
      </c>
      <c r="I1025" s="495">
        <v>1298</v>
      </c>
      <c r="J1025" s="494">
        <v>0.2</v>
      </c>
      <c r="K1025" s="495">
        <v>259.60000000000002</v>
      </c>
      <c r="L1025" s="495">
        <v>62.54</v>
      </c>
      <c r="M1025" s="495">
        <v>322.14000000000004</v>
      </c>
    </row>
    <row r="1026" spans="1:13" ht="17.25" customHeight="1" x14ac:dyDescent="0.25">
      <c r="A1026" s="488" t="s">
        <v>87</v>
      </c>
      <c r="B1026" s="495">
        <v>1</v>
      </c>
      <c r="C1026" s="495">
        <v>780</v>
      </c>
      <c r="D1026" s="494">
        <v>0.5</v>
      </c>
      <c r="E1026" s="495">
        <v>390</v>
      </c>
      <c r="F1026" s="495">
        <v>93.95</v>
      </c>
      <c r="G1026" s="495">
        <v>483.95</v>
      </c>
      <c r="H1026" s="495">
        <v>1</v>
      </c>
      <c r="I1026" s="495">
        <v>780</v>
      </c>
      <c r="J1026" s="494">
        <v>0.2</v>
      </c>
      <c r="K1026" s="495">
        <v>156</v>
      </c>
      <c r="L1026" s="495">
        <v>37.58</v>
      </c>
      <c r="M1026" s="495">
        <v>193.57999999999998</v>
      </c>
    </row>
    <row r="1027" spans="1:13" ht="24.6" customHeight="1" x14ac:dyDescent="0.25">
      <c r="A1027" s="488" t="s">
        <v>797</v>
      </c>
      <c r="B1027" s="495">
        <v>1</v>
      </c>
      <c r="C1027" s="495">
        <v>555.33000000000004</v>
      </c>
      <c r="D1027" s="494">
        <v>0.3</v>
      </c>
      <c r="E1027" s="495">
        <v>166.6</v>
      </c>
      <c r="F1027" s="495">
        <v>40.130000000000003</v>
      </c>
      <c r="G1027" s="495">
        <v>206.73</v>
      </c>
      <c r="H1027" s="495">
        <v>1</v>
      </c>
      <c r="I1027" s="495">
        <v>643</v>
      </c>
      <c r="J1027" s="494">
        <v>0.2</v>
      </c>
      <c r="K1027" s="495">
        <v>128.6</v>
      </c>
      <c r="L1027" s="495">
        <v>30.98</v>
      </c>
      <c r="M1027" s="495">
        <v>159.57999999999998</v>
      </c>
    </row>
    <row r="1028" spans="1:13" ht="29.45" customHeight="1" x14ac:dyDescent="0.25">
      <c r="A1028" s="488" t="s">
        <v>797</v>
      </c>
      <c r="B1028" s="495">
        <v>0.75</v>
      </c>
      <c r="C1028" s="495">
        <v>524.16999999999996</v>
      </c>
      <c r="D1028" s="494">
        <v>0.3</v>
      </c>
      <c r="E1028" s="495">
        <v>157.25</v>
      </c>
      <c r="F1028" s="495">
        <v>37.880000000000003</v>
      </c>
      <c r="G1028" s="495">
        <v>195.13</v>
      </c>
      <c r="H1028" s="495">
        <v>0.75</v>
      </c>
      <c r="I1028" s="495">
        <v>493.34</v>
      </c>
      <c r="J1028" s="494">
        <v>0.2</v>
      </c>
      <c r="K1028" s="495">
        <v>98.67</v>
      </c>
      <c r="L1028" s="495">
        <v>23.77</v>
      </c>
      <c r="M1028" s="495">
        <v>122.44</v>
      </c>
    </row>
    <row r="1029" spans="1:13" ht="23.45" customHeight="1" x14ac:dyDescent="0.25">
      <c r="A1029" s="488" t="s">
        <v>797</v>
      </c>
      <c r="B1029" s="495">
        <v>0.5</v>
      </c>
      <c r="C1029" s="495">
        <v>400.83</v>
      </c>
      <c r="D1029" s="494">
        <v>0.3</v>
      </c>
      <c r="E1029" s="495">
        <v>120.25</v>
      </c>
      <c r="F1029" s="495">
        <v>28.97</v>
      </c>
      <c r="G1029" s="495">
        <v>149.22</v>
      </c>
      <c r="H1029" s="495">
        <v>0.5</v>
      </c>
      <c r="I1029" s="495">
        <v>508.75</v>
      </c>
      <c r="J1029" s="494">
        <v>0.2</v>
      </c>
      <c r="K1029" s="495">
        <v>101.75</v>
      </c>
      <c r="L1029" s="495">
        <v>24.51</v>
      </c>
      <c r="M1029" s="495">
        <v>126.26</v>
      </c>
    </row>
    <row r="1030" spans="1:13" ht="22.9" customHeight="1" x14ac:dyDescent="0.25">
      <c r="A1030" s="488" t="s">
        <v>797</v>
      </c>
      <c r="B1030" s="495">
        <v>0.25</v>
      </c>
      <c r="C1030" s="495">
        <v>200.43</v>
      </c>
      <c r="D1030" s="494">
        <v>0.3</v>
      </c>
      <c r="E1030" s="495">
        <v>60.13</v>
      </c>
      <c r="F1030" s="495">
        <v>14.49</v>
      </c>
      <c r="G1030" s="495">
        <v>74.62</v>
      </c>
      <c r="H1030" s="495">
        <v>0.25</v>
      </c>
      <c r="I1030" s="495">
        <v>215.84</v>
      </c>
      <c r="J1030" s="494">
        <v>0.2</v>
      </c>
      <c r="K1030" s="495">
        <v>43.17</v>
      </c>
      <c r="L1030" s="495">
        <v>10.4</v>
      </c>
      <c r="M1030" s="495">
        <v>53.57</v>
      </c>
    </row>
    <row r="1031" spans="1:13" ht="17.25" customHeight="1" x14ac:dyDescent="0.25">
      <c r="A1031" s="488" t="s">
        <v>797</v>
      </c>
      <c r="B1031" s="495">
        <v>0.5</v>
      </c>
      <c r="C1031" s="495">
        <v>181.17</v>
      </c>
      <c r="D1031" s="494">
        <v>0.3</v>
      </c>
      <c r="E1031" s="495">
        <v>54.35</v>
      </c>
      <c r="F1031" s="495">
        <v>13.09</v>
      </c>
      <c r="G1031" s="495">
        <v>67.44</v>
      </c>
      <c r="H1031" s="495">
        <v>0.5</v>
      </c>
      <c r="I1031" s="495">
        <v>185</v>
      </c>
      <c r="J1031" s="494">
        <v>0.2</v>
      </c>
      <c r="K1031" s="495">
        <v>37</v>
      </c>
      <c r="L1031" s="495">
        <v>8.91</v>
      </c>
      <c r="M1031" s="495">
        <v>45.91</v>
      </c>
    </row>
    <row r="1032" spans="1:13" ht="27" customHeight="1" x14ac:dyDescent="0.25">
      <c r="A1032" s="488" t="s">
        <v>797</v>
      </c>
      <c r="B1032" s="495">
        <v>1</v>
      </c>
      <c r="C1032" s="495">
        <v>832.5</v>
      </c>
      <c r="D1032" s="494">
        <v>0.3</v>
      </c>
      <c r="E1032" s="495">
        <v>249.75</v>
      </c>
      <c r="F1032" s="495">
        <v>60.16</v>
      </c>
      <c r="G1032" s="495">
        <v>309.90999999999997</v>
      </c>
      <c r="H1032" s="495">
        <v>1</v>
      </c>
      <c r="I1032" s="495">
        <v>709.17</v>
      </c>
      <c r="J1032" s="494">
        <v>0.2</v>
      </c>
      <c r="K1032" s="495">
        <v>141.83000000000001</v>
      </c>
      <c r="L1032" s="495">
        <v>34.17</v>
      </c>
      <c r="M1032" s="495">
        <v>176</v>
      </c>
    </row>
    <row r="1033" spans="1:13" ht="17.25" customHeight="1" x14ac:dyDescent="0.25">
      <c r="A1033" s="488" t="s">
        <v>797</v>
      </c>
      <c r="B1033" s="495">
        <v>1</v>
      </c>
      <c r="C1033" s="495">
        <v>832.5</v>
      </c>
      <c r="D1033" s="494">
        <v>0.3</v>
      </c>
      <c r="E1033" s="495">
        <v>249.75</v>
      </c>
      <c r="F1033" s="495">
        <v>60.16</v>
      </c>
      <c r="G1033" s="495">
        <v>309.90999999999997</v>
      </c>
      <c r="H1033" s="495">
        <v>1</v>
      </c>
      <c r="I1033" s="495">
        <v>647.51</v>
      </c>
      <c r="J1033" s="494">
        <v>0.2</v>
      </c>
      <c r="K1033" s="495">
        <v>129.5</v>
      </c>
      <c r="L1033" s="495">
        <v>31.2</v>
      </c>
      <c r="M1033" s="495">
        <v>160.69999999999999</v>
      </c>
    </row>
    <row r="1034" spans="1:13" ht="17.25" customHeight="1" x14ac:dyDescent="0.25">
      <c r="A1034" s="488" t="s">
        <v>797</v>
      </c>
      <c r="B1034" s="495">
        <v>0.5</v>
      </c>
      <c r="C1034" s="495">
        <v>493.33</v>
      </c>
      <c r="D1034" s="494">
        <v>0.3</v>
      </c>
      <c r="E1034" s="495">
        <v>148</v>
      </c>
      <c r="F1034" s="495">
        <v>35.65</v>
      </c>
      <c r="G1034" s="495">
        <v>183.65</v>
      </c>
      <c r="H1034" s="495">
        <v>0.5</v>
      </c>
      <c r="I1034" s="495">
        <v>323.75</v>
      </c>
      <c r="J1034" s="494">
        <v>0.2</v>
      </c>
      <c r="K1034" s="495">
        <v>64.75</v>
      </c>
      <c r="L1034" s="495">
        <v>15.6</v>
      </c>
      <c r="M1034" s="495">
        <v>80.349999999999994</v>
      </c>
    </row>
    <row r="1035" spans="1:13" ht="17.25" customHeight="1" x14ac:dyDescent="0.25">
      <c r="A1035" s="488" t="s">
        <v>797</v>
      </c>
      <c r="B1035" s="495">
        <v>0.5</v>
      </c>
      <c r="C1035" s="495">
        <v>462.5</v>
      </c>
      <c r="D1035" s="494">
        <v>0.3</v>
      </c>
      <c r="E1035" s="495">
        <v>138.75</v>
      </c>
      <c r="F1035" s="495">
        <v>33.42</v>
      </c>
      <c r="G1035" s="495">
        <v>172.17000000000002</v>
      </c>
      <c r="H1035" s="495">
        <v>0.5</v>
      </c>
      <c r="I1035" s="495">
        <v>370</v>
      </c>
      <c r="J1035" s="494">
        <v>0.2</v>
      </c>
      <c r="K1035" s="495">
        <v>74</v>
      </c>
      <c r="L1035" s="495">
        <v>17.829999999999998</v>
      </c>
      <c r="M1035" s="495">
        <v>91.83</v>
      </c>
    </row>
    <row r="1036" spans="1:13" ht="17.25" customHeight="1" x14ac:dyDescent="0.25">
      <c r="A1036" s="488" t="s">
        <v>797</v>
      </c>
      <c r="B1036" s="495">
        <v>1</v>
      </c>
      <c r="C1036" s="495">
        <v>555</v>
      </c>
      <c r="D1036" s="494">
        <v>0.3</v>
      </c>
      <c r="E1036" s="495">
        <v>166.5</v>
      </c>
      <c r="F1036" s="495">
        <v>40.11</v>
      </c>
      <c r="G1036" s="495">
        <v>206.61</v>
      </c>
      <c r="H1036" s="495">
        <v>1</v>
      </c>
      <c r="I1036" s="495">
        <v>647.51</v>
      </c>
      <c r="J1036" s="494">
        <v>0.2</v>
      </c>
      <c r="K1036" s="495">
        <v>129.5</v>
      </c>
      <c r="L1036" s="495">
        <v>31.2</v>
      </c>
      <c r="M1036" s="495">
        <v>160.69999999999999</v>
      </c>
    </row>
    <row r="1037" spans="1:13" ht="17.25" customHeight="1" x14ac:dyDescent="0.25">
      <c r="A1037" s="488" t="s">
        <v>797</v>
      </c>
      <c r="B1037" s="495">
        <v>0.75</v>
      </c>
      <c r="C1037" s="495">
        <v>551.16999999999996</v>
      </c>
      <c r="D1037" s="494">
        <v>0.3</v>
      </c>
      <c r="E1037" s="495">
        <v>165.35</v>
      </c>
      <c r="F1037" s="495">
        <v>39.83</v>
      </c>
      <c r="G1037" s="495">
        <v>205.18</v>
      </c>
      <c r="H1037" s="495">
        <v>0.75</v>
      </c>
      <c r="I1037" s="495">
        <v>277.5</v>
      </c>
      <c r="J1037" s="494">
        <v>0.2</v>
      </c>
      <c r="K1037" s="495">
        <v>55.5</v>
      </c>
      <c r="L1037" s="495">
        <v>13.37</v>
      </c>
      <c r="M1037" s="495">
        <v>68.87</v>
      </c>
    </row>
    <row r="1038" spans="1:13" ht="17.25" customHeight="1" x14ac:dyDescent="0.25">
      <c r="A1038" s="488" t="s">
        <v>797</v>
      </c>
      <c r="B1038" s="495">
        <v>1</v>
      </c>
      <c r="C1038" s="495">
        <v>740</v>
      </c>
      <c r="D1038" s="494">
        <v>0.3</v>
      </c>
      <c r="E1038" s="495">
        <v>222</v>
      </c>
      <c r="F1038" s="495">
        <v>53.48</v>
      </c>
      <c r="G1038" s="495">
        <v>275.48</v>
      </c>
      <c r="H1038" s="495">
        <v>1</v>
      </c>
      <c r="I1038" s="495">
        <v>801.67</v>
      </c>
      <c r="J1038" s="494">
        <v>0.2</v>
      </c>
      <c r="K1038" s="495">
        <v>160.33000000000001</v>
      </c>
      <c r="L1038" s="495">
        <v>38.619999999999997</v>
      </c>
      <c r="M1038" s="495">
        <v>198.95000000000002</v>
      </c>
    </row>
    <row r="1039" spans="1:13" ht="22.9" customHeight="1" x14ac:dyDescent="0.25">
      <c r="A1039" s="488" t="s">
        <v>797</v>
      </c>
      <c r="B1039" s="495">
        <v>0.5</v>
      </c>
      <c r="C1039" s="495">
        <v>370</v>
      </c>
      <c r="D1039" s="494">
        <v>0.3</v>
      </c>
      <c r="E1039" s="495">
        <v>111</v>
      </c>
      <c r="F1039" s="495">
        <v>26.74</v>
      </c>
      <c r="G1039" s="495">
        <v>137.74</v>
      </c>
      <c r="H1039" s="495">
        <v>0.5</v>
      </c>
      <c r="I1039" s="495">
        <v>416.25</v>
      </c>
      <c r="J1039" s="494">
        <v>0.2</v>
      </c>
      <c r="K1039" s="495">
        <v>83.25</v>
      </c>
      <c r="L1039" s="495">
        <v>20.05</v>
      </c>
      <c r="M1039" s="495">
        <v>103.3</v>
      </c>
    </row>
    <row r="1040" spans="1:13" ht="26.45" customHeight="1" x14ac:dyDescent="0.25">
      <c r="A1040" s="488" t="s">
        <v>797</v>
      </c>
      <c r="B1040" s="495">
        <v>0.75</v>
      </c>
      <c r="C1040" s="495">
        <v>551.16999999999996</v>
      </c>
      <c r="D1040" s="494">
        <v>0.3</v>
      </c>
      <c r="E1040" s="495">
        <v>165.35</v>
      </c>
      <c r="F1040" s="495">
        <v>39.83</v>
      </c>
      <c r="G1040" s="495">
        <v>205.18</v>
      </c>
      <c r="H1040" s="495">
        <v>0.75</v>
      </c>
      <c r="I1040" s="495">
        <v>601.26</v>
      </c>
      <c r="J1040" s="494">
        <v>0.2</v>
      </c>
      <c r="K1040" s="495">
        <v>120.25</v>
      </c>
      <c r="L1040" s="495">
        <v>28.97</v>
      </c>
      <c r="M1040" s="495">
        <v>149.22</v>
      </c>
    </row>
    <row r="1041" spans="1:13" ht="30.6" customHeight="1" x14ac:dyDescent="0.25">
      <c r="A1041" s="488" t="s">
        <v>797</v>
      </c>
      <c r="B1041" s="495">
        <v>1</v>
      </c>
      <c r="C1041" s="495">
        <v>786.27</v>
      </c>
      <c r="D1041" s="494">
        <v>0.3</v>
      </c>
      <c r="E1041" s="495">
        <v>235.88</v>
      </c>
      <c r="F1041" s="495">
        <v>56.82</v>
      </c>
      <c r="G1041" s="495">
        <v>292.7</v>
      </c>
      <c r="H1041" s="495">
        <v>1</v>
      </c>
      <c r="I1041" s="495">
        <v>740.01</v>
      </c>
      <c r="J1041" s="494">
        <v>0.2</v>
      </c>
      <c r="K1041" s="495">
        <v>148</v>
      </c>
      <c r="L1041" s="495">
        <v>35.65</v>
      </c>
      <c r="M1041" s="495">
        <v>183.65</v>
      </c>
    </row>
    <row r="1042" spans="1:13" ht="28.9" customHeight="1" x14ac:dyDescent="0.25">
      <c r="A1042" s="488" t="s">
        <v>797</v>
      </c>
      <c r="B1042" s="495">
        <v>0.75</v>
      </c>
      <c r="C1042" s="495">
        <v>370</v>
      </c>
      <c r="D1042" s="494">
        <v>0.3</v>
      </c>
      <c r="E1042" s="495">
        <v>111</v>
      </c>
      <c r="F1042" s="495">
        <v>26.74</v>
      </c>
      <c r="G1042" s="495">
        <v>137.74</v>
      </c>
      <c r="H1042" s="495">
        <v>0.75</v>
      </c>
      <c r="I1042" s="495">
        <v>370</v>
      </c>
      <c r="J1042" s="494">
        <v>0.2</v>
      </c>
      <c r="K1042" s="495">
        <v>74</v>
      </c>
      <c r="L1042" s="495">
        <v>17.829999999999998</v>
      </c>
      <c r="M1042" s="495">
        <v>91.83</v>
      </c>
    </row>
    <row r="1043" spans="1:13" ht="28.9" customHeight="1" x14ac:dyDescent="0.25">
      <c r="A1043" s="488" t="s">
        <v>797</v>
      </c>
      <c r="B1043" s="495">
        <v>1</v>
      </c>
      <c r="C1043" s="495">
        <v>438.4</v>
      </c>
      <c r="D1043" s="494">
        <v>0.3</v>
      </c>
      <c r="E1043" s="495">
        <v>131.52000000000001</v>
      </c>
      <c r="F1043" s="495">
        <v>31.68</v>
      </c>
      <c r="G1043" s="495">
        <v>163.20000000000002</v>
      </c>
      <c r="H1043" s="495">
        <v>1</v>
      </c>
      <c r="I1043" s="495">
        <v>480.22</v>
      </c>
      <c r="J1043" s="494">
        <v>0.2</v>
      </c>
      <c r="K1043" s="495">
        <v>96.04</v>
      </c>
      <c r="L1043" s="495">
        <v>23.14</v>
      </c>
      <c r="M1043" s="495">
        <v>119.18</v>
      </c>
    </row>
    <row r="1044" spans="1:13" ht="17.25" customHeight="1" x14ac:dyDescent="0.25">
      <c r="A1044" s="488" t="s">
        <v>873</v>
      </c>
      <c r="B1044" s="495">
        <v>1</v>
      </c>
      <c r="C1044" s="495">
        <v>560</v>
      </c>
      <c r="D1044" s="494">
        <v>0.5</v>
      </c>
      <c r="E1044" s="495">
        <v>280</v>
      </c>
      <c r="F1044" s="495">
        <v>67.45</v>
      </c>
      <c r="G1044" s="495">
        <v>347.45</v>
      </c>
      <c r="H1044" s="495"/>
      <c r="I1044" s="495"/>
      <c r="J1044" s="494"/>
      <c r="K1044" s="495"/>
      <c r="L1044" s="495"/>
      <c r="M1044" s="495"/>
    </row>
    <row r="1045" spans="1:13" ht="17.25" customHeight="1" x14ac:dyDescent="0.25">
      <c r="A1045" s="488" t="s">
        <v>873</v>
      </c>
      <c r="B1045" s="495"/>
      <c r="C1045" s="495"/>
      <c r="D1045" s="494"/>
      <c r="E1045" s="495"/>
      <c r="F1045" s="495">
        <v>0</v>
      </c>
      <c r="G1045" s="495">
        <v>0</v>
      </c>
      <c r="H1045" s="495">
        <f>1-0.5</f>
        <v>0.5</v>
      </c>
      <c r="I1045" s="495">
        <v>33.67</v>
      </c>
      <c r="J1045" s="494">
        <v>0.2</v>
      </c>
      <c r="K1045" s="495">
        <v>6.73</v>
      </c>
      <c r="L1045" s="495">
        <v>1.62</v>
      </c>
      <c r="M1045" s="495">
        <v>8.3500000000000014</v>
      </c>
    </row>
    <row r="1046" spans="1:13" ht="17.25" customHeight="1" x14ac:dyDescent="0.25">
      <c r="A1046" s="488" t="s">
        <v>873</v>
      </c>
      <c r="B1046" s="495">
        <v>1</v>
      </c>
      <c r="C1046" s="495">
        <v>560</v>
      </c>
      <c r="D1046" s="494">
        <v>0.5</v>
      </c>
      <c r="E1046" s="495">
        <v>280</v>
      </c>
      <c r="F1046" s="495">
        <v>67.45</v>
      </c>
      <c r="G1046" s="495">
        <v>347.45</v>
      </c>
      <c r="H1046" s="495"/>
      <c r="I1046" s="495"/>
      <c r="J1046" s="494"/>
      <c r="K1046" s="495"/>
      <c r="L1046" s="495"/>
      <c r="M1046" s="495"/>
    </row>
    <row r="1047" spans="1:13" ht="17.25" customHeight="1" x14ac:dyDescent="0.25">
      <c r="A1047" s="488" t="s">
        <v>873</v>
      </c>
      <c r="B1047" s="495"/>
      <c r="C1047" s="495"/>
      <c r="D1047" s="494"/>
      <c r="E1047" s="495"/>
      <c r="F1047" s="495">
        <v>0</v>
      </c>
      <c r="G1047" s="495">
        <v>0</v>
      </c>
      <c r="H1047" s="495">
        <v>1</v>
      </c>
      <c r="I1047" s="495">
        <v>106.33</v>
      </c>
      <c r="J1047" s="494">
        <v>0.2</v>
      </c>
      <c r="K1047" s="495">
        <v>21.27</v>
      </c>
      <c r="L1047" s="495">
        <v>5.12</v>
      </c>
      <c r="M1047" s="495">
        <v>26.39</v>
      </c>
    </row>
    <row r="1048" spans="1:13" ht="17.25" customHeight="1" x14ac:dyDescent="0.25">
      <c r="A1048" s="488" t="s">
        <v>874</v>
      </c>
      <c r="B1048" s="495"/>
      <c r="C1048" s="495"/>
      <c r="D1048" s="494"/>
      <c r="E1048" s="495"/>
      <c r="F1048" s="495">
        <v>0</v>
      </c>
      <c r="G1048" s="495">
        <v>0</v>
      </c>
      <c r="H1048" s="495">
        <v>1</v>
      </c>
      <c r="I1048" s="495">
        <v>830</v>
      </c>
      <c r="J1048" s="494">
        <v>0.2</v>
      </c>
      <c r="K1048" s="495">
        <v>166</v>
      </c>
      <c r="L1048" s="495">
        <v>39.99</v>
      </c>
      <c r="M1048" s="495">
        <v>205.99</v>
      </c>
    </row>
    <row r="1049" spans="1:13" ht="17.25" customHeight="1" x14ac:dyDescent="0.25">
      <c r="A1049" s="488" t="s">
        <v>875</v>
      </c>
      <c r="B1049" s="495"/>
      <c r="C1049" s="495"/>
      <c r="D1049" s="494"/>
      <c r="E1049" s="495"/>
      <c r="F1049" s="495">
        <v>0</v>
      </c>
      <c r="G1049" s="495">
        <v>0</v>
      </c>
      <c r="H1049" s="495">
        <v>1</v>
      </c>
      <c r="I1049" s="495">
        <v>2700</v>
      </c>
      <c r="J1049" s="494">
        <v>0.2</v>
      </c>
      <c r="K1049" s="495">
        <v>540</v>
      </c>
      <c r="L1049" s="495">
        <v>130.09</v>
      </c>
      <c r="M1049" s="495">
        <v>670.09</v>
      </c>
    </row>
    <row r="1050" spans="1:13" ht="17.25" customHeight="1" x14ac:dyDescent="0.25">
      <c r="A1050" s="488" t="s">
        <v>876</v>
      </c>
      <c r="B1050" s="495"/>
      <c r="C1050" s="495"/>
      <c r="D1050" s="494"/>
      <c r="E1050" s="495"/>
      <c r="F1050" s="495">
        <v>0</v>
      </c>
      <c r="G1050" s="495">
        <v>0</v>
      </c>
      <c r="H1050" s="495">
        <v>1</v>
      </c>
      <c r="I1050" s="495">
        <v>2000</v>
      </c>
      <c r="J1050" s="494">
        <v>0.2</v>
      </c>
      <c r="K1050" s="495">
        <v>400</v>
      </c>
      <c r="L1050" s="495">
        <v>96.36</v>
      </c>
      <c r="M1050" s="495">
        <v>496.36</v>
      </c>
    </row>
    <row r="1051" spans="1:13" ht="17.25" customHeight="1" x14ac:dyDescent="0.25">
      <c r="A1051" s="488" t="s">
        <v>967</v>
      </c>
      <c r="B1051" s="495">
        <v>1</v>
      </c>
      <c r="C1051" s="495">
        <v>1450</v>
      </c>
      <c r="D1051" s="494">
        <v>0.3</v>
      </c>
      <c r="E1051" s="495">
        <v>435</v>
      </c>
      <c r="F1051" s="495">
        <v>104.79</v>
      </c>
      <c r="G1051" s="495">
        <v>539.79</v>
      </c>
      <c r="H1051" s="495"/>
      <c r="I1051" s="495"/>
      <c r="J1051" s="494"/>
      <c r="K1051" s="495"/>
      <c r="L1051" s="495"/>
      <c r="M1051" s="495"/>
    </row>
    <row r="1052" spans="1:13" ht="17.25" customHeight="1" x14ac:dyDescent="0.25">
      <c r="A1052" s="488" t="s">
        <v>877</v>
      </c>
      <c r="B1052" s="495"/>
      <c r="C1052" s="495"/>
      <c r="D1052" s="494"/>
      <c r="E1052" s="495"/>
      <c r="F1052" s="495">
        <v>0</v>
      </c>
      <c r="G1052" s="495">
        <v>0</v>
      </c>
      <c r="H1052" s="495">
        <v>1</v>
      </c>
      <c r="I1052" s="495">
        <v>893</v>
      </c>
      <c r="J1052" s="494">
        <v>0.2</v>
      </c>
      <c r="K1052" s="495">
        <v>178.6</v>
      </c>
      <c r="L1052" s="495">
        <v>43.02</v>
      </c>
      <c r="M1052" s="495">
        <v>221.62</v>
      </c>
    </row>
    <row r="1053" spans="1:13" ht="17.25" customHeight="1" x14ac:dyDescent="0.25">
      <c r="A1053" s="488" t="s">
        <v>878</v>
      </c>
      <c r="B1053" s="495">
        <v>0.5</v>
      </c>
      <c r="C1053" s="495">
        <v>273.67</v>
      </c>
      <c r="D1053" s="494">
        <v>0.3</v>
      </c>
      <c r="E1053" s="495">
        <v>82.1</v>
      </c>
      <c r="F1053" s="495">
        <v>19.78</v>
      </c>
      <c r="G1053" s="495">
        <v>101.88</v>
      </c>
      <c r="H1053" s="495">
        <v>0.5</v>
      </c>
      <c r="I1053" s="495">
        <v>248.78</v>
      </c>
      <c r="J1053" s="494">
        <v>0.2</v>
      </c>
      <c r="K1053" s="495">
        <v>49.76</v>
      </c>
      <c r="L1053" s="495">
        <v>11.99</v>
      </c>
      <c r="M1053" s="495">
        <v>61.75</v>
      </c>
    </row>
    <row r="1054" spans="1:13" ht="17.25" customHeight="1" x14ac:dyDescent="0.25">
      <c r="A1054" s="488" t="s">
        <v>878</v>
      </c>
      <c r="B1054" s="495">
        <v>0.25</v>
      </c>
      <c r="C1054" s="495">
        <v>74.63</v>
      </c>
      <c r="D1054" s="494">
        <v>0.3</v>
      </c>
      <c r="E1054" s="495">
        <v>22.39</v>
      </c>
      <c r="F1054" s="495">
        <v>5.39</v>
      </c>
      <c r="G1054" s="495">
        <v>27.78</v>
      </c>
      <c r="H1054" s="495">
        <v>0.25</v>
      </c>
      <c r="I1054" s="495">
        <v>149.27000000000001</v>
      </c>
      <c r="J1054" s="494">
        <v>0.2</v>
      </c>
      <c r="K1054" s="495">
        <v>29.85</v>
      </c>
      <c r="L1054" s="495">
        <v>7.19</v>
      </c>
      <c r="M1054" s="495">
        <v>37.04</v>
      </c>
    </row>
    <row r="1055" spans="1:13" ht="17.25" customHeight="1" x14ac:dyDescent="0.25">
      <c r="A1055" s="488" t="s">
        <v>878</v>
      </c>
      <c r="B1055" s="495">
        <v>1</v>
      </c>
      <c r="C1055" s="495">
        <v>618.87</v>
      </c>
      <c r="D1055" s="494">
        <v>0.3</v>
      </c>
      <c r="E1055" s="495">
        <v>185.66</v>
      </c>
      <c r="F1055" s="495">
        <v>44.73</v>
      </c>
      <c r="G1055" s="495">
        <v>230.39</v>
      </c>
      <c r="H1055" s="495">
        <v>1</v>
      </c>
      <c r="I1055" s="495">
        <v>497.57</v>
      </c>
      <c r="J1055" s="494">
        <v>0.2</v>
      </c>
      <c r="K1055" s="495">
        <v>99.51</v>
      </c>
      <c r="L1055" s="495">
        <v>23.97</v>
      </c>
      <c r="M1055" s="495">
        <v>123.48</v>
      </c>
    </row>
    <row r="1056" spans="1:13" ht="17.25" customHeight="1" x14ac:dyDescent="0.25">
      <c r="A1056" s="488" t="s">
        <v>878</v>
      </c>
      <c r="B1056" s="495">
        <v>1</v>
      </c>
      <c r="C1056" s="495">
        <v>547.33000000000004</v>
      </c>
      <c r="D1056" s="494">
        <v>0.3</v>
      </c>
      <c r="E1056" s="495">
        <v>164.2</v>
      </c>
      <c r="F1056" s="495">
        <v>39.56</v>
      </c>
      <c r="G1056" s="495">
        <v>203.76</v>
      </c>
      <c r="H1056" s="495">
        <v>1</v>
      </c>
      <c r="I1056" s="495">
        <v>497.57</v>
      </c>
      <c r="J1056" s="494">
        <v>0.2</v>
      </c>
      <c r="K1056" s="495">
        <v>99.51</v>
      </c>
      <c r="L1056" s="495">
        <v>23.97</v>
      </c>
      <c r="M1056" s="495">
        <v>123.48</v>
      </c>
    </row>
    <row r="1057" spans="1:13" ht="17.25" customHeight="1" x14ac:dyDescent="0.25">
      <c r="A1057" s="488" t="s">
        <v>878</v>
      </c>
      <c r="B1057" s="495">
        <v>0.75</v>
      </c>
      <c r="C1057" s="495">
        <v>267.43</v>
      </c>
      <c r="D1057" s="494">
        <v>0.3</v>
      </c>
      <c r="E1057" s="495">
        <v>80.23</v>
      </c>
      <c r="F1057" s="495">
        <v>19.329999999999998</v>
      </c>
      <c r="G1057" s="495">
        <v>99.56</v>
      </c>
      <c r="H1057" s="495">
        <v>0.75</v>
      </c>
      <c r="I1057" s="495">
        <v>373.18</v>
      </c>
      <c r="J1057" s="494">
        <v>0.2</v>
      </c>
      <c r="K1057" s="495">
        <v>74.64</v>
      </c>
      <c r="L1057" s="495">
        <v>17.98</v>
      </c>
      <c r="M1057" s="495">
        <v>92.62</v>
      </c>
    </row>
    <row r="1058" spans="1:13" ht="17.25" customHeight="1" x14ac:dyDescent="0.25">
      <c r="A1058" s="488" t="s">
        <v>879</v>
      </c>
      <c r="B1058" s="495">
        <v>1</v>
      </c>
      <c r="C1058" s="495">
        <v>850</v>
      </c>
      <c r="D1058" s="494">
        <v>0.3</v>
      </c>
      <c r="E1058" s="495">
        <v>255</v>
      </c>
      <c r="F1058" s="495">
        <v>61.43</v>
      </c>
      <c r="G1058" s="495">
        <v>316.43</v>
      </c>
      <c r="H1058" s="495">
        <v>1</v>
      </c>
      <c r="I1058" s="495">
        <v>683.23</v>
      </c>
      <c r="J1058" s="494">
        <v>0.2</v>
      </c>
      <c r="K1058" s="495">
        <v>136.65</v>
      </c>
      <c r="L1058" s="495">
        <v>32.92</v>
      </c>
      <c r="M1058" s="495">
        <v>169.57</v>
      </c>
    </row>
    <row r="1059" spans="1:13" ht="17.25" customHeight="1" x14ac:dyDescent="0.25">
      <c r="A1059" s="488" t="s">
        <v>879</v>
      </c>
      <c r="B1059" s="495"/>
      <c r="C1059" s="495"/>
      <c r="D1059" s="494"/>
      <c r="E1059" s="495"/>
      <c r="F1059" s="495">
        <v>0</v>
      </c>
      <c r="G1059" s="495">
        <v>0</v>
      </c>
      <c r="H1059" s="495">
        <v>1</v>
      </c>
      <c r="I1059" s="495">
        <v>1050</v>
      </c>
      <c r="J1059" s="494">
        <v>0.2</v>
      </c>
      <c r="K1059" s="495">
        <v>210</v>
      </c>
      <c r="L1059" s="495">
        <v>50.59</v>
      </c>
      <c r="M1059" s="495">
        <v>260.59000000000003</v>
      </c>
    </row>
    <row r="1060" spans="1:13" ht="17.25" customHeight="1" x14ac:dyDescent="0.25">
      <c r="A1060" s="488" t="s">
        <v>880</v>
      </c>
      <c r="B1060" s="495"/>
      <c r="C1060" s="495"/>
      <c r="D1060" s="494"/>
      <c r="E1060" s="495"/>
      <c r="F1060" s="495">
        <v>0</v>
      </c>
      <c r="G1060" s="495">
        <v>0</v>
      </c>
      <c r="H1060" s="495">
        <v>1</v>
      </c>
      <c r="I1060" s="495">
        <v>924</v>
      </c>
      <c r="J1060" s="494">
        <v>0.2</v>
      </c>
      <c r="K1060" s="495">
        <v>184.8</v>
      </c>
      <c r="L1060" s="495">
        <v>44.52</v>
      </c>
      <c r="M1060" s="495">
        <v>229.32000000000002</v>
      </c>
    </row>
    <row r="1061" spans="1:13" ht="17.25" customHeight="1" x14ac:dyDescent="0.25">
      <c r="A1061" s="488" t="s">
        <v>880</v>
      </c>
      <c r="B1061" s="495">
        <v>1</v>
      </c>
      <c r="C1061" s="495">
        <v>924</v>
      </c>
      <c r="D1061" s="494">
        <v>0.3</v>
      </c>
      <c r="E1061" s="495">
        <v>277.2</v>
      </c>
      <c r="F1061" s="495">
        <v>66.78</v>
      </c>
      <c r="G1061" s="495">
        <v>343.98</v>
      </c>
      <c r="H1061" s="495"/>
      <c r="I1061" s="495"/>
      <c r="J1061" s="494"/>
      <c r="K1061" s="495"/>
      <c r="L1061" s="495"/>
      <c r="M1061" s="495"/>
    </row>
    <row r="1062" spans="1:13" ht="17.25" customHeight="1" x14ac:dyDescent="0.25">
      <c r="A1062" s="488" t="s">
        <v>881</v>
      </c>
      <c r="B1062" s="495"/>
      <c r="C1062" s="495"/>
      <c r="D1062" s="494"/>
      <c r="E1062" s="495"/>
      <c r="F1062" s="495">
        <v>0</v>
      </c>
      <c r="G1062" s="495">
        <v>0</v>
      </c>
      <c r="H1062" s="495">
        <v>1</v>
      </c>
      <c r="I1062" s="495">
        <v>1155</v>
      </c>
      <c r="J1062" s="494">
        <v>0.2</v>
      </c>
      <c r="K1062" s="495">
        <v>231</v>
      </c>
      <c r="L1062" s="495">
        <v>55.65</v>
      </c>
      <c r="M1062" s="495">
        <v>286.64999999999998</v>
      </c>
    </row>
    <row r="1063" spans="1:13" ht="17.25" customHeight="1" x14ac:dyDescent="0.25">
      <c r="A1063" s="488" t="s">
        <v>881</v>
      </c>
      <c r="B1063" s="495"/>
      <c r="C1063" s="495"/>
      <c r="D1063" s="494"/>
      <c r="E1063" s="495"/>
      <c r="F1063" s="495">
        <v>0</v>
      </c>
      <c r="G1063" s="495">
        <v>0</v>
      </c>
      <c r="H1063" s="495">
        <v>1</v>
      </c>
      <c r="I1063" s="495">
        <v>1155</v>
      </c>
      <c r="J1063" s="494">
        <v>0.2</v>
      </c>
      <c r="K1063" s="495">
        <v>231</v>
      </c>
      <c r="L1063" s="495">
        <v>55.65</v>
      </c>
      <c r="M1063" s="495">
        <v>286.64999999999998</v>
      </c>
    </row>
    <row r="1064" spans="1:13" ht="17.25" customHeight="1" x14ac:dyDescent="0.25">
      <c r="A1064" s="488" t="s">
        <v>881</v>
      </c>
      <c r="B1064" s="495"/>
      <c r="C1064" s="495"/>
      <c r="D1064" s="494"/>
      <c r="E1064" s="495"/>
      <c r="F1064" s="495">
        <v>0</v>
      </c>
      <c r="G1064" s="495">
        <v>0</v>
      </c>
      <c r="H1064" s="495">
        <v>1</v>
      </c>
      <c r="I1064" s="495">
        <v>1155</v>
      </c>
      <c r="J1064" s="494">
        <v>0.2</v>
      </c>
      <c r="K1064" s="495">
        <v>231</v>
      </c>
      <c r="L1064" s="495">
        <v>55.65</v>
      </c>
      <c r="M1064" s="495">
        <v>286.64999999999998</v>
      </c>
    </row>
    <row r="1065" spans="1:13" ht="17.25" customHeight="1" x14ac:dyDescent="0.25">
      <c r="A1065" s="488" t="s">
        <v>882</v>
      </c>
      <c r="B1065" s="495"/>
      <c r="C1065" s="495"/>
      <c r="D1065" s="494"/>
      <c r="E1065" s="495"/>
      <c r="F1065" s="495">
        <v>0</v>
      </c>
      <c r="G1065" s="495">
        <v>0</v>
      </c>
      <c r="H1065" s="495">
        <v>1</v>
      </c>
      <c r="I1065" s="495">
        <v>996.71</v>
      </c>
      <c r="J1065" s="494">
        <v>0.2</v>
      </c>
      <c r="K1065" s="495">
        <v>199.34</v>
      </c>
      <c r="L1065" s="495">
        <v>48.02</v>
      </c>
      <c r="M1065" s="495">
        <v>247.36</v>
      </c>
    </row>
    <row r="1066" spans="1:13" ht="17.25" customHeight="1" x14ac:dyDescent="0.25">
      <c r="A1066" s="488" t="s">
        <v>882</v>
      </c>
      <c r="B1066" s="495"/>
      <c r="C1066" s="495"/>
      <c r="D1066" s="494"/>
      <c r="E1066" s="495"/>
      <c r="F1066" s="495">
        <v>0</v>
      </c>
      <c r="G1066" s="495">
        <v>0</v>
      </c>
      <c r="H1066" s="495">
        <v>1</v>
      </c>
      <c r="I1066" s="495">
        <v>871.14</v>
      </c>
      <c r="J1066" s="494">
        <v>0.2</v>
      </c>
      <c r="K1066" s="495">
        <v>174.23</v>
      </c>
      <c r="L1066" s="495">
        <v>41.97</v>
      </c>
      <c r="M1066" s="495">
        <v>216.2</v>
      </c>
    </row>
    <row r="1067" spans="1:13" ht="17.25" customHeight="1" x14ac:dyDescent="0.25">
      <c r="A1067" s="488" t="s">
        <v>882</v>
      </c>
      <c r="B1067" s="495"/>
      <c r="C1067" s="495"/>
      <c r="D1067" s="494"/>
      <c r="E1067" s="495"/>
      <c r="F1067" s="495">
        <v>0</v>
      </c>
      <c r="G1067" s="495">
        <v>0</v>
      </c>
      <c r="H1067" s="495">
        <v>1</v>
      </c>
      <c r="I1067" s="495">
        <v>1240</v>
      </c>
      <c r="J1067" s="494">
        <v>0.2</v>
      </c>
      <c r="K1067" s="495">
        <v>248</v>
      </c>
      <c r="L1067" s="495">
        <v>59.74</v>
      </c>
      <c r="M1067" s="495">
        <v>307.74</v>
      </c>
    </row>
    <row r="1068" spans="1:13" ht="16.149999999999999" customHeight="1" x14ac:dyDescent="0.25">
      <c r="A1068" s="488" t="s">
        <v>882</v>
      </c>
      <c r="B1068" s="495"/>
      <c r="C1068" s="495"/>
      <c r="D1068" s="494"/>
      <c r="E1068" s="495"/>
      <c r="F1068" s="495">
        <v>0</v>
      </c>
      <c r="G1068" s="495">
        <v>0</v>
      </c>
      <c r="H1068" s="495">
        <v>1</v>
      </c>
      <c r="I1068" s="495">
        <v>612.15</v>
      </c>
      <c r="J1068" s="494">
        <v>0.2</v>
      </c>
      <c r="K1068" s="495">
        <v>122.43</v>
      </c>
      <c r="L1068" s="495">
        <v>29.49</v>
      </c>
      <c r="M1068" s="495">
        <v>151.92000000000002</v>
      </c>
    </row>
    <row r="1069" spans="1:13" ht="17.25" customHeight="1" x14ac:dyDescent="0.25">
      <c r="A1069" s="488" t="s">
        <v>882</v>
      </c>
      <c r="B1069" s="495">
        <v>1</v>
      </c>
      <c r="C1069" s="495">
        <v>1070.9000000000001</v>
      </c>
      <c r="D1069" s="494">
        <v>0.3</v>
      </c>
      <c r="E1069" s="495">
        <v>321.27</v>
      </c>
      <c r="F1069" s="495">
        <v>77.39</v>
      </c>
      <c r="G1069" s="495">
        <v>398.65999999999997</v>
      </c>
      <c r="H1069" s="495"/>
      <c r="I1069" s="495"/>
      <c r="J1069" s="494"/>
      <c r="K1069" s="495"/>
      <c r="L1069" s="495"/>
      <c r="M1069" s="495"/>
    </row>
    <row r="1070" spans="1:13" ht="17.25" customHeight="1" x14ac:dyDescent="0.25">
      <c r="A1070" s="488" t="s">
        <v>882</v>
      </c>
      <c r="B1070" s="495"/>
      <c r="C1070" s="495"/>
      <c r="D1070" s="494"/>
      <c r="E1070" s="495"/>
      <c r="F1070" s="495">
        <v>0</v>
      </c>
      <c r="G1070" s="495">
        <v>0</v>
      </c>
      <c r="H1070" s="495">
        <v>1</v>
      </c>
      <c r="I1070" s="495">
        <v>682.78</v>
      </c>
      <c r="J1070" s="494">
        <v>0.2</v>
      </c>
      <c r="K1070" s="495">
        <v>136.56</v>
      </c>
      <c r="L1070" s="495">
        <v>32.9</v>
      </c>
      <c r="M1070" s="495">
        <v>169.46</v>
      </c>
    </row>
    <row r="1071" spans="1:13" ht="17.25" customHeight="1" x14ac:dyDescent="0.25">
      <c r="A1071" s="488" t="s">
        <v>882</v>
      </c>
      <c r="B1071" s="495"/>
      <c r="C1071" s="495"/>
      <c r="D1071" s="494"/>
      <c r="E1071" s="495"/>
      <c r="F1071" s="495">
        <v>0</v>
      </c>
      <c r="G1071" s="495">
        <v>0</v>
      </c>
      <c r="H1071" s="495">
        <v>1</v>
      </c>
      <c r="I1071" s="495">
        <v>1240</v>
      </c>
      <c r="J1071" s="494">
        <v>0.2</v>
      </c>
      <c r="K1071" s="495">
        <v>248</v>
      </c>
      <c r="L1071" s="495">
        <v>59.74</v>
      </c>
      <c r="M1071" s="495">
        <v>307.74</v>
      </c>
    </row>
    <row r="1072" spans="1:13" ht="17.25" customHeight="1" x14ac:dyDescent="0.25">
      <c r="A1072" s="488" t="s">
        <v>883</v>
      </c>
      <c r="B1072" s="495"/>
      <c r="C1072" s="495"/>
      <c r="D1072" s="494"/>
      <c r="E1072" s="495"/>
      <c r="F1072" s="495">
        <v>0</v>
      </c>
      <c r="G1072" s="495">
        <v>0</v>
      </c>
      <c r="H1072" s="495">
        <v>0.5</v>
      </c>
      <c r="I1072" s="495">
        <v>579.75</v>
      </c>
      <c r="J1072" s="494">
        <v>0.2</v>
      </c>
      <c r="K1072" s="495">
        <v>115.95</v>
      </c>
      <c r="L1072" s="495">
        <v>27.93</v>
      </c>
      <c r="M1072" s="495">
        <v>143.88</v>
      </c>
    </row>
    <row r="1073" spans="1:13" ht="17.25" customHeight="1" x14ac:dyDescent="0.25">
      <c r="A1073" s="488" t="s">
        <v>884</v>
      </c>
      <c r="B1073" s="495"/>
      <c r="C1073" s="495"/>
      <c r="D1073" s="494"/>
      <c r="E1073" s="495"/>
      <c r="F1073" s="495">
        <v>0</v>
      </c>
      <c r="G1073" s="495">
        <v>0</v>
      </c>
      <c r="H1073" s="495">
        <v>1</v>
      </c>
      <c r="I1073" s="495">
        <v>2100</v>
      </c>
      <c r="J1073" s="494">
        <v>0.2</v>
      </c>
      <c r="K1073" s="495">
        <v>420</v>
      </c>
      <c r="L1073" s="495">
        <v>101.18</v>
      </c>
      <c r="M1073" s="495">
        <v>521.18000000000006</v>
      </c>
    </row>
    <row r="1074" spans="1:13" ht="17.25" customHeight="1" x14ac:dyDescent="0.25">
      <c r="A1074" s="488" t="s">
        <v>885</v>
      </c>
      <c r="B1074" s="495"/>
      <c r="C1074" s="495"/>
      <c r="D1074" s="494"/>
      <c r="E1074" s="495"/>
      <c r="F1074" s="495">
        <v>0</v>
      </c>
      <c r="G1074" s="495">
        <v>0</v>
      </c>
      <c r="H1074" s="495">
        <v>1</v>
      </c>
      <c r="I1074" s="495">
        <v>1271</v>
      </c>
      <c r="J1074" s="494">
        <v>0.2</v>
      </c>
      <c r="K1074" s="495">
        <v>254.2</v>
      </c>
      <c r="L1074" s="495">
        <v>61.24</v>
      </c>
      <c r="M1074" s="495">
        <v>315.44</v>
      </c>
    </row>
    <row r="1075" spans="1:13" ht="43.15" customHeight="1" x14ac:dyDescent="0.25">
      <c r="A1075" s="488" t="s">
        <v>886</v>
      </c>
      <c r="B1075" s="495">
        <v>0.25</v>
      </c>
      <c r="C1075" s="495">
        <v>160.22999999999999</v>
      </c>
      <c r="D1075" s="494">
        <v>0.3</v>
      </c>
      <c r="E1075" s="495">
        <v>48.07</v>
      </c>
      <c r="F1075" s="495">
        <v>11.58</v>
      </c>
      <c r="G1075" s="495">
        <v>59.65</v>
      </c>
      <c r="H1075" s="495"/>
      <c r="I1075" s="495"/>
      <c r="J1075" s="494"/>
      <c r="K1075" s="495"/>
      <c r="L1075" s="495"/>
      <c r="M1075" s="495"/>
    </row>
    <row r="1076" spans="1:13" ht="47.45" customHeight="1" x14ac:dyDescent="0.25">
      <c r="A1076" s="488" t="s">
        <v>886</v>
      </c>
      <c r="B1076" s="495">
        <v>0.5</v>
      </c>
      <c r="C1076" s="495">
        <v>320.47000000000003</v>
      </c>
      <c r="D1076" s="494">
        <v>0.3</v>
      </c>
      <c r="E1076" s="495">
        <v>96.14</v>
      </c>
      <c r="F1076" s="495">
        <v>23.16</v>
      </c>
      <c r="G1076" s="495">
        <v>119.3</v>
      </c>
      <c r="H1076" s="495">
        <v>0.5</v>
      </c>
      <c r="I1076" s="495">
        <v>421.92</v>
      </c>
      <c r="J1076" s="494">
        <v>0.2</v>
      </c>
      <c r="K1076" s="495">
        <v>84.38</v>
      </c>
      <c r="L1076" s="495">
        <v>20.329999999999998</v>
      </c>
      <c r="M1076" s="495">
        <v>104.71</v>
      </c>
    </row>
    <row r="1077" spans="1:13" ht="42.6" customHeight="1" x14ac:dyDescent="0.25">
      <c r="A1077" s="488" t="s">
        <v>886</v>
      </c>
      <c r="B1077" s="495">
        <v>0.5</v>
      </c>
      <c r="C1077" s="495">
        <v>53.4</v>
      </c>
      <c r="D1077" s="494">
        <v>0.3</v>
      </c>
      <c r="E1077" s="495">
        <v>16.02</v>
      </c>
      <c r="F1077" s="495">
        <v>3.86</v>
      </c>
      <c r="G1077" s="495">
        <v>19.88</v>
      </c>
      <c r="H1077" s="495">
        <v>0.5</v>
      </c>
      <c r="I1077" s="495">
        <v>389.88</v>
      </c>
      <c r="J1077" s="494">
        <v>0.2</v>
      </c>
      <c r="K1077" s="495">
        <v>77.98</v>
      </c>
      <c r="L1077" s="495">
        <v>18.79</v>
      </c>
      <c r="M1077" s="495">
        <v>96.77000000000001</v>
      </c>
    </row>
    <row r="1078" spans="1:13" ht="19.899999999999999" customHeight="1" x14ac:dyDescent="0.25">
      <c r="A1078" s="488" t="s">
        <v>887</v>
      </c>
      <c r="B1078" s="495">
        <v>1</v>
      </c>
      <c r="C1078" s="495">
        <v>714</v>
      </c>
      <c r="D1078" s="494">
        <v>0.3</v>
      </c>
      <c r="E1078" s="495">
        <v>214.2</v>
      </c>
      <c r="F1078" s="495">
        <v>51.6</v>
      </c>
      <c r="G1078" s="495">
        <v>265.8</v>
      </c>
      <c r="H1078" s="495">
        <v>1</v>
      </c>
      <c r="I1078" s="495">
        <v>714</v>
      </c>
      <c r="J1078" s="494">
        <v>0.2</v>
      </c>
      <c r="K1078" s="495">
        <v>142.80000000000001</v>
      </c>
      <c r="L1078" s="495">
        <v>34.4</v>
      </c>
      <c r="M1078" s="495">
        <v>177.20000000000002</v>
      </c>
    </row>
    <row r="1079" spans="1:13" ht="17.25" customHeight="1" x14ac:dyDescent="0.25">
      <c r="A1079" s="488" t="s">
        <v>888</v>
      </c>
      <c r="B1079" s="495">
        <v>1</v>
      </c>
      <c r="C1079" s="495">
        <v>558.16999999999996</v>
      </c>
      <c r="D1079" s="494">
        <v>0.3</v>
      </c>
      <c r="E1079" s="495">
        <v>167.45</v>
      </c>
      <c r="F1079" s="495">
        <v>40.340000000000003</v>
      </c>
      <c r="G1079" s="495">
        <v>207.79</v>
      </c>
      <c r="H1079" s="495">
        <v>1</v>
      </c>
      <c r="I1079" s="495">
        <v>376.78</v>
      </c>
      <c r="J1079" s="494">
        <v>0.2</v>
      </c>
      <c r="K1079" s="495">
        <v>75.36</v>
      </c>
      <c r="L1079" s="495">
        <v>18.149999999999999</v>
      </c>
      <c r="M1079" s="495">
        <v>93.509999999999991</v>
      </c>
    </row>
    <row r="1080" spans="1:13" ht="17.25" customHeight="1" x14ac:dyDescent="0.25">
      <c r="A1080" s="488" t="s">
        <v>888</v>
      </c>
      <c r="B1080" s="495">
        <v>1</v>
      </c>
      <c r="C1080" s="495">
        <v>614</v>
      </c>
      <c r="D1080" s="494">
        <v>0.3</v>
      </c>
      <c r="E1080" s="495">
        <v>184.2</v>
      </c>
      <c r="F1080" s="495">
        <v>44.37</v>
      </c>
      <c r="G1080" s="495">
        <v>228.57</v>
      </c>
      <c r="H1080" s="495">
        <v>1</v>
      </c>
      <c r="I1080" s="495">
        <v>244.21</v>
      </c>
      <c r="J1080" s="494">
        <v>0.2</v>
      </c>
      <c r="K1080" s="495">
        <v>48.84</v>
      </c>
      <c r="L1080" s="495">
        <v>11.77</v>
      </c>
      <c r="M1080" s="495">
        <v>60.61</v>
      </c>
    </row>
    <row r="1081" spans="1:13" ht="17.25" customHeight="1" x14ac:dyDescent="0.25">
      <c r="A1081" s="488" t="s">
        <v>708</v>
      </c>
      <c r="B1081" s="495">
        <v>1</v>
      </c>
      <c r="C1081" s="495">
        <v>740</v>
      </c>
      <c r="D1081" s="494">
        <v>0.3</v>
      </c>
      <c r="E1081" s="495">
        <v>222</v>
      </c>
      <c r="F1081" s="495">
        <v>53.48</v>
      </c>
      <c r="G1081" s="495">
        <v>275.48</v>
      </c>
      <c r="H1081" s="495">
        <v>1</v>
      </c>
      <c r="I1081" s="495">
        <v>723.17</v>
      </c>
      <c r="J1081" s="494">
        <v>0.2</v>
      </c>
      <c r="K1081" s="495">
        <v>144.63</v>
      </c>
      <c r="L1081" s="495">
        <v>34.840000000000003</v>
      </c>
      <c r="M1081" s="495">
        <v>179.47</v>
      </c>
    </row>
    <row r="1082" spans="1:13" ht="17.25" customHeight="1" x14ac:dyDescent="0.25">
      <c r="A1082" s="488" t="s">
        <v>708</v>
      </c>
      <c r="B1082" s="495">
        <v>0.5</v>
      </c>
      <c r="C1082" s="495">
        <v>370</v>
      </c>
      <c r="D1082" s="494">
        <v>0.3</v>
      </c>
      <c r="E1082" s="495">
        <v>111</v>
      </c>
      <c r="F1082" s="495">
        <v>26.74</v>
      </c>
      <c r="G1082" s="495">
        <v>137.74</v>
      </c>
      <c r="H1082" s="495">
        <v>0.5</v>
      </c>
      <c r="I1082" s="495">
        <v>302.72000000000003</v>
      </c>
      <c r="J1082" s="494">
        <v>0.2</v>
      </c>
      <c r="K1082" s="495">
        <v>60.54</v>
      </c>
      <c r="L1082" s="495">
        <v>14.58</v>
      </c>
      <c r="M1082" s="495">
        <v>75.12</v>
      </c>
    </row>
    <row r="1083" spans="1:13" ht="17.25" customHeight="1" x14ac:dyDescent="0.25">
      <c r="A1083" s="488" t="s">
        <v>708</v>
      </c>
      <c r="B1083" s="495">
        <v>1</v>
      </c>
      <c r="C1083" s="495">
        <v>269.10000000000002</v>
      </c>
      <c r="D1083" s="494">
        <v>0.3</v>
      </c>
      <c r="E1083" s="495">
        <v>80.73</v>
      </c>
      <c r="F1083" s="495">
        <v>19.45</v>
      </c>
      <c r="G1083" s="495">
        <v>100.18</v>
      </c>
      <c r="H1083" s="495">
        <v>1</v>
      </c>
      <c r="I1083" s="495">
        <v>706.36</v>
      </c>
      <c r="J1083" s="494">
        <v>0.2</v>
      </c>
      <c r="K1083" s="495">
        <v>141.27000000000001</v>
      </c>
      <c r="L1083" s="495">
        <v>34.03</v>
      </c>
      <c r="M1083" s="495">
        <v>175.3</v>
      </c>
    </row>
    <row r="1084" spans="1:13" ht="17.25" customHeight="1" x14ac:dyDescent="0.25">
      <c r="A1084" s="488" t="s">
        <v>708</v>
      </c>
      <c r="B1084" s="495">
        <v>1</v>
      </c>
      <c r="C1084" s="495">
        <v>740</v>
      </c>
      <c r="D1084" s="494">
        <v>0.3</v>
      </c>
      <c r="E1084" s="495">
        <v>222</v>
      </c>
      <c r="F1084" s="495">
        <v>53.48</v>
      </c>
      <c r="G1084" s="495">
        <v>275.48</v>
      </c>
      <c r="H1084" s="495">
        <v>1</v>
      </c>
      <c r="I1084" s="495">
        <v>672.72</v>
      </c>
      <c r="J1084" s="494">
        <v>0.2</v>
      </c>
      <c r="K1084" s="495">
        <v>134.54</v>
      </c>
      <c r="L1084" s="495">
        <v>32.409999999999997</v>
      </c>
      <c r="M1084" s="495">
        <v>166.95</v>
      </c>
    </row>
    <row r="1085" spans="1:13" ht="17.25" customHeight="1" x14ac:dyDescent="0.25">
      <c r="A1085" s="488" t="s">
        <v>708</v>
      </c>
      <c r="B1085" s="495">
        <v>1</v>
      </c>
      <c r="C1085" s="495">
        <v>740</v>
      </c>
      <c r="D1085" s="494">
        <v>0.3</v>
      </c>
      <c r="E1085" s="495">
        <v>222</v>
      </c>
      <c r="F1085" s="495">
        <v>53.48</v>
      </c>
      <c r="G1085" s="495">
        <v>275.48</v>
      </c>
      <c r="H1085" s="495">
        <v>1</v>
      </c>
      <c r="I1085" s="495">
        <v>655.9</v>
      </c>
      <c r="J1085" s="494">
        <v>0.2</v>
      </c>
      <c r="K1085" s="495">
        <v>131.18</v>
      </c>
      <c r="L1085" s="495">
        <v>31.6</v>
      </c>
      <c r="M1085" s="495">
        <v>162.78</v>
      </c>
    </row>
    <row r="1086" spans="1:13" ht="18.600000000000001" customHeight="1" x14ac:dyDescent="0.25">
      <c r="A1086" s="488" t="s">
        <v>708</v>
      </c>
      <c r="B1086" s="495">
        <v>1</v>
      </c>
      <c r="C1086" s="495">
        <v>558.16999999999996</v>
      </c>
      <c r="D1086" s="494">
        <v>0.3</v>
      </c>
      <c r="E1086" s="495">
        <v>167.45</v>
      </c>
      <c r="F1086" s="495">
        <v>40.340000000000003</v>
      </c>
      <c r="G1086" s="495">
        <v>207.79</v>
      </c>
      <c r="H1086" s="495">
        <v>1</v>
      </c>
      <c r="I1086" s="495">
        <v>359.34</v>
      </c>
      <c r="J1086" s="494">
        <v>0.2</v>
      </c>
      <c r="K1086" s="495">
        <v>71.87</v>
      </c>
      <c r="L1086" s="495">
        <v>17.309999999999999</v>
      </c>
      <c r="M1086" s="495">
        <v>89.18</v>
      </c>
    </row>
    <row r="1087" spans="1:13" ht="30.6" customHeight="1" x14ac:dyDescent="0.25">
      <c r="A1087" s="488" t="s">
        <v>968</v>
      </c>
      <c r="B1087" s="495">
        <v>1</v>
      </c>
      <c r="C1087" s="495">
        <v>307</v>
      </c>
      <c r="D1087" s="494">
        <v>0.3</v>
      </c>
      <c r="E1087" s="495">
        <v>92.1</v>
      </c>
      <c r="F1087" s="495">
        <v>22.19</v>
      </c>
      <c r="G1087" s="495">
        <v>114.28999999999999</v>
      </c>
      <c r="H1087" s="495">
        <v>1</v>
      </c>
      <c r="I1087" s="495">
        <v>387.25</v>
      </c>
      <c r="J1087" s="494">
        <v>0.2</v>
      </c>
      <c r="K1087" s="495">
        <v>77.45</v>
      </c>
      <c r="L1087" s="495">
        <v>18.66</v>
      </c>
      <c r="M1087" s="495">
        <v>96.11</v>
      </c>
    </row>
    <row r="1088" spans="1:13" ht="27" customHeight="1" x14ac:dyDescent="0.25">
      <c r="A1088" s="488" t="s">
        <v>968</v>
      </c>
      <c r="B1088" s="495">
        <v>1</v>
      </c>
      <c r="C1088" s="495">
        <v>614</v>
      </c>
      <c r="D1088" s="494">
        <v>0.3</v>
      </c>
      <c r="E1088" s="495">
        <v>184.2</v>
      </c>
      <c r="F1088" s="495">
        <v>44.37</v>
      </c>
      <c r="G1088" s="495">
        <v>228.57</v>
      </c>
      <c r="H1088" s="495">
        <v>1</v>
      </c>
      <c r="I1088" s="495">
        <v>627.97</v>
      </c>
      <c r="J1088" s="494">
        <v>0.2</v>
      </c>
      <c r="K1088" s="495">
        <v>125.59</v>
      </c>
      <c r="L1088" s="495">
        <v>30.25</v>
      </c>
      <c r="M1088" s="495">
        <v>155.84</v>
      </c>
    </row>
    <row r="1089" spans="1:13" ht="28.9" customHeight="1" x14ac:dyDescent="0.25">
      <c r="A1089" s="488" t="s">
        <v>968</v>
      </c>
      <c r="B1089" s="495">
        <v>1</v>
      </c>
      <c r="C1089" s="495">
        <v>614</v>
      </c>
      <c r="D1089" s="494">
        <v>0.3</v>
      </c>
      <c r="E1089" s="495">
        <v>184.2</v>
      </c>
      <c r="F1089" s="495">
        <v>44.37</v>
      </c>
      <c r="G1089" s="495">
        <v>228.57</v>
      </c>
      <c r="H1089" s="495">
        <v>1</v>
      </c>
      <c r="I1089" s="495">
        <v>303.52</v>
      </c>
      <c r="J1089" s="494">
        <v>0.2</v>
      </c>
      <c r="K1089" s="495">
        <v>60.7</v>
      </c>
      <c r="L1089" s="495">
        <v>14.62</v>
      </c>
      <c r="M1089" s="495">
        <v>75.320000000000007</v>
      </c>
    </row>
    <row r="1090" spans="1:13" ht="26.45" customHeight="1" x14ac:dyDescent="0.25">
      <c r="A1090" s="488" t="s">
        <v>968</v>
      </c>
      <c r="B1090" s="495">
        <v>1</v>
      </c>
      <c r="C1090" s="495">
        <v>614</v>
      </c>
      <c r="D1090" s="494">
        <v>0.3</v>
      </c>
      <c r="E1090" s="495">
        <v>184.2</v>
      </c>
      <c r="F1090" s="495">
        <v>44.37</v>
      </c>
      <c r="G1090" s="495">
        <v>228.57</v>
      </c>
      <c r="H1090" s="495">
        <v>1</v>
      </c>
      <c r="I1090" s="495">
        <v>627.97</v>
      </c>
      <c r="J1090" s="494">
        <v>0.2</v>
      </c>
      <c r="K1090" s="495">
        <v>125.59</v>
      </c>
      <c r="L1090" s="495">
        <v>30.25</v>
      </c>
      <c r="M1090" s="495">
        <v>155.84</v>
      </c>
    </row>
    <row r="1091" spans="1:13" ht="27.6" customHeight="1" x14ac:dyDescent="0.25">
      <c r="A1091" s="488" t="s">
        <v>968</v>
      </c>
      <c r="B1091" s="495">
        <v>1</v>
      </c>
      <c r="C1091" s="495">
        <v>614</v>
      </c>
      <c r="D1091" s="494">
        <v>0.3</v>
      </c>
      <c r="E1091" s="495">
        <v>184.2</v>
      </c>
      <c r="F1091" s="495">
        <v>44.37</v>
      </c>
      <c r="G1091" s="495">
        <v>228.57</v>
      </c>
      <c r="H1091" s="495">
        <v>1</v>
      </c>
      <c r="I1091" s="495">
        <v>443.06</v>
      </c>
      <c r="J1091" s="494">
        <v>0.2</v>
      </c>
      <c r="K1091" s="495">
        <v>88.61</v>
      </c>
      <c r="L1091" s="495">
        <v>21.35</v>
      </c>
      <c r="M1091" s="495">
        <v>109.96000000000001</v>
      </c>
    </row>
    <row r="1092" spans="1:13" ht="17.25" customHeight="1" x14ac:dyDescent="0.25">
      <c r="A1092" s="488" t="s">
        <v>889</v>
      </c>
      <c r="B1092" s="495">
        <v>1</v>
      </c>
      <c r="C1092" s="495">
        <v>432.47</v>
      </c>
      <c r="D1092" s="494">
        <v>0.3</v>
      </c>
      <c r="E1092" s="495">
        <v>129.74</v>
      </c>
      <c r="F1092" s="495">
        <v>31.25</v>
      </c>
      <c r="G1092" s="495">
        <v>160.99</v>
      </c>
      <c r="H1092" s="495">
        <v>1</v>
      </c>
      <c r="I1092" s="495">
        <v>293.05</v>
      </c>
      <c r="J1092" s="494">
        <v>0.2</v>
      </c>
      <c r="K1092" s="495">
        <v>58.61</v>
      </c>
      <c r="L1092" s="495">
        <v>14.12</v>
      </c>
      <c r="M1092" s="495">
        <v>72.73</v>
      </c>
    </row>
    <row r="1093" spans="1:13" ht="17.25" customHeight="1" x14ac:dyDescent="0.25">
      <c r="A1093" s="488" t="s">
        <v>889</v>
      </c>
      <c r="B1093" s="495">
        <v>1</v>
      </c>
      <c r="C1093" s="495">
        <v>500.73</v>
      </c>
      <c r="D1093" s="494">
        <v>0.3</v>
      </c>
      <c r="E1093" s="495">
        <v>150.22</v>
      </c>
      <c r="F1093" s="495">
        <v>36.19</v>
      </c>
      <c r="G1093" s="495">
        <v>186.41</v>
      </c>
      <c r="H1093" s="495">
        <v>1</v>
      </c>
      <c r="I1093" s="495">
        <v>449.53</v>
      </c>
      <c r="J1093" s="494">
        <v>0.2</v>
      </c>
      <c r="K1093" s="495">
        <v>89.91</v>
      </c>
      <c r="L1093" s="495">
        <v>21.66</v>
      </c>
      <c r="M1093" s="495">
        <v>111.57</v>
      </c>
    </row>
    <row r="1094" spans="1:13" ht="17.25" customHeight="1" x14ac:dyDescent="0.25">
      <c r="A1094" s="488" t="s">
        <v>890</v>
      </c>
      <c r="B1094" s="495">
        <v>1</v>
      </c>
      <c r="C1094" s="495">
        <v>1250</v>
      </c>
      <c r="D1094" s="494">
        <v>0.3</v>
      </c>
      <c r="E1094" s="495">
        <v>375</v>
      </c>
      <c r="F1094" s="495">
        <v>90.34</v>
      </c>
      <c r="G1094" s="495">
        <v>465.34000000000003</v>
      </c>
      <c r="H1094" s="495">
        <v>1</v>
      </c>
      <c r="I1094" s="495">
        <v>1250</v>
      </c>
      <c r="J1094" s="494">
        <v>0.2</v>
      </c>
      <c r="K1094" s="495">
        <v>250</v>
      </c>
      <c r="L1094" s="495">
        <v>60.23</v>
      </c>
      <c r="M1094" s="495">
        <v>310.23</v>
      </c>
    </row>
    <row r="1095" spans="1:13" ht="17.25" customHeight="1" x14ac:dyDescent="0.25">
      <c r="A1095" s="488" t="s">
        <v>891</v>
      </c>
      <c r="B1095" s="495"/>
      <c r="C1095" s="495"/>
      <c r="D1095" s="494"/>
      <c r="E1095" s="495"/>
      <c r="F1095" s="495">
        <v>0</v>
      </c>
      <c r="G1095" s="495">
        <v>0</v>
      </c>
      <c r="H1095" s="495">
        <v>1</v>
      </c>
      <c r="I1095" s="495">
        <v>1380</v>
      </c>
      <c r="J1095" s="494">
        <v>0.2</v>
      </c>
      <c r="K1095" s="495">
        <v>276</v>
      </c>
      <c r="L1095" s="495">
        <v>66.489999999999995</v>
      </c>
      <c r="M1095" s="495">
        <v>342.49</v>
      </c>
    </row>
    <row r="1096" spans="1:13" ht="17.25" customHeight="1" x14ac:dyDescent="0.25">
      <c r="A1096" s="488" t="s">
        <v>892</v>
      </c>
      <c r="B1096" s="495">
        <v>1</v>
      </c>
      <c r="C1096" s="495">
        <v>508</v>
      </c>
      <c r="D1096" s="494">
        <v>0.5</v>
      </c>
      <c r="E1096" s="495">
        <v>254</v>
      </c>
      <c r="F1096" s="495">
        <v>61.19</v>
      </c>
      <c r="G1096" s="495">
        <v>315.19</v>
      </c>
      <c r="H1096" s="495">
        <v>1</v>
      </c>
      <c r="I1096" s="495">
        <v>250.78</v>
      </c>
      <c r="J1096" s="494">
        <v>0.2</v>
      </c>
      <c r="K1096" s="495">
        <v>50.16</v>
      </c>
      <c r="L1096" s="495">
        <v>12.08</v>
      </c>
      <c r="M1096" s="495">
        <v>62.239999999999995</v>
      </c>
    </row>
    <row r="1097" spans="1:13" ht="17.25" customHeight="1" x14ac:dyDescent="0.25">
      <c r="A1097" s="488" t="s">
        <v>892</v>
      </c>
      <c r="B1097" s="495">
        <v>1</v>
      </c>
      <c r="C1097" s="495">
        <v>508</v>
      </c>
      <c r="D1097" s="494">
        <v>0.5</v>
      </c>
      <c r="E1097" s="495">
        <v>254</v>
      </c>
      <c r="F1097" s="495">
        <v>61.19</v>
      </c>
      <c r="G1097" s="495">
        <v>315.19</v>
      </c>
      <c r="H1097" s="495">
        <v>1</v>
      </c>
      <c r="I1097" s="495">
        <v>508</v>
      </c>
      <c r="J1097" s="494">
        <v>0.2</v>
      </c>
      <c r="K1097" s="495">
        <v>101.6</v>
      </c>
      <c r="L1097" s="495">
        <v>24.48</v>
      </c>
      <c r="M1097" s="495">
        <v>126.08</v>
      </c>
    </row>
    <row r="1098" spans="1:13" ht="17.25" customHeight="1" x14ac:dyDescent="0.25">
      <c r="A1098" s="488" t="s">
        <v>892</v>
      </c>
      <c r="B1098" s="495">
        <v>1</v>
      </c>
      <c r="C1098" s="495">
        <v>415.64</v>
      </c>
      <c r="D1098" s="494">
        <v>0.5</v>
      </c>
      <c r="E1098" s="495">
        <v>207.82</v>
      </c>
      <c r="F1098" s="495">
        <v>50.06</v>
      </c>
      <c r="G1098" s="495">
        <v>257.88</v>
      </c>
      <c r="H1098" s="495">
        <v>1</v>
      </c>
      <c r="I1098" s="495">
        <v>508</v>
      </c>
      <c r="J1098" s="494">
        <v>0.2</v>
      </c>
      <c r="K1098" s="495">
        <v>101.6</v>
      </c>
      <c r="L1098" s="495">
        <v>24.48</v>
      </c>
      <c r="M1098" s="495">
        <v>126.08</v>
      </c>
    </row>
    <row r="1099" spans="1:13" ht="17.25" customHeight="1" x14ac:dyDescent="0.25">
      <c r="A1099" s="488" t="s">
        <v>892</v>
      </c>
      <c r="B1099" s="495">
        <v>1</v>
      </c>
      <c r="C1099" s="495">
        <v>489.1</v>
      </c>
      <c r="D1099" s="494">
        <v>0.3</v>
      </c>
      <c r="E1099" s="495">
        <v>146.72999999999999</v>
      </c>
      <c r="F1099" s="495">
        <v>35.35</v>
      </c>
      <c r="G1099" s="495">
        <v>182.07999999999998</v>
      </c>
      <c r="H1099" s="495">
        <v>1</v>
      </c>
      <c r="I1099" s="495">
        <v>439.07</v>
      </c>
      <c r="J1099" s="494">
        <v>0.2</v>
      </c>
      <c r="K1099" s="495">
        <v>87.81</v>
      </c>
      <c r="L1099" s="495">
        <v>21.15</v>
      </c>
      <c r="M1099" s="495">
        <v>108.96000000000001</v>
      </c>
    </row>
    <row r="1100" spans="1:13" ht="17.25" customHeight="1" x14ac:dyDescent="0.25">
      <c r="A1100" s="488" t="s">
        <v>892</v>
      </c>
      <c r="B1100" s="495">
        <v>1</v>
      </c>
      <c r="C1100" s="495">
        <v>489.1</v>
      </c>
      <c r="D1100" s="494">
        <v>0.3</v>
      </c>
      <c r="E1100" s="495">
        <v>146.72999999999999</v>
      </c>
      <c r="F1100" s="495">
        <v>35.35</v>
      </c>
      <c r="G1100" s="495">
        <v>182.07999999999998</v>
      </c>
      <c r="H1100" s="495">
        <v>1</v>
      </c>
      <c r="I1100" s="495">
        <v>439.07</v>
      </c>
      <c r="J1100" s="494">
        <v>0.2</v>
      </c>
      <c r="K1100" s="495">
        <v>87.81</v>
      </c>
      <c r="L1100" s="495">
        <v>21.15</v>
      </c>
      <c r="M1100" s="495">
        <v>108.96000000000001</v>
      </c>
    </row>
    <row r="1101" spans="1:13" ht="17.25" customHeight="1" x14ac:dyDescent="0.25">
      <c r="A1101" s="488" t="s">
        <v>892</v>
      </c>
      <c r="B1101" s="495">
        <v>1</v>
      </c>
      <c r="C1101" s="495">
        <v>534.73</v>
      </c>
      <c r="D1101" s="494">
        <v>0.3</v>
      </c>
      <c r="E1101" s="495">
        <v>160.41999999999999</v>
      </c>
      <c r="F1101" s="495">
        <v>38.65</v>
      </c>
      <c r="G1101" s="495">
        <v>199.07</v>
      </c>
      <c r="H1101" s="495">
        <v>1</v>
      </c>
      <c r="I1101" s="495">
        <v>483.8</v>
      </c>
      <c r="J1101" s="494">
        <v>0.2</v>
      </c>
      <c r="K1101" s="495">
        <v>96.76</v>
      </c>
      <c r="L1101" s="495">
        <v>23.31</v>
      </c>
      <c r="M1101" s="495">
        <v>120.07000000000001</v>
      </c>
    </row>
    <row r="1102" spans="1:13" ht="17.25" customHeight="1" x14ac:dyDescent="0.25">
      <c r="A1102" s="488" t="s">
        <v>892</v>
      </c>
      <c r="B1102" s="495">
        <v>0.5</v>
      </c>
      <c r="C1102" s="495">
        <v>687.5</v>
      </c>
      <c r="D1102" s="494">
        <v>0.3</v>
      </c>
      <c r="E1102" s="495">
        <v>206.25</v>
      </c>
      <c r="F1102" s="495">
        <v>49.69</v>
      </c>
      <c r="G1102" s="495">
        <v>255.94</v>
      </c>
      <c r="H1102" s="495">
        <v>0.5</v>
      </c>
      <c r="I1102" s="495">
        <v>483.8</v>
      </c>
      <c r="J1102" s="494">
        <v>0.2</v>
      </c>
      <c r="K1102" s="495">
        <v>96.76</v>
      </c>
      <c r="L1102" s="495">
        <v>23.31</v>
      </c>
      <c r="M1102" s="495">
        <v>120.07000000000001</v>
      </c>
    </row>
    <row r="1103" spans="1:13" ht="17.25" customHeight="1" x14ac:dyDescent="0.25">
      <c r="A1103" s="488" t="s">
        <v>892</v>
      </c>
      <c r="B1103" s="495"/>
      <c r="C1103" s="495"/>
      <c r="D1103" s="494"/>
      <c r="E1103" s="495"/>
      <c r="F1103" s="495">
        <v>0</v>
      </c>
      <c r="G1103" s="495">
        <v>0</v>
      </c>
      <c r="H1103" s="495">
        <v>0.5</v>
      </c>
      <c r="I1103" s="495">
        <v>229.17</v>
      </c>
      <c r="J1103" s="494">
        <v>0.2</v>
      </c>
      <c r="K1103" s="495">
        <v>45.83</v>
      </c>
      <c r="L1103" s="495">
        <v>11.04</v>
      </c>
      <c r="M1103" s="495">
        <v>56.87</v>
      </c>
    </row>
    <row r="1104" spans="1:13" ht="17.25" customHeight="1" x14ac:dyDescent="0.25">
      <c r="A1104" s="488" t="s">
        <v>892</v>
      </c>
      <c r="B1104" s="495">
        <v>0.5</v>
      </c>
      <c r="C1104" s="495">
        <v>557</v>
      </c>
      <c r="D1104" s="494">
        <v>0.3</v>
      </c>
      <c r="E1104" s="495">
        <v>167.1</v>
      </c>
      <c r="F1104" s="495">
        <v>40.25</v>
      </c>
      <c r="G1104" s="495">
        <v>207.35</v>
      </c>
      <c r="H1104" s="495">
        <v>0.5</v>
      </c>
      <c r="I1104" s="495">
        <v>356.48</v>
      </c>
      <c r="J1104" s="494">
        <v>0.2</v>
      </c>
      <c r="K1104" s="495">
        <v>71.3</v>
      </c>
      <c r="L1104" s="495">
        <v>17.18</v>
      </c>
      <c r="M1104" s="495">
        <v>88.47999999999999</v>
      </c>
    </row>
    <row r="1105" spans="1:13" ht="17.25" customHeight="1" x14ac:dyDescent="0.25">
      <c r="A1105" s="488" t="s">
        <v>892</v>
      </c>
      <c r="B1105" s="495"/>
      <c r="C1105" s="495"/>
      <c r="D1105" s="494"/>
      <c r="E1105" s="495"/>
      <c r="F1105" s="495">
        <v>0</v>
      </c>
      <c r="G1105" s="495">
        <v>0</v>
      </c>
      <c r="H1105" s="495">
        <v>0.5</v>
      </c>
      <c r="I1105" s="495">
        <v>254.63</v>
      </c>
      <c r="J1105" s="494">
        <v>0.2</v>
      </c>
      <c r="K1105" s="495">
        <v>50.93</v>
      </c>
      <c r="L1105" s="495">
        <v>12.27</v>
      </c>
      <c r="M1105" s="495">
        <v>63.2</v>
      </c>
    </row>
    <row r="1106" spans="1:13" ht="17.25" customHeight="1" x14ac:dyDescent="0.25">
      <c r="A1106" s="488" t="s">
        <v>892</v>
      </c>
      <c r="B1106" s="495">
        <v>0.25</v>
      </c>
      <c r="C1106" s="495">
        <v>267.52999999999997</v>
      </c>
      <c r="D1106" s="494">
        <v>0.3</v>
      </c>
      <c r="E1106" s="495">
        <v>80.260000000000005</v>
      </c>
      <c r="F1106" s="495">
        <v>19.329999999999998</v>
      </c>
      <c r="G1106" s="495">
        <v>99.59</v>
      </c>
      <c r="H1106" s="495">
        <v>0.25</v>
      </c>
      <c r="I1106" s="495">
        <v>340.48</v>
      </c>
      <c r="J1106" s="494">
        <v>0.2</v>
      </c>
      <c r="K1106" s="495">
        <v>68.099999999999994</v>
      </c>
      <c r="L1106" s="495">
        <v>16.41</v>
      </c>
      <c r="M1106" s="495">
        <v>84.509999999999991</v>
      </c>
    </row>
    <row r="1107" spans="1:13" ht="17.25" customHeight="1" x14ac:dyDescent="0.25">
      <c r="A1107" s="488" t="s">
        <v>892</v>
      </c>
      <c r="B1107" s="495">
        <v>0.25</v>
      </c>
      <c r="C1107" s="495">
        <v>152.77000000000001</v>
      </c>
      <c r="D1107" s="494">
        <v>0.3</v>
      </c>
      <c r="E1107" s="495">
        <v>45.83</v>
      </c>
      <c r="F1107" s="495">
        <v>11.04</v>
      </c>
      <c r="G1107" s="495">
        <v>56.87</v>
      </c>
      <c r="H1107" s="495">
        <v>0.25</v>
      </c>
      <c r="I1107" s="495">
        <v>127.32</v>
      </c>
      <c r="J1107" s="494">
        <v>0.2</v>
      </c>
      <c r="K1107" s="495">
        <v>25.46</v>
      </c>
      <c r="L1107" s="495">
        <v>6.13</v>
      </c>
      <c r="M1107" s="495">
        <v>31.59</v>
      </c>
    </row>
    <row r="1108" spans="1:13" ht="17.25" customHeight="1" x14ac:dyDescent="0.25">
      <c r="A1108" s="488" t="s">
        <v>892</v>
      </c>
      <c r="B1108" s="495"/>
      <c r="C1108" s="495"/>
      <c r="D1108" s="494"/>
      <c r="E1108" s="495"/>
      <c r="F1108" s="495">
        <v>0</v>
      </c>
      <c r="G1108" s="495">
        <v>0</v>
      </c>
      <c r="H1108" s="495">
        <v>1</v>
      </c>
      <c r="I1108" s="495">
        <v>506</v>
      </c>
      <c r="J1108" s="494">
        <v>0.2</v>
      </c>
      <c r="K1108" s="495">
        <v>101.2</v>
      </c>
      <c r="L1108" s="495">
        <v>24.38</v>
      </c>
      <c r="M1108" s="495">
        <v>125.58</v>
      </c>
    </row>
    <row r="1109" spans="1:13" ht="17.25" customHeight="1" x14ac:dyDescent="0.25">
      <c r="A1109" s="488" t="s">
        <v>892</v>
      </c>
      <c r="B1109" s="495"/>
      <c r="C1109" s="495"/>
      <c r="D1109" s="494"/>
      <c r="E1109" s="495"/>
      <c r="F1109" s="495">
        <v>0</v>
      </c>
      <c r="G1109" s="495">
        <v>0</v>
      </c>
      <c r="H1109" s="495">
        <v>1</v>
      </c>
      <c r="I1109" s="495">
        <v>227.38</v>
      </c>
      <c r="J1109" s="494">
        <v>0.2</v>
      </c>
      <c r="K1109" s="495">
        <v>45.48</v>
      </c>
      <c r="L1109" s="495">
        <v>10.96</v>
      </c>
      <c r="M1109" s="495">
        <v>56.44</v>
      </c>
    </row>
    <row r="1110" spans="1:13" ht="26.45" customHeight="1" x14ac:dyDescent="0.25">
      <c r="A1110" s="488" t="s">
        <v>893</v>
      </c>
      <c r="B1110" s="495"/>
      <c r="C1110" s="495"/>
      <c r="D1110" s="494"/>
      <c r="E1110" s="495"/>
      <c r="F1110" s="495">
        <v>0</v>
      </c>
      <c r="G1110" s="495">
        <v>0</v>
      </c>
      <c r="H1110" s="495">
        <v>1</v>
      </c>
      <c r="I1110" s="495">
        <v>405.58</v>
      </c>
      <c r="J1110" s="494">
        <v>0.2</v>
      </c>
      <c r="K1110" s="495">
        <v>81.12</v>
      </c>
      <c r="L1110" s="495">
        <v>19.54</v>
      </c>
      <c r="M1110" s="495">
        <v>100.66</v>
      </c>
    </row>
    <row r="1111" spans="1:13" ht="19.899999999999999" customHeight="1" x14ac:dyDescent="0.25">
      <c r="A1111" s="488" t="s">
        <v>894</v>
      </c>
      <c r="B1111" s="495"/>
      <c r="C1111" s="495"/>
      <c r="D1111" s="494"/>
      <c r="E1111" s="495"/>
      <c r="F1111" s="495">
        <v>0</v>
      </c>
      <c r="G1111" s="495">
        <v>0</v>
      </c>
      <c r="H1111" s="495">
        <v>1</v>
      </c>
      <c r="I1111" s="495">
        <v>1132</v>
      </c>
      <c r="J1111" s="494">
        <v>0.2</v>
      </c>
      <c r="K1111" s="495">
        <v>226.4</v>
      </c>
      <c r="L1111" s="495">
        <v>54.54</v>
      </c>
      <c r="M1111" s="495">
        <v>280.94</v>
      </c>
    </row>
    <row r="1112" spans="1:13" ht="17.25" customHeight="1" x14ac:dyDescent="0.25">
      <c r="A1112" s="488" t="s">
        <v>895</v>
      </c>
      <c r="B1112" s="495">
        <v>1</v>
      </c>
      <c r="C1112" s="495">
        <v>3090.9</v>
      </c>
      <c r="D1112" s="494">
        <v>0.5</v>
      </c>
      <c r="E1112" s="495">
        <v>1545.45</v>
      </c>
      <c r="F1112" s="495">
        <v>372.3</v>
      </c>
      <c r="G1112" s="495">
        <v>1917.75</v>
      </c>
      <c r="H1112" s="495">
        <v>1</v>
      </c>
      <c r="I1112" s="495">
        <v>4000</v>
      </c>
      <c r="J1112" s="494">
        <v>0.2</v>
      </c>
      <c r="K1112" s="495">
        <v>800</v>
      </c>
      <c r="L1112" s="495">
        <v>192.72</v>
      </c>
      <c r="M1112" s="495">
        <v>992.72</v>
      </c>
    </row>
    <row r="1113" spans="1:13" ht="17.25" customHeight="1" x14ac:dyDescent="0.25">
      <c r="A1113" s="488" t="s">
        <v>168</v>
      </c>
      <c r="B1113" s="495">
        <v>1</v>
      </c>
      <c r="C1113" s="495">
        <v>901</v>
      </c>
      <c r="D1113" s="494">
        <v>0.3</v>
      </c>
      <c r="E1113" s="495">
        <v>270.3</v>
      </c>
      <c r="F1113" s="495">
        <v>65.12</v>
      </c>
      <c r="G1113" s="495">
        <v>335.42</v>
      </c>
      <c r="H1113" s="495">
        <v>1</v>
      </c>
      <c r="I1113" s="495">
        <v>901</v>
      </c>
      <c r="J1113" s="494">
        <v>0.2</v>
      </c>
      <c r="K1113" s="495">
        <v>180.2</v>
      </c>
      <c r="L1113" s="495">
        <v>43.41</v>
      </c>
      <c r="M1113" s="495">
        <v>223.60999999999999</v>
      </c>
    </row>
    <row r="1114" spans="1:13" ht="17.25" customHeight="1" x14ac:dyDescent="0.25">
      <c r="A1114" s="488" t="s">
        <v>18</v>
      </c>
      <c r="B1114" s="495">
        <v>1</v>
      </c>
      <c r="C1114" s="495">
        <v>684.68</v>
      </c>
      <c r="D1114" s="494">
        <v>0.5</v>
      </c>
      <c r="E1114" s="495">
        <v>342.34</v>
      </c>
      <c r="F1114" s="495">
        <v>82.47</v>
      </c>
      <c r="G1114" s="495">
        <v>424.80999999999995</v>
      </c>
      <c r="H1114" s="495">
        <v>1</v>
      </c>
      <c r="I1114" s="495">
        <v>433.76</v>
      </c>
      <c r="J1114" s="494">
        <v>0.2</v>
      </c>
      <c r="K1114" s="495">
        <v>86.75</v>
      </c>
      <c r="L1114" s="495">
        <v>20.9</v>
      </c>
      <c r="M1114" s="495">
        <v>107.65</v>
      </c>
    </row>
    <row r="1115" spans="1:13" ht="17.25" customHeight="1" x14ac:dyDescent="0.25">
      <c r="A1115" s="488" t="s">
        <v>18</v>
      </c>
      <c r="B1115" s="495">
        <v>1</v>
      </c>
      <c r="C1115" s="495">
        <v>99.84</v>
      </c>
      <c r="D1115" s="494">
        <v>0.5</v>
      </c>
      <c r="E1115" s="495">
        <v>49.92</v>
      </c>
      <c r="F1115" s="495">
        <v>12.03</v>
      </c>
      <c r="G1115" s="495">
        <v>61.95</v>
      </c>
      <c r="H1115" s="495">
        <v>1</v>
      </c>
      <c r="I1115" s="495">
        <v>499.19</v>
      </c>
      <c r="J1115" s="494">
        <v>0.2</v>
      </c>
      <c r="K1115" s="495">
        <v>99.84</v>
      </c>
      <c r="L1115" s="495">
        <v>24.05</v>
      </c>
      <c r="M1115" s="495">
        <v>123.89</v>
      </c>
    </row>
    <row r="1116" spans="1:13" ht="17.25" customHeight="1" x14ac:dyDescent="0.25">
      <c r="A1116" s="488" t="s">
        <v>18</v>
      </c>
      <c r="B1116" s="495">
        <v>1</v>
      </c>
      <c r="C1116" s="495">
        <v>628.13</v>
      </c>
      <c r="D1116" s="494">
        <v>0.3</v>
      </c>
      <c r="E1116" s="495">
        <v>188.44</v>
      </c>
      <c r="F1116" s="495">
        <v>45.4</v>
      </c>
      <c r="G1116" s="495">
        <v>233.84</v>
      </c>
      <c r="H1116" s="495"/>
      <c r="I1116" s="495"/>
      <c r="J1116" s="494"/>
      <c r="K1116" s="495"/>
      <c r="L1116" s="495"/>
      <c r="M1116" s="495"/>
    </row>
    <row r="1117" spans="1:13" ht="17.25" customHeight="1" x14ac:dyDescent="0.25">
      <c r="A1117" s="488" t="s">
        <v>18</v>
      </c>
      <c r="B1117" s="495">
        <v>0.5</v>
      </c>
      <c r="C1117" s="495">
        <v>499.2</v>
      </c>
      <c r="D1117" s="494">
        <v>0.3</v>
      </c>
      <c r="E1117" s="495">
        <v>149.76</v>
      </c>
      <c r="F1117" s="495">
        <v>36.08</v>
      </c>
      <c r="G1117" s="495">
        <v>185.83999999999997</v>
      </c>
      <c r="H1117" s="495">
        <v>0.5</v>
      </c>
      <c r="I1117" s="495">
        <v>499.19</v>
      </c>
      <c r="J1117" s="494">
        <v>0.2</v>
      </c>
      <c r="K1117" s="495">
        <v>99.84</v>
      </c>
      <c r="L1117" s="495">
        <v>24.05</v>
      </c>
      <c r="M1117" s="495">
        <v>123.89</v>
      </c>
    </row>
    <row r="1118" spans="1:13" ht="17.25" customHeight="1" x14ac:dyDescent="0.25">
      <c r="A1118" s="488" t="s">
        <v>18</v>
      </c>
      <c r="B1118" s="495">
        <v>0.5</v>
      </c>
      <c r="C1118" s="495">
        <v>228.8</v>
      </c>
      <c r="D1118" s="494">
        <v>0.3</v>
      </c>
      <c r="E1118" s="495">
        <v>68.64</v>
      </c>
      <c r="F1118" s="495">
        <v>16.54</v>
      </c>
      <c r="G1118" s="495">
        <v>85.18</v>
      </c>
      <c r="H1118" s="495">
        <v>0.5</v>
      </c>
      <c r="I1118" s="495">
        <v>199.68</v>
      </c>
      <c r="J1118" s="494">
        <v>0.2</v>
      </c>
      <c r="K1118" s="495">
        <v>39.94</v>
      </c>
      <c r="L1118" s="495">
        <v>9.6199999999999992</v>
      </c>
      <c r="M1118" s="495">
        <v>49.559999999999995</v>
      </c>
    </row>
    <row r="1119" spans="1:13" ht="17.25" customHeight="1" x14ac:dyDescent="0.25">
      <c r="A1119" s="488" t="s">
        <v>18</v>
      </c>
      <c r="B1119" s="495">
        <v>0.75</v>
      </c>
      <c r="C1119" s="495">
        <v>547.52</v>
      </c>
      <c r="D1119" s="494">
        <v>0.5</v>
      </c>
      <c r="E1119" s="495">
        <v>273.76</v>
      </c>
      <c r="F1119" s="495">
        <v>65.95</v>
      </c>
      <c r="G1119" s="495">
        <v>339.71</v>
      </c>
      <c r="H1119" s="495">
        <v>0.75</v>
      </c>
      <c r="I1119" s="495">
        <v>533.01</v>
      </c>
      <c r="J1119" s="494">
        <v>0.2</v>
      </c>
      <c r="K1119" s="495">
        <v>106.6</v>
      </c>
      <c r="L1119" s="495">
        <v>25.68</v>
      </c>
      <c r="M1119" s="495">
        <v>132.28</v>
      </c>
    </row>
    <row r="1120" spans="1:13" ht="17.25" customHeight="1" x14ac:dyDescent="0.25">
      <c r="A1120" s="488" t="s">
        <v>18</v>
      </c>
      <c r="B1120" s="495"/>
      <c r="C1120" s="495"/>
      <c r="D1120" s="494"/>
      <c r="E1120" s="495"/>
      <c r="F1120" s="495">
        <v>0</v>
      </c>
      <c r="G1120" s="495">
        <v>0</v>
      </c>
      <c r="H1120" s="495">
        <v>1</v>
      </c>
      <c r="I1120" s="495">
        <v>209.47</v>
      </c>
      <c r="J1120" s="494">
        <v>0.2</v>
      </c>
      <c r="K1120" s="495">
        <v>41.89</v>
      </c>
      <c r="L1120" s="495">
        <v>10.09</v>
      </c>
      <c r="M1120" s="495">
        <v>51.980000000000004</v>
      </c>
    </row>
    <row r="1121" spans="1:13" ht="17.25" customHeight="1" x14ac:dyDescent="0.25">
      <c r="A1121" s="488" t="s">
        <v>18</v>
      </c>
      <c r="B1121" s="495">
        <v>1</v>
      </c>
      <c r="C1121" s="495">
        <v>572</v>
      </c>
      <c r="D1121" s="494">
        <v>0.3</v>
      </c>
      <c r="E1121" s="495">
        <v>171.6</v>
      </c>
      <c r="F1121" s="495">
        <v>41.34</v>
      </c>
      <c r="G1121" s="495">
        <v>212.94</v>
      </c>
      <c r="H1121" s="495">
        <v>1</v>
      </c>
      <c r="I1121" s="495">
        <v>692</v>
      </c>
      <c r="J1121" s="494">
        <v>0.2</v>
      </c>
      <c r="K1121" s="495">
        <v>138.4</v>
      </c>
      <c r="L1121" s="495">
        <v>33.340000000000003</v>
      </c>
      <c r="M1121" s="495">
        <v>171.74</v>
      </c>
    </row>
    <row r="1122" spans="1:13" ht="17.25" customHeight="1" x14ac:dyDescent="0.25">
      <c r="A1122" s="488" t="s">
        <v>18</v>
      </c>
      <c r="B1122" s="495">
        <v>0.25</v>
      </c>
      <c r="C1122" s="495">
        <v>245.13</v>
      </c>
      <c r="D1122" s="494">
        <v>0.3</v>
      </c>
      <c r="E1122" s="495">
        <v>73.540000000000006</v>
      </c>
      <c r="F1122" s="495">
        <v>17.72</v>
      </c>
      <c r="G1122" s="495">
        <v>91.26</v>
      </c>
      <c r="H1122" s="495"/>
      <c r="I1122" s="495"/>
      <c r="J1122" s="494"/>
      <c r="K1122" s="495"/>
      <c r="L1122" s="495"/>
      <c r="M1122" s="495"/>
    </row>
    <row r="1123" spans="1:13" ht="17.25" customHeight="1" x14ac:dyDescent="0.25">
      <c r="A1123" s="488" t="s">
        <v>18</v>
      </c>
      <c r="B1123" s="495">
        <v>0.5</v>
      </c>
      <c r="C1123" s="495">
        <v>490.27</v>
      </c>
      <c r="D1123" s="494">
        <v>0.3</v>
      </c>
      <c r="E1123" s="495">
        <v>147.08000000000001</v>
      </c>
      <c r="F1123" s="495">
        <v>35.43</v>
      </c>
      <c r="G1123" s="495">
        <v>182.51000000000002</v>
      </c>
      <c r="H1123" s="495">
        <v>0.5</v>
      </c>
      <c r="I1123" s="495">
        <v>490.27</v>
      </c>
      <c r="J1123" s="494">
        <v>0.2</v>
      </c>
      <c r="K1123" s="495">
        <v>98.05</v>
      </c>
      <c r="L1123" s="495">
        <v>23.62</v>
      </c>
      <c r="M1123" s="495">
        <v>121.67</v>
      </c>
    </row>
    <row r="1124" spans="1:13" ht="17.25" customHeight="1" x14ac:dyDescent="0.25">
      <c r="A1124" s="488" t="s">
        <v>18</v>
      </c>
      <c r="B1124" s="495">
        <v>0.5</v>
      </c>
      <c r="C1124" s="495">
        <v>571.97</v>
      </c>
      <c r="D1124" s="494">
        <v>0.3</v>
      </c>
      <c r="E1124" s="495">
        <v>171.59</v>
      </c>
      <c r="F1124" s="495">
        <v>41.34</v>
      </c>
      <c r="G1124" s="495">
        <v>212.93</v>
      </c>
      <c r="H1124" s="495">
        <v>0.5</v>
      </c>
      <c r="I1124" s="495">
        <v>612.84</v>
      </c>
      <c r="J1124" s="494">
        <v>0.2</v>
      </c>
      <c r="K1124" s="495">
        <v>122.57</v>
      </c>
      <c r="L1124" s="495">
        <v>29.53</v>
      </c>
      <c r="M1124" s="495">
        <v>152.1</v>
      </c>
    </row>
    <row r="1125" spans="1:13" ht="17.25" customHeight="1" x14ac:dyDescent="0.25">
      <c r="A1125" s="488" t="s">
        <v>18</v>
      </c>
      <c r="B1125" s="495">
        <v>0.5</v>
      </c>
      <c r="C1125" s="495">
        <v>490.27</v>
      </c>
      <c r="D1125" s="494">
        <v>0.3</v>
      </c>
      <c r="E1125" s="495">
        <v>147.08000000000001</v>
      </c>
      <c r="F1125" s="495">
        <v>35.43</v>
      </c>
      <c r="G1125" s="495">
        <v>182.51000000000002</v>
      </c>
      <c r="H1125" s="495">
        <v>0.5</v>
      </c>
      <c r="I1125" s="495">
        <v>612.84</v>
      </c>
      <c r="J1125" s="494">
        <v>0.2</v>
      </c>
      <c r="K1125" s="495">
        <v>122.57</v>
      </c>
      <c r="L1125" s="495">
        <v>29.53</v>
      </c>
      <c r="M1125" s="495">
        <v>152.1</v>
      </c>
    </row>
    <row r="1126" spans="1:13" ht="17.25" customHeight="1" x14ac:dyDescent="0.25">
      <c r="A1126" s="488" t="s">
        <v>18</v>
      </c>
      <c r="B1126" s="495">
        <v>0.5</v>
      </c>
      <c r="C1126" s="495">
        <v>245.14</v>
      </c>
      <c r="D1126" s="494">
        <v>0.5</v>
      </c>
      <c r="E1126" s="495">
        <v>122.57</v>
      </c>
      <c r="F1126" s="495">
        <v>29.53</v>
      </c>
      <c r="G1126" s="495">
        <v>152.1</v>
      </c>
      <c r="H1126" s="495">
        <v>0.5</v>
      </c>
      <c r="I1126" s="495">
        <v>612.84</v>
      </c>
      <c r="J1126" s="494">
        <v>0.2</v>
      </c>
      <c r="K1126" s="495">
        <v>122.57</v>
      </c>
      <c r="L1126" s="495">
        <v>29.53</v>
      </c>
      <c r="M1126" s="495">
        <v>152.1</v>
      </c>
    </row>
    <row r="1127" spans="1:13" ht="17.25" customHeight="1" x14ac:dyDescent="0.25">
      <c r="A1127" s="488" t="s">
        <v>18</v>
      </c>
      <c r="B1127" s="495">
        <v>0.5</v>
      </c>
      <c r="C1127" s="495">
        <v>536.23</v>
      </c>
      <c r="D1127" s="494">
        <v>0.3</v>
      </c>
      <c r="E1127" s="495">
        <v>160.87</v>
      </c>
      <c r="F1127" s="495">
        <v>38.75</v>
      </c>
      <c r="G1127" s="495">
        <v>199.62</v>
      </c>
      <c r="H1127" s="495"/>
      <c r="I1127" s="495"/>
      <c r="J1127" s="494"/>
      <c r="K1127" s="495"/>
      <c r="L1127" s="495"/>
      <c r="M1127" s="495"/>
    </row>
    <row r="1128" spans="1:13" ht="17.25" customHeight="1" x14ac:dyDescent="0.25">
      <c r="A1128" s="488" t="s">
        <v>18</v>
      </c>
      <c r="B1128" s="495">
        <v>0.5</v>
      </c>
      <c r="C1128" s="495">
        <v>122.58</v>
      </c>
      <c r="D1128" s="494">
        <v>0.5</v>
      </c>
      <c r="E1128" s="495">
        <v>61.29</v>
      </c>
      <c r="F1128" s="495">
        <v>14.76</v>
      </c>
      <c r="G1128" s="495">
        <v>76.05</v>
      </c>
      <c r="H1128" s="495">
        <v>0.5</v>
      </c>
      <c r="I1128" s="495">
        <v>612.84</v>
      </c>
      <c r="J1128" s="494">
        <v>0.2</v>
      </c>
      <c r="K1128" s="495">
        <v>122.57</v>
      </c>
      <c r="L1128" s="495">
        <v>29.53</v>
      </c>
      <c r="M1128" s="495">
        <v>152.1</v>
      </c>
    </row>
    <row r="1129" spans="1:13" ht="17.25" customHeight="1" x14ac:dyDescent="0.25">
      <c r="A1129" s="488" t="s">
        <v>18</v>
      </c>
      <c r="B1129" s="495">
        <v>0.5</v>
      </c>
      <c r="C1129" s="495">
        <v>347.27</v>
      </c>
      <c r="D1129" s="494">
        <v>0.3</v>
      </c>
      <c r="E1129" s="495">
        <v>104.18</v>
      </c>
      <c r="F1129" s="495">
        <v>25.1</v>
      </c>
      <c r="G1129" s="495">
        <v>129.28</v>
      </c>
      <c r="H1129" s="495"/>
      <c r="I1129" s="495"/>
      <c r="J1129" s="494"/>
      <c r="K1129" s="495"/>
      <c r="L1129" s="495"/>
      <c r="M1129" s="495"/>
    </row>
    <row r="1130" spans="1:13" ht="17.25" customHeight="1" x14ac:dyDescent="0.25">
      <c r="A1130" s="488" t="s">
        <v>18</v>
      </c>
      <c r="B1130" s="495">
        <v>0.5</v>
      </c>
      <c r="C1130" s="495">
        <v>122.58</v>
      </c>
      <c r="D1130" s="494">
        <v>0.5</v>
      </c>
      <c r="E1130" s="495">
        <v>61.29</v>
      </c>
      <c r="F1130" s="495">
        <v>14.76</v>
      </c>
      <c r="G1130" s="495">
        <v>76.05</v>
      </c>
      <c r="H1130" s="495">
        <v>0.5</v>
      </c>
      <c r="I1130" s="495">
        <v>735.41</v>
      </c>
      <c r="J1130" s="494">
        <v>0.2</v>
      </c>
      <c r="K1130" s="495">
        <v>147.08000000000001</v>
      </c>
      <c r="L1130" s="495">
        <v>35.43</v>
      </c>
      <c r="M1130" s="495">
        <v>182.51000000000002</v>
      </c>
    </row>
    <row r="1131" spans="1:13" ht="17.25" customHeight="1" x14ac:dyDescent="0.25">
      <c r="A1131" s="488" t="s">
        <v>18</v>
      </c>
      <c r="B1131" s="495">
        <v>0.5</v>
      </c>
      <c r="C1131" s="495">
        <v>352.37</v>
      </c>
      <c r="D1131" s="494">
        <v>0.3</v>
      </c>
      <c r="E1131" s="495">
        <v>105.71</v>
      </c>
      <c r="F1131" s="495">
        <v>25.47</v>
      </c>
      <c r="G1131" s="495">
        <v>131.18</v>
      </c>
      <c r="H1131" s="495"/>
      <c r="I1131" s="495"/>
      <c r="J1131" s="494"/>
      <c r="K1131" s="495"/>
      <c r="L1131" s="495"/>
      <c r="M1131" s="495"/>
    </row>
    <row r="1132" spans="1:13" ht="17.25" customHeight="1" x14ac:dyDescent="0.25">
      <c r="A1132" s="488" t="s">
        <v>18</v>
      </c>
      <c r="B1132" s="495">
        <v>0.75</v>
      </c>
      <c r="C1132" s="495">
        <v>122.58</v>
      </c>
      <c r="D1132" s="494">
        <v>0.5</v>
      </c>
      <c r="E1132" s="495">
        <v>61.29</v>
      </c>
      <c r="F1132" s="495">
        <v>14.76</v>
      </c>
      <c r="G1132" s="495">
        <v>76.05</v>
      </c>
      <c r="H1132" s="495">
        <v>0.75</v>
      </c>
      <c r="I1132" s="495">
        <v>735.41</v>
      </c>
      <c r="J1132" s="494">
        <v>0.2</v>
      </c>
      <c r="K1132" s="495">
        <v>147.08000000000001</v>
      </c>
      <c r="L1132" s="495">
        <v>35.43</v>
      </c>
      <c r="M1132" s="495">
        <v>182.51000000000002</v>
      </c>
    </row>
    <row r="1133" spans="1:13" ht="17.25" customHeight="1" x14ac:dyDescent="0.25">
      <c r="A1133" s="488" t="s">
        <v>18</v>
      </c>
      <c r="B1133" s="495">
        <v>0.75</v>
      </c>
      <c r="C1133" s="495">
        <v>571.97</v>
      </c>
      <c r="D1133" s="494">
        <v>0.3</v>
      </c>
      <c r="E1133" s="495">
        <v>171.59</v>
      </c>
      <c r="F1133" s="495">
        <v>41.34</v>
      </c>
      <c r="G1133" s="495">
        <v>212.93</v>
      </c>
      <c r="H1133" s="495"/>
      <c r="I1133" s="495"/>
      <c r="J1133" s="494"/>
      <c r="K1133" s="495"/>
      <c r="L1133" s="495"/>
      <c r="M1133" s="495"/>
    </row>
    <row r="1134" spans="1:13" ht="17.25" customHeight="1" x14ac:dyDescent="0.25">
      <c r="A1134" s="488" t="s">
        <v>18</v>
      </c>
      <c r="B1134" s="495">
        <v>0.5</v>
      </c>
      <c r="C1134" s="495">
        <v>122.58</v>
      </c>
      <c r="D1134" s="494">
        <v>0.5</v>
      </c>
      <c r="E1134" s="495">
        <v>61.29</v>
      </c>
      <c r="F1134" s="495">
        <v>14.76</v>
      </c>
      <c r="G1134" s="495">
        <v>76.05</v>
      </c>
      <c r="H1134" s="495">
        <v>0.5</v>
      </c>
      <c r="I1134" s="495">
        <v>490.27</v>
      </c>
      <c r="J1134" s="494">
        <v>0.2</v>
      </c>
      <c r="K1134" s="495">
        <v>98.05</v>
      </c>
      <c r="L1134" s="495">
        <v>23.62</v>
      </c>
      <c r="M1134" s="495">
        <v>121.67</v>
      </c>
    </row>
    <row r="1135" spans="1:13" ht="17.25" customHeight="1" x14ac:dyDescent="0.25">
      <c r="A1135" s="488" t="s">
        <v>18</v>
      </c>
      <c r="B1135" s="495">
        <v>0.5</v>
      </c>
      <c r="C1135" s="495">
        <v>347.27</v>
      </c>
      <c r="D1135" s="494">
        <v>0.3</v>
      </c>
      <c r="E1135" s="495">
        <v>104.18</v>
      </c>
      <c r="F1135" s="495">
        <v>25.1</v>
      </c>
      <c r="G1135" s="495">
        <v>129.28</v>
      </c>
      <c r="H1135" s="495"/>
      <c r="I1135" s="495"/>
      <c r="J1135" s="494"/>
      <c r="K1135" s="495"/>
      <c r="L1135" s="495"/>
      <c r="M1135" s="495"/>
    </row>
    <row r="1136" spans="1:13" ht="17.25" customHeight="1" x14ac:dyDescent="0.25">
      <c r="A1136" s="488" t="s">
        <v>18</v>
      </c>
      <c r="B1136" s="495">
        <v>1</v>
      </c>
      <c r="C1136" s="495">
        <v>658.8</v>
      </c>
      <c r="D1136" s="494">
        <v>0.3</v>
      </c>
      <c r="E1136" s="495">
        <v>197.64</v>
      </c>
      <c r="F1136" s="495">
        <v>47.61</v>
      </c>
      <c r="G1136" s="495">
        <v>245.25</v>
      </c>
      <c r="H1136" s="495">
        <v>1</v>
      </c>
      <c r="I1136" s="495">
        <v>857.98</v>
      </c>
      <c r="J1136" s="494">
        <v>0.2</v>
      </c>
      <c r="K1136" s="495">
        <v>171.6</v>
      </c>
      <c r="L1136" s="495">
        <v>41.34</v>
      </c>
      <c r="M1136" s="495">
        <v>212.94</v>
      </c>
    </row>
    <row r="1137" spans="1:13" ht="17.25" customHeight="1" x14ac:dyDescent="0.25">
      <c r="A1137" s="488" t="s">
        <v>18</v>
      </c>
      <c r="B1137" s="495">
        <v>0.5</v>
      </c>
      <c r="C1137" s="495">
        <v>122.58</v>
      </c>
      <c r="D1137" s="494">
        <v>0.5</v>
      </c>
      <c r="E1137" s="495">
        <v>61.29</v>
      </c>
      <c r="F1137" s="495">
        <v>14.76</v>
      </c>
      <c r="G1137" s="495">
        <v>76.05</v>
      </c>
      <c r="H1137" s="495">
        <v>0.5</v>
      </c>
      <c r="I1137" s="495">
        <v>612.84</v>
      </c>
      <c r="J1137" s="494">
        <v>0.2</v>
      </c>
      <c r="K1137" s="495">
        <v>122.57</v>
      </c>
      <c r="L1137" s="495">
        <v>29.53</v>
      </c>
      <c r="M1137" s="495">
        <v>152.1</v>
      </c>
    </row>
    <row r="1138" spans="1:13" ht="17.25" customHeight="1" x14ac:dyDescent="0.25">
      <c r="A1138" s="488" t="s">
        <v>18</v>
      </c>
      <c r="B1138" s="495">
        <v>0.5</v>
      </c>
      <c r="C1138" s="495">
        <v>612.83000000000004</v>
      </c>
      <c r="D1138" s="494">
        <v>0.3</v>
      </c>
      <c r="E1138" s="495">
        <v>183.85</v>
      </c>
      <c r="F1138" s="495">
        <v>44.29</v>
      </c>
      <c r="G1138" s="495">
        <v>228.14</v>
      </c>
      <c r="H1138" s="495"/>
      <c r="I1138" s="495"/>
      <c r="J1138" s="494"/>
      <c r="K1138" s="495"/>
      <c r="L1138" s="495"/>
      <c r="M1138" s="495"/>
    </row>
    <row r="1139" spans="1:13" ht="17.25" customHeight="1" x14ac:dyDescent="0.25">
      <c r="A1139" s="488" t="s">
        <v>18</v>
      </c>
      <c r="B1139" s="495">
        <v>1</v>
      </c>
      <c r="C1139" s="495">
        <v>122.58</v>
      </c>
      <c r="D1139" s="494">
        <v>0.5</v>
      </c>
      <c r="E1139" s="495">
        <v>61.29</v>
      </c>
      <c r="F1139" s="495">
        <v>14.76</v>
      </c>
      <c r="G1139" s="495">
        <v>76.05</v>
      </c>
      <c r="H1139" s="495">
        <v>1</v>
      </c>
      <c r="I1139" s="495">
        <v>1057.1500000000001</v>
      </c>
      <c r="J1139" s="494">
        <v>0.2</v>
      </c>
      <c r="K1139" s="495">
        <v>211.43</v>
      </c>
      <c r="L1139" s="495">
        <v>50.93</v>
      </c>
      <c r="M1139" s="495">
        <v>262.36</v>
      </c>
    </row>
    <row r="1140" spans="1:13" ht="17.25" customHeight="1" x14ac:dyDescent="0.25">
      <c r="A1140" s="488" t="s">
        <v>18</v>
      </c>
      <c r="B1140" s="495">
        <v>1</v>
      </c>
      <c r="C1140" s="495">
        <v>857.97</v>
      </c>
      <c r="D1140" s="494">
        <v>0.3</v>
      </c>
      <c r="E1140" s="495">
        <v>257.39</v>
      </c>
      <c r="F1140" s="495">
        <v>62.01</v>
      </c>
      <c r="G1140" s="495">
        <v>319.39999999999998</v>
      </c>
      <c r="H1140" s="495"/>
      <c r="I1140" s="495"/>
      <c r="J1140" s="494"/>
      <c r="K1140" s="495"/>
      <c r="L1140" s="495"/>
      <c r="M1140" s="495"/>
    </row>
    <row r="1141" spans="1:13" ht="17.25" customHeight="1" x14ac:dyDescent="0.25">
      <c r="A1141" s="488" t="s">
        <v>18</v>
      </c>
      <c r="B1141" s="495">
        <v>0.5</v>
      </c>
      <c r="C1141" s="495">
        <v>122.58</v>
      </c>
      <c r="D1141" s="494">
        <v>0.5</v>
      </c>
      <c r="E1141" s="495">
        <v>61.29</v>
      </c>
      <c r="F1141" s="495">
        <v>14.76</v>
      </c>
      <c r="G1141" s="495">
        <v>76.05</v>
      </c>
      <c r="H1141" s="495">
        <v>0.5</v>
      </c>
      <c r="I1141" s="495">
        <v>735.41</v>
      </c>
      <c r="J1141" s="494">
        <v>0.2</v>
      </c>
      <c r="K1141" s="495">
        <v>147.08000000000001</v>
      </c>
      <c r="L1141" s="495">
        <v>35.43</v>
      </c>
      <c r="M1141" s="495">
        <v>182.51000000000002</v>
      </c>
    </row>
    <row r="1142" spans="1:13" ht="17.25" customHeight="1" x14ac:dyDescent="0.25">
      <c r="A1142" s="488" t="s">
        <v>18</v>
      </c>
      <c r="B1142" s="495">
        <v>0.5</v>
      </c>
      <c r="C1142" s="495">
        <v>490.27</v>
      </c>
      <c r="D1142" s="494">
        <v>0.3</v>
      </c>
      <c r="E1142" s="495">
        <v>147.08000000000001</v>
      </c>
      <c r="F1142" s="495">
        <v>35.43</v>
      </c>
      <c r="G1142" s="495">
        <v>182.51000000000002</v>
      </c>
      <c r="H1142" s="495"/>
      <c r="I1142" s="495"/>
      <c r="J1142" s="494"/>
      <c r="K1142" s="495"/>
      <c r="L1142" s="495"/>
      <c r="M1142" s="495"/>
    </row>
    <row r="1143" spans="1:13" ht="17.25" customHeight="1" x14ac:dyDescent="0.25">
      <c r="A1143" s="488" t="s">
        <v>18</v>
      </c>
      <c r="B1143" s="495">
        <v>0.5</v>
      </c>
      <c r="C1143" s="495">
        <v>857.97</v>
      </c>
      <c r="D1143" s="494">
        <v>0.3</v>
      </c>
      <c r="E1143" s="495">
        <v>257.39</v>
      </c>
      <c r="F1143" s="495">
        <v>62.01</v>
      </c>
      <c r="G1143" s="495">
        <v>319.39999999999998</v>
      </c>
      <c r="H1143" s="495">
        <v>0.5</v>
      </c>
      <c r="I1143" s="495">
        <v>735.41</v>
      </c>
      <c r="J1143" s="494">
        <v>0.2</v>
      </c>
      <c r="K1143" s="495">
        <v>147.08000000000001</v>
      </c>
      <c r="L1143" s="495">
        <v>35.43</v>
      </c>
      <c r="M1143" s="495">
        <v>182.51000000000002</v>
      </c>
    </row>
    <row r="1144" spans="1:13" ht="17.25" customHeight="1" x14ac:dyDescent="0.25">
      <c r="A1144" s="488" t="s">
        <v>18</v>
      </c>
      <c r="B1144" s="495"/>
      <c r="C1144" s="495"/>
      <c r="D1144" s="494"/>
      <c r="E1144" s="495"/>
      <c r="F1144" s="495">
        <v>0</v>
      </c>
      <c r="G1144" s="495">
        <v>0</v>
      </c>
      <c r="H1144" s="495">
        <v>0.15</v>
      </c>
      <c r="I1144" s="495">
        <v>99.55</v>
      </c>
      <c r="J1144" s="494">
        <v>0.2</v>
      </c>
      <c r="K1144" s="495">
        <v>19.91</v>
      </c>
      <c r="L1144" s="495">
        <v>4.8</v>
      </c>
      <c r="M1144" s="495">
        <v>24.71</v>
      </c>
    </row>
    <row r="1145" spans="1:13" ht="17.25" customHeight="1" x14ac:dyDescent="0.25">
      <c r="A1145" s="488" t="s">
        <v>18</v>
      </c>
      <c r="B1145" s="495"/>
      <c r="C1145" s="495"/>
      <c r="D1145" s="494"/>
      <c r="E1145" s="495"/>
      <c r="F1145" s="495">
        <v>0</v>
      </c>
      <c r="G1145" s="495">
        <v>0</v>
      </c>
      <c r="H1145" s="495">
        <v>0.1</v>
      </c>
      <c r="I1145" s="495">
        <v>64.290000000000006</v>
      </c>
      <c r="J1145" s="494">
        <v>0.2</v>
      </c>
      <c r="K1145" s="495">
        <v>12.86</v>
      </c>
      <c r="L1145" s="495">
        <v>3.1</v>
      </c>
      <c r="M1145" s="495">
        <v>15.959999999999999</v>
      </c>
    </row>
    <row r="1146" spans="1:13" ht="17.25" customHeight="1" x14ac:dyDescent="0.25">
      <c r="A1146" s="488" t="s">
        <v>896</v>
      </c>
      <c r="B1146" s="495">
        <v>1</v>
      </c>
      <c r="C1146" s="495">
        <v>709.1</v>
      </c>
      <c r="D1146" s="494">
        <v>0.3</v>
      </c>
      <c r="E1146" s="495">
        <v>212.73</v>
      </c>
      <c r="F1146" s="495">
        <v>51.25</v>
      </c>
      <c r="G1146" s="495">
        <v>263.98</v>
      </c>
      <c r="H1146" s="495"/>
      <c r="I1146" s="495"/>
      <c r="J1146" s="494"/>
      <c r="K1146" s="495"/>
      <c r="L1146" s="495"/>
      <c r="M1146" s="495"/>
    </row>
    <row r="1147" spans="1:13" ht="17.25" customHeight="1" x14ac:dyDescent="0.25">
      <c r="A1147" s="488" t="s">
        <v>896</v>
      </c>
      <c r="B1147" s="495">
        <v>1</v>
      </c>
      <c r="C1147" s="495">
        <v>780</v>
      </c>
      <c r="D1147" s="494">
        <v>0.3</v>
      </c>
      <c r="E1147" s="495">
        <v>234</v>
      </c>
      <c r="F1147" s="495">
        <v>56.37</v>
      </c>
      <c r="G1147" s="495">
        <v>290.37</v>
      </c>
      <c r="H1147" s="495"/>
      <c r="I1147" s="495"/>
      <c r="J1147" s="494"/>
      <c r="K1147" s="495"/>
      <c r="L1147" s="495"/>
      <c r="M1147" s="495"/>
    </row>
    <row r="1148" spans="1:13" ht="17.25" customHeight="1" x14ac:dyDescent="0.25">
      <c r="A1148" s="488" t="s">
        <v>896</v>
      </c>
      <c r="B1148" s="495"/>
      <c r="C1148" s="495"/>
      <c r="D1148" s="494"/>
      <c r="E1148" s="495"/>
      <c r="F1148" s="495">
        <v>0</v>
      </c>
      <c r="G1148" s="495">
        <v>0</v>
      </c>
      <c r="H1148" s="495">
        <v>1</v>
      </c>
      <c r="I1148" s="495">
        <v>780</v>
      </c>
      <c r="J1148" s="494">
        <v>0.2</v>
      </c>
      <c r="K1148" s="495">
        <v>156</v>
      </c>
      <c r="L1148" s="495">
        <v>37.58</v>
      </c>
      <c r="M1148" s="495">
        <v>193.57999999999998</v>
      </c>
    </row>
    <row r="1149" spans="1:13" ht="17.25" customHeight="1" x14ac:dyDescent="0.25">
      <c r="A1149" s="488" t="s">
        <v>896</v>
      </c>
      <c r="B1149" s="495">
        <v>1</v>
      </c>
      <c r="C1149" s="495">
        <v>780</v>
      </c>
      <c r="D1149" s="494">
        <v>0.3</v>
      </c>
      <c r="E1149" s="495">
        <v>234</v>
      </c>
      <c r="F1149" s="495">
        <v>56.37</v>
      </c>
      <c r="G1149" s="495">
        <v>290.37</v>
      </c>
      <c r="H1149" s="495"/>
      <c r="I1149" s="495"/>
      <c r="J1149" s="494"/>
      <c r="K1149" s="495"/>
      <c r="L1149" s="495"/>
      <c r="M1149" s="495"/>
    </row>
    <row r="1150" spans="1:13" ht="17.25" customHeight="1" x14ac:dyDescent="0.25">
      <c r="A1150" s="488" t="s">
        <v>896</v>
      </c>
      <c r="B1150" s="495">
        <v>1</v>
      </c>
      <c r="C1150" s="495">
        <v>425.47</v>
      </c>
      <c r="D1150" s="494">
        <v>0.3</v>
      </c>
      <c r="E1150" s="495">
        <v>127.64</v>
      </c>
      <c r="F1150" s="495">
        <v>30.75</v>
      </c>
      <c r="G1150" s="495">
        <v>158.38999999999999</v>
      </c>
      <c r="H1150" s="495"/>
      <c r="I1150" s="495"/>
      <c r="J1150" s="494"/>
      <c r="K1150" s="495"/>
      <c r="L1150" s="495"/>
      <c r="M1150" s="495"/>
    </row>
    <row r="1151" spans="1:13" ht="17.25" customHeight="1" x14ac:dyDescent="0.25">
      <c r="A1151" s="488" t="s">
        <v>896</v>
      </c>
      <c r="B1151" s="495">
        <v>1</v>
      </c>
      <c r="C1151" s="495">
        <v>709.1</v>
      </c>
      <c r="D1151" s="494">
        <v>0.3</v>
      </c>
      <c r="E1151" s="495">
        <v>212.73</v>
      </c>
      <c r="F1151" s="495">
        <v>51.25</v>
      </c>
      <c r="G1151" s="495">
        <v>263.98</v>
      </c>
      <c r="H1151" s="495"/>
      <c r="I1151" s="495"/>
      <c r="J1151" s="494"/>
      <c r="K1151" s="495"/>
      <c r="L1151" s="495"/>
      <c r="M1151" s="495"/>
    </row>
    <row r="1152" spans="1:13" ht="17.25" customHeight="1" x14ac:dyDescent="0.25">
      <c r="A1152" s="488" t="s">
        <v>896</v>
      </c>
      <c r="B1152" s="495">
        <v>1</v>
      </c>
      <c r="C1152" s="495">
        <v>638.16999999999996</v>
      </c>
      <c r="D1152" s="494">
        <v>0.3</v>
      </c>
      <c r="E1152" s="495">
        <v>191.45</v>
      </c>
      <c r="F1152" s="495">
        <v>46.12</v>
      </c>
      <c r="G1152" s="495">
        <v>237.57</v>
      </c>
      <c r="H1152" s="495"/>
      <c r="I1152" s="495"/>
      <c r="J1152" s="494"/>
      <c r="K1152" s="495"/>
      <c r="L1152" s="495"/>
      <c r="M1152" s="495"/>
    </row>
    <row r="1153" spans="1:13" ht="17.25" customHeight="1" x14ac:dyDescent="0.25">
      <c r="A1153" s="488" t="s">
        <v>897</v>
      </c>
      <c r="B1153" s="495"/>
      <c r="C1153" s="495"/>
      <c r="D1153" s="494"/>
      <c r="E1153" s="495"/>
      <c r="F1153" s="495">
        <v>0</v>
      </c>
      <c r="G1153" s="495">
        <v>0</v>
      </c>
      <c r="H1153" s="495">
        <v>1</v>
      </c>
      <c r="I1153" s="495">
        <v>612</v>
      </c>
      <c r="J1153" s="494">
        <v>0.2</v>
      </c>
      <c r="K1153" s="495">
        <v>122.4</v>
      </c>
      <c r="L1153" s="495">
        <v>29.49</v>
      </c>
      <c r="M1153" s="495">
        <v>151.89000000000001</v>
      </c>
    </row>
    <row r="1154" spans="1:13" ht="17.25" customHeight="1" x14ac:dyDescent="0.25">
      <c r="A1154" s="488" t="s">
        <v>897</v>
      </c>
      <c r="B1154" s="495"/>
      <c r="C1154" s="495"/>
      <c r="D1154" s="494"/>
      <c r="E1154" s="495"/>
      <c r="F1154" s="495">
        <v>0</v>
      </c>
      <c r="G1154" s="495">
        <v>0</v>
      </c>
      <c r="H1154" s="495">
        <v>1</v>
      </c>
      <c r="I1154" s="495">
        <v>612</v>
      </c>
      <c r="J1154" s="494">
        <v>0.2</v>
      </c>
      <c r="K1154" s="495">
        <v>122.4</v>
      </c>
      <c r="L1154" s="495">
        <v>29.49</v>
      </c>
      <c r="M1154" s="495">
        <v>151.89000000000001</v>
      </c>
    </row>
    <row r="1155" spans="1:13" ht="17.25" customHeight="1" x14ac:dyDescent="0.25">
      <c r="A1155" s="488" t="s">
        <v>897</v>
      </c>
      <c r="B1155" s="495"/>
      <c r="C1155" s="495"/>
      <c r="D1155" s="494"/>
      <c r="E1155" s="495"/>
      <c r="F1155" s="495">
        <v>0</v>
      </c>
      <c r="G1155" s="495">
        <v>0</v>
      </c>
      <c r="H1155" s="495">
        <v>1</v>
      </c>
      <c r="I1155" s="495">
        <v>612</v>
      </c>
      <c r="J1155" s="494">
        <v>0.2</v>
      </c>
      <c r="K1155" s="495">
        <v>122.4</v>
      </c>
      <c r="L1155" s="495">
        <v>29.49</v>
      </c>
      <c r="M1155" s="495">
        <v>151.89000000000001</v>
      </c>
    </row>
    <row r="1156" spans="1:13" ht="17.25" customHeight="1" x14ac:dyDescent="0.25">
      <c r="A1156" s="488" t="s">
        <v>898</v>
      </c>
      <c r="B1156" s="495"/>
      <c r="C1156" s="495"/>
      <c r="D1156" s="494"/>
      <c r="E1156" s="495"/>
      <c r="F1156" s="495">
        <v>0</v>
      </c>
      <c r="G1156" s="495">
        <v>0</v>
      </c>
      <c r="H1156" s="495">
        <v>1</v>
      </c>
      <c r="I1156" s="495">
        <v>1400</v>
      </c>
      <c r="J1156" s="494">
        <v>0.2</v>
      </c>
      <c r="K1156" s="495">
        <v>280</v>
      </c>
      <c r="L1156" s="495">
        <v>67.45</v>
      </c>
      <c r="M1156" s="495">
        <v>347.45</v>
      </c>
    </row>
    <row r="1157" spans="1:13" ht="17.25" customHeight="1" x14ac:dyDescent="0.25">
      <c r="A1157" s="488" t="s">
        <v>232</v>
      </c>
      <c r="B1157" s="495">
        <v>1</v>
      </c>
      <c r="C1157" s="495">
        <v>446.64</v>
      </c>
      <c r="D1157" s="494">
        <v>0.5</v>
      </c>
      <c r="E1157" s="495">
        <v>223.32</v>
      </c>
      <c r="F1157" s="495">
        <v>53.8</v>
      </c>
      <c r="G1157" s="495">
        <v>277.12</v>
      </c>
      <c r="H1157" s="495">
        <v>1</v>
      </c>
      <c r="I1157" s="495">
        <v>578</v>
      </c>
      <c r="J1157" s="494">
        <v>0.2</v>
      </c>
      <c r="K1157" s="495">
        <v>115.6</v>
      </c>
      <c r="L1157" s="495">
        <v>27.85</v>
      </c>
      <c r="M1157" s="495">
        <v>143.44999999999999</v>
      </c>
    </row>
    <row r="1158" spans="1:13" ht="17.25" customHeight="1" x14ac:dyDescent="0.25">
      <c r="A1158" s="488" t="s">
        <v>232</v>
      </c>
      <c r="B1158" s="495">
        <v>1</v>
      </c>
      <c r="C1158" s="495">
        <v>578</v>
      </c>
      <c r="D1158" s="494">
        <v>0.5</v>
      </c>
      <c r="E1158" s="495">
        <v>289</v>
      </c>
      <c r="F1158" s="495">
        <v>69.62</v>
      </c>
      <c r="G1158" s="495">
        <v>358.62</v>
      </c>
      <c r="H1158" s="495">
        <v>1</v>
      </c>
      <c r="I1158" s="495">
        <v>578</v>
      </c>
      <c r="J1158" s="494">
        <v>0.2</v>
      </c>
      <c r="K1158" s="495">
        <v>115.6</v>
      </c>
      <c r="L1158" s="495">
        <v>27.85</v>
      </c>
      <c r="M1158" s="495">
        <v>143.44999999999999</v>
      </c>
    </row>
    <row r="1159" spans="1:13" ht="17.25" customHeight="1" x14ac:dyDescent="0.25">
      <c r="A1159" s="488" t="s">
        <v>232</v>
      </c>
      <c r="B1159" s="495">
        <v>1</v>
      </c>
      <c r="C1159" s="495">
        <v>578</v>
      </c>
      <c r="D1159" s="494">
        <v>0.5</v>
      </c>
      <c r="E1159" s="495">
        <v>289</v>
      </c>
      <c r="F1159" s="495">
        <v>69.62</v>
      </c>
      <c r="G1159" s="495">
        <v>358.62</v>
      </c>
      <c r="H1159" s="495">
        <v>1</v>
      </c>
      <c r="I1159" s="495">
        <v>578</v>
      </c>
      <c r="J1159" s="494">
        <v>0.2</v>
      </c>
      <c r="K1159" s="495">
        <v>115.6</v>
      </c>
      <c r="L1159" s="495">
        <v>27.85</v>
      </c>
      <c r="M1159" s="495">
        <v>143.44999999999999</v>
      </c>
    </row>
    <row r="1160" spans="1:13" ht="17.25" customHeight="1" x14ac:dyDescent="0.25">
      <c r="A1160" s="488" t="s">
        <v>232</v>
      </c>
      <c r="B1160" s="495">
        <v>1</v>
      </c>
      <c r="C1160" s="495">
        <v>578</v>
      </c>
      <c r="D1160" s="494">
        <v>0.5</v>
      </c>
      <c r="E1160" s="495">
        <v>289</v>
      </c>
      <c r="F1160" s="495">
        <v>69.62</v>
      </c>
      <c r="G1160" s="495">
        <v>358.62</v>
      </c>
      <c r="H1160" s="495">
        <v>1</v>
      </c>
      <c r="I1160" s="495">
        <v>578</v>
      </c>
      <c r="J1160" s="494">
        <v>0.2</v>
      </c>
      <c r="K1160" s="495">
        <v>115.6</v>
      </c>
      <c r="L1160" s="495">
        <v>27.85</v>
      </c>
      <c r="M1160" s="495">
        <v>143.44999999999999</v>
      </c>
    </row>
    <row r="1161" spans="1:13" ht="17.25" customHeight="1" x14ac:dyDescent="0.25">
      <c r="A1161" s="488" t="s">
        <v>232</v>
      </c>
      <c r="B1161" s="495">
        <v>1</v>
      </c>
      <c r="C1161" s="495">
        <v>578</v>
      </c>
      <c r="D1161" s="494">
        <v>0.5</v>
      </c>
      <c r="E1161" s="495">
        <v>289</v>
      </c>
      <c r="F1161" s="495">
        <v>69.62</v>
      </c>
      <c r="G1161" s="495">
        <v>358.62</v>
      </c>
      <c r="H1161" s="495">
        <v>1</v>
      </c>
      <c r="I1161" s="495">
        <v>578</v>
      </c>
      <c r="J1161" s="494">
        <v>0.2</v>
      </c>
      <c r="K1161" s="495">
        <v>115.6</v>
      </c>
      <c r="L1161" s="495">
        <v>27.85</v>
      </c>
      <c r="M1161" s="495">
        <v>143.44999999999999</v>
      </c>
    </row>
    <row r="1162" spans="1:13" ht="17.25" customHeight="1" x14ac:dyDescent="0.25">
      <c r="A1162" s="488" t="s">
        <v>232</v>
      </c>
      <c r="B1162" s="495">
        <v>1</v>
      </c>
      <c r="C1162" s="495">
        <v>578</v>
      </c>
      <c r="D1162" s="494">
        <v>0.5</v>
      </c>
      <c r="E1162" s="495">
        <v>289</v>
      </c>
      <c r="F1162" s="495">
        <v>69.62</v>
      </c>
      <c r="G1162" s="495">
        <v>358.62</v>
      </c>
      <c r="H1162" s="495">
        <v>1</v>
      </c>
      <c r="I1162" s="495">
        <v>578</v>
      </c>
      <c r="J1162" s="494">
        <v>0.2</v>
      </c>
      <c r="K1162" s="495">
        <v>115.6</v>
      </c>
      <c r="L1162" s="495">
        <v>27.85</v>
      </c>
      <c r="M1162" s="495">
        <v>143.44999999999999</v>
      </c>
    </row>
    <row r="1163" spans="1:13" ht="17.25" customHeight="1" x14ac:dyDescent="0.25">
      <c r="A1163" s="488" t="s">
        <v>232</v>
      </c>
      <c r="B1163" s="495"/>
      <c r="C1163" s="495"/>
      <c r="D1163" s="494"/>
      <c r="E1163" s="495"/>
      <c r="F1163" s="495">
        <v>0</v>
      </c>
      <c r="G1163" s="495">
        <v>0</v>
      </c>
      <c r="H1163" s="495">
        <v>1</v>
      </c>
      <c r="I1163" s="495">
        <v>866</v>
      </c>
      <c r="J1163" s="494">
        <v>0.2</v>
      </c>
      <c r="K1163" s="495">
        <v>173.2</v>
      </c>
      <c r="L1163" s="495">
        <v>41.72</v>
      </c>
      <c r="M1163" s="495">
        <v>214.92</v>
      </c>
    </row>
    <row r="1164" spans="1:13" ht="18" customHeight="1" x14ac:dyDescent="0.25">
      <c r="A1164" s="488" t="s">
        <v>232</v>
      </c>
      <c r="B1164" s="495"/>
      <c r="C1164" s="495"/>
      <c r="D1164" s="494"/>
      <c r="E1164" s="495"/>
      <c r="F1164" s="495">
        <v>0</v>
      </c>
      <c r="G1164" s="495">
        <v>0</v>
      </c>
      <c r="H1164" s="495">
        <v>1</v>
      </c>
      <c r="I1164" s="495">
        <v>866</v>
      </c>
      <c r="J1164" s="494">
        <v>0.2</v>
      </c>
      <c r="K1164" s="495">
        <v>173.2</v>
      </c>
      <c r="L1164" s="495">
        <v>41.72</v>
      </c>
      <c r="M1164" s="495">
        <v>214.92</v>
      </c>
    </row>
    <row r="1165" spans="1:13" ht="17.25" customHeight="1" x14ac:dyDescent="0.25">
      <c r="A1165" s="488" t="s">
        <v>232</v>
      </c>
      <c r="B1165" s="495"/>
      <c r="C1165" s="495"/>
      <c r="D1165" s="494"/>
      <c r="E1165" s="495"/>
      <c r="F1165" s="495">
        <v>0</v>
      </c>
      <c r="G1165" s="495">
        <v>0</v>
      </c>
      <c r="H1165" s="495">
        <v>1</v>
      </c>
      <c r="I1165" s="495">
        <v>866</v>
      </c>
      <c r="J1165" s="494">
        <v>0.2</v>
      </c>
      <c r="K1165" s="495">
        <v>173.2</v>
      </c>
      <c r="L1165" s="495">
        <v>41.72</v>
      </c>
      <c r="M1165" s="495">
        <v>214.92</v>
      </c>
    </row>
    <row r="1166" spans="1:13" ht="17.25" customHeight="1" x14ac:dyDescent="0.25">
      <c r="A1166" s="488" t="s">
        <v>232</v>
      </c>
      <c r="B1166" s="495"/>
      <c r="C1166" s="495"/>
      <c r="D1166" s="494"/>
      <c r="E1166" s="495"/>
      <c r="F1166" s="495">
        <v>0</v>
      </c>
      <c r="G1166" s="495">
        <v>0</v>
      </c>
      <c r="H1166" s="495">
        <v>1</v>
      </c>
      <c r="I1166" s="495">
        <v>866</v>
      </c>
      <c r="J1166" s="494">
        <v>0.2</v>
      </c>
      <c r="K1166" s="495">
        <v>173.2</v>
      </c>
      <c r="L1166" s="495">
        <v>41.72</v>
      </c>
      <c r="M1166" s="495">
        <v>214.92</v>
      </c>
    </row>
    <row r="1167" spans="1:13" ht="17.25" customHeight="1" x14ac:dyDescent="0.25">
      <c r="A1167" s="488" t="s">
        <v>232</v>
      </c>
      <c r="B1167" s="495">
        <v>1</v>
      </c>
      <c r="C1167" s="495">
        <v>866</v>
      </c>
      <c r="D1167" s="494">
        <v>0.3</v>
      </c>
      <c r="E1167" s="495">
        <v>259.8</v>
      </c>
      <c r="F1167" s="495">
        <v>62.59</v>
      </c>
      <c r="G1167" s="495">
        <v>322.39</v>
      </c>
      <c r="H1167" s="495"/>
      <c r="I1167" s="495"/>
      <c r="J1167" s="494"/>
      <c r="K1167" s="495"/>
      <c r="L1167" s="495"/>
      <c r="M1167" s="495"/>
    </row>
    <row r="1168" spans="1:13" ht="17.25" customHeight="1" x14ac:dyDescent="0.25">
      <c r="A1168" s="488" t="s">
        <v>232</v>
      </c>
      <c r="B1168" s="495"/>
      <c r="C1168" s="495"/>
      <c r="D1168" s="494"/>
      <c r="E1168" s="495"/>
      <c r="F1168" s="495">
        <v>0</v>
      </c>
      <c r="G1168" s="495">
        <v>0</v>
      </c>
      <c r="H1168" s="495">
        <v>1</v>
      </c>
      <c r="I1168" s="495">
        <v>866</v>
      </c>
      <c r="J1168" s="494">
        <v>0.2</v>
      </c>
      <c r="K1168" s="495">
        <v>173.2</v>
      </c>
      <c r="L1168" s="495">
        <v>41.72</v>
      </c>
      <c r="M1168" s="495">
        <v>214.92</v>
      </c>
    </row>
    <row r="1169" spans="1:13" ht="17.25" customHeight="1" x14ac:dyDescent="0.25">
      <c r="A1169" s="488" t="s">
        <v>232</v>
      </c>
      <c r="B1169" s="495"/>
      <c r="C1169" s="495"/>
      <c r="D1169" s="494"/>
      <c r="E1169" s="495"/>
      <c r="F1169" s="495">
        <v>0</v>
      </c>
      <c r="G1169" s="495">
        <v>0</v>
      </c>
      <c r="H1169" s="495">
        <v>1</v>
      </c>
      <c r="I1169" s="495">
        <v>389.15</v>
      </c>
      <c r="J1169" s="494">
        <v>0.2</v>
      </c>
      <c r="K1169" s="495">
        <v>77.83</v>
      </c>
      <c r="L1169" s="495">
        <v>18.75</v>
      </c>
      <c r="M1169" s="495">
        <v>96.58</v>
      </c>
    </row>
    <row r="1170" spans="1:13" ht="17.25" customHeight="1" x14ac:dyDescent="0.25">
      <c r="A1170" s="488" t="s">
        <v>232</v>
      </c>
      <c r="B1170" s="495"/>
      <c r="C1170" s="495"/>
      <c r="D1170" s="494"/>
      <c r="E1170" s="495"/>
      <c r="F1170" s="495">
        <v>0</v>
      </c>
      <c r="G1170" s="495">
        <v>0</v>
      </c>
      <c r="H1170" s="495">
        <v>1</v>
      </c>
      <c r="I1170" s="495">
        <v>866</v>
      </c>
      <c r="J1170" s="494">
        <v>0.2</v>
      </c>
      <c r="K1170" s="495">
        <v>173.2</v>
      </c>
      <c r="L1170" s="495">
        <v>41.72</v>
      </c>
      <c r="M1170" s="495">
        <v>214.92</v>
      </c>
    </row>
    <row r="1171" spans="1:13" ht="17.25" customHeight="1" x14ac:dyDescent="0.25">
      <c r="A1171" s="488" t="s">
        <v>232</v>
      </c>
      <c r="B1171" s="495"/>
      <c r="C1171" s="495"/>
      <c r="D1171" s="494"/>
      <c r="E1171" s="495"/>
      <c r="F1171" s="495">
        <v>0</v>
      </c>
      <c r="G1171" s="495">
        <v>0</v>
      </c>
      <c r="H1171" s="495">
        <v>1</v>
      </c>
      <c r="I1171" s="495">
        <v>866</v>
      </c>
      <c r="J1171" s="494">
        <v>0.2</v>
      </c>
      <c r="K1171" s="495">
        <v>173.2</v>
      </c>
      <c r="L1171" s="495">
        <v>41.72</v>
      </c>
      <c r="M1171" s="495">
        <v>214.92</v>
      </c>
    </row>
    <row r="1172" spans="1:13" ht="17.25" customHeight="1" x14ac:dyDescent="0.25">
      <c r="A1172" s="488" t="s">
        <v>969</v>
      </c>
      <c r="B1172" s="495"/>
      <c r="C1172" s="495"/>
      <c r="D1172" s="494"/>
      <c r="E1172" s="495"/>
      <c r="F1172" s="495">
        <v>0</v>
      </c>
      <c r="G1172" s="495">
        <v>0</v>
      </c>
      <c r="H1172" s="495">
        <v>1</v>
      </c>
      <c r="I1172" s="495">
        <v>288.94</v>
      </c>
      <c r="J1172" s="494">
        <v>0.2</v>
      </c>
      <c r="K1172" s="495">
        <v>57.79</v>
      </c>
      <c r="L1172" s="495">
        <v>13.92</v>
      </c>
      <c r="M1172" s="495">
        <v>71.709999999999994</v>
      </c>
    </row>
    <row r="1173" spans="1:13" ht="17.25" customHeight="1" x14ac:dyDescent="0.25">
      <c r="A1173" s="488" t="s">
        <v>969</v>
      </c>
      <c r="B1173" s="495"/>
      <c r="C1173" s="495"/>
      <c r="D1173" s="494"/>
      <c r="E1173" s="495"/>
      <c r="F1173" s="495">
        <v>0</v>
      </c>
      <c r="G1173" s="495">
        <v>0</v>
      </c>
      <c r="H1173" s="495">
        <v>1</v>
      </c>
      <c r="I1173" s="495">
        <v>643</v>
      </c>
      <c r="J1173" s="494">
        <v>0.2</v>
      </c>
      <c r="K1173" s="495">
        <v>128.6</v>
      </c>
      <c r="L1173" s="495">
        <v>30.98</v>
      </c>
      <c r="M1173" s="495">
        <v>159.57999999999998</v>
      </c>
    </row>
    <row r="1174" spans="1:13" ht="17.25" customHeight="1" x14ac:dyDescent="0.25">
      <c r="A1174" s="488" t="s">
        <v>899</v>
      </c>
      <c r="B1174" s="495"/>
      <c r="C1174" s="495"/>
      <c r="D1174" s="494"/>
      <c r="E1174" s="495"/>
      <c r="F1174" s="495">
        <v>0</v>
      </c>
      <c r="G1174" s="495">
        <v>0</v>
      </c>
      <c r="H1174" s="495">
        <v>1</v>
      </c>
      <c r="I1174" s="495">
        <v>725</v>
      </c>
      <c r="J1174" s="494">
        <v>0.2</v>
      </c>
      <c r="K1174" s="495">
        <v>145</v>
      </c>
      <c r="L1174" s="495">
        <v>34.93</v>
      </c>
      <c r="M1174" s="495">
        <v>179.93</v>
      </c>
    </row>
    <row r="1175" spans="1:13" ht="17.25" customHeight="1" x14ac:dyDescent="0.25">
      <c r="A1175" s="488" t="s">
        <v>899</v>
      </c>
      <c r="B1175" s="495"/>
      <c r="C1175" s="495"/>
      <c r="D1175" s="494"/>
      <c r="E1175" s="495"/>
      <c r="F1175" s="495">
        <v>0</v>
      </c>
      <c r="G1175" s="495">
        <v>0</v>
      </c>
      <c r="H1175" s="495">
        <v>1</v>
      </c>
      <c r="I1175" s="495">
        <v>392</v>
      </c>
      <c r="J1175" s="494">
        <v>0.2</v>
      </c>
      <c r="K1175" s="495">
        <v>78.400000000000006</v>
      </c>
      <c r="L1175" s="495">
        <v>18.89</v>
      </c>
      <c r="M1175" s="495">
        <v>97.29</v>
      </c>
    </row>
    <row r="1176" spans="1:13" ht="17.25" customHeight="1" x14ac:dyDescent="0.25">
      <c r="A1176" s="488" t="s">
        <v>899</v>
      </c>
      <c r="B1176" s="495"/>
      <c r="C1176" s="495"/>
      <c r="D1176" s="494"/>
      <c r="E1176" s="495"/>
      <c r="F1176" s="495">
        <v>0</v>
      </c>
      <c r="G1176" s="495">
        <v>0</v>
      </c>
      <c r="H1176" s="495">
        <v>1</v>
      </c>
      <c r="I1176" s="495">
        <v>325.79000000000002</v>
      </c>
      <c r="J1176" s="494">
        <v>0.2</v>
      </c>
      <c r="K1176" s="495">
        <v>65.16</v>
      </c>
      <c r="L1176" s="495">
        <v>15.7</v>
      </c>
      <c r="M1176" s="495">
        <v>80.86</v>
      </c>
    </row>
    <row r="1177" spans="1:13" ht="17.25" customHeight="1" x14ac:dyDescent="0.25">
      <c r="A1177" s="488" t="s">
        <v>899</v>
      </c>
      <c r="B1177" s="495"/>
      <c r="C1177" s="495"/>
      <c r="D1177" s="494"/>
      <c r="E1177" s="495"/>
      <c r="F1177" s="495">
        <v>0</v>
      </c>
      <c r="G1177" s="495">
        <v>0</v>
      </c>
      <c r="H1177" s="495">
        <v>1</v>
      </c>
      <c r="I1177" s="495">
        <v>725</v>
      </c>
      <c r="J1177" s="494">
        <v>0.2</v>
      </c>
      <c r="K1177" s="495">
        <v>145</v>
      </c>
      <c r="L1177" s="495">
        <v>34.93</v>
      </c>
      <c r="M1177" s="495">
        <v>179.93</v>
      </c>
    </row>
    <row r="1178" spans="1:13" ht="17.25" customHeight="1" x14ac:dyDescent="0.25">
      <c r="A1178" s="488" t="s">
        <v>899</v>
      </c>
      <c r="B1178" s="495"/>
      <c r="C1178" s="495"/>
      <c r="D1178" s="494"/>
      <c r="E1178" s="495"/>
      <c r="F1178" s="495">
        <v>0</v>
      </c>
      <c r="G1178" s="495">
        <v>0</v>
      </c>
      <c r="H1178" s="495">
        <v>1</v>
      </c>
      <c r="I1178" s="495">
        <v>725</v>
      </c>
      <c r="J1178" s="494">
        <v>0.2</v>
      </c>
      <c r="K1178" s="495">
        <v>145</v>
      </c>
      <c r="L1178" s="495">
        <v>34.93</v>
      </c>
      <c r="M1178" s="495">
        <v>179.93</v>
      </c>
    </row>
    <row r="1179" spans="1:13" ht="17.25" customHeight="1" x14ac:dyDescent="0.25">
      <c r="A1179" s="488" t="s">
        <v>899</v>
      </c>
      <c r="B1179" s="495"/>
      <c r="C1179" s="495"/>
      <c r="D1179" s="494"/>
      <c r="E1179" s="495"/>
      <c r="F1179" s="495">
        <v>0</v>
      </c>
      <c r="G1179" s="495">
        <v>0</v>
      </c>
      <c r="H1179" s="495">
        <v>1</v>
      </c>
      <c r="I1179" s="495">
        <v>725</v>
      </c>
      <c r="J1179" s="494">
        <v>0.2</v>
      </c>
      <c r="K1179" s="495">
        <v>145</v>
      </c>
      <c r="L1179" s="495">
        <v>34.93</v>
      </c>
      <c r="M1179" s="495">
        <v>179.93</v>
      </c>
    </row>
    <row r="1180" spans="1:13" ht="17.25" customHeight="1" x14ac:dyDescent="0.25">
      <c r="A1180" s="488" t="s">
        <v>900</v>
      </c>
      <c r="B1180" s="495">
        <v>1</v>
      </c>
      <c r="C1180" s="495">
        <v>650</v>
      </c>
      <c r="D1180" s="494">
        <v>0.3</v>
      </c>
      <c r="E1180" s="495">
        <v>195</v>
      </c>
      <c r="F1180" s="495">
        <v>46.98</v>
      </c>
      <c r="G1180" s="495">
        <v>241.98</v>
      </c>
      <c r="H1180" s="495">
        <v>1</v>
      </c>
      <c r="I1180" s="495">
        <v>650</v>
      </c>
      <c r="J1180" s="494">
        <v>0.2</v>
      </c>
      <c r="K1180" s="495">
        <v>130</v>
      </c>
      <c r="L1180" s="495">
        <v>31.32</v>
      </c>
      <c r="M1180" s="495">
        <v>161.32</v>
      </c>
    </row>
    <row r="1181" spans="1:13" ht="17.25" customHeight="1" x14ac:dyDescent="0.25">
      <c r="A1181" s="488" t="s">
        <v>901</v>
      </c>
      <c r="B1181" s="495">
        <v>0.5</v>
      </c>
      <c r="C1181" s="495">
        <v>650</v>
      </c>
      <c r="D1181" s="494">
        <v>0.5</v>
      </c>
      <c r="E1181" s="495">
        <v>325</v>
      </c>
      <c r="F1181" s="495">
        <v>78.290000000000006</v>
      </c>
      <c r="G1181" s="495">
        <v>403.29</v>
      </c>
      <c r="H1181" s="495">
        <v>0.5</v>
      </c>
      <c r="I1181" s="495">
        <v>325</v>
      </c>
      <c r="J1181" s="494">
        <v>0.2</v>
      </c>
      <c r="K1181" s="495">
        <v>65</v>
      </c>
      <c r="L1181" s="495">
        <v>15.66</v>
      </c>
      <c r="M1181" s="495">
        <v>80.66</v>
      </c>
    </row>
    <row r="1182" spans="1:13" ht="17.25" customHeight="1" x14ac:dyDescent="0.25">
      <c r="A1182" s="488" t="s">
        <v>902</v>
      </c>
      <c r="B1182" s="495"/>
      <c r="C1182" s="495"/>
      <c r="D1182" s="494"/>
      <c r="E1182" s="495"/>
      <c r="F1182" s="495">
        <v>0</v>
      </c>
      <c r="G1182" s="495">
        <v>0</v>
      </c>
      <c r="H1182" s="495">
        <v>0.75</v>
      </c>
      <c r="I1182" s="495">
        <v>1087.5</v>
      </c>
      <c r="J1182" s="494">
        <v>0.2</v>
      </c>
      <c r="K1182" s="495">
        <v>217.5</v>
      </c>
      <c r="L1182" s="495">
        <v>52.4</v>
      </c>
      <c r="M1182" s="495">
        <v>269.89999999999998</v>
      </c>
    </row>
    <row r="1183" spans="1:13" ht="17.25" customHeight="1" x14ac:dyDescent="0.25">
      <c r="A1183" s="488" t="s">
        <v>152</v>
      </c>
      <c r="B1183" s="495">
        <v>1</v>
      </c>
      <c r="C1183" s="495">
        <v>604</v>
      </c>
      <c r="D1183" s="494">
        <v>0.5</v>
      </c>
      <c r="E1183" s="495">
        <v>302</v>
      </c>
      <c r="F1183" s="495">
        <v>72.75</v>
      </c>
      <c r="G1183" s="495">
        <v>374.75</v>
      </c>
      <c r="H1183" s="495">
        <v>1</v>
      </c>
      <c r="I1183" s="495">
        <v>604</v>
      </c>
      <c r="J1183" s="494">
        <v>0.2</v>
      </c>
      <c r="K1183" s="495">
        <v>120.8</v>
      </c>
      <c r="L1183" s="495">
        <v>29.1</v>
      </c>
      <c r="M1183" s="495">
        <v>149.9</v>
      </c>
    </row>
    <row r="1184" spans="1:13" ht="17.25" customHeight="1" x14ac:dyDescent="0.25">
      <c r="A1184" s="488" t="s">
        <v>152</v>
      </c>
      <c r="B1184" s="495"/>
      <c r="C1184" s="495"/>
      <c r="D1184" s="494"/>
      <c r="E1184" s="495"/>
      <c r="F1184" s="495">
        <v>0</v>
      </c>
      <c r="G1184" s="495">
        <v>0</v>
      </c>
      <c r="H1184" s="495">
        <v>0.5</v>
      </c>
      <c r="I1184" s="495">
        <v>245.12</v>
      </c>
      <c r="J1184" s="494">
        <v>0.2</v>
      </c>
      <c r="K1184" s="495">
        <v>49.02</v>
      </c>
      <c r="L1184" s="495">
        <v>11.81</v>
      </c>
      <c r="M1184" s="495">
        <v>60.830000000000005</v>
      </c>
    </row>
    <row r="1185" spans="1:13" ht="17.25" customHeight="1" x14ac:dyDescent="0.25">
      <c r="A1185" s="488" t="s">
        <v>152</v>
      </c>
      <c r="B1185" s="495">
        <v>0.5</v>
      </c>
      <c r="C1185" s="495">
        <v>325</v>
      </c>
      <c r="D1185" s="494">
        <v>0.5</v>
      </c>
      <c r="E1185" s="495">
        <v>162.5</v>
      </c>
      <c r="F1185" s="495">
        <v>39.15</v>
      </c>
      <c r="G1185" s="495">
        <v>201.65</v>
      </c>
      <c r="H1185" s="495">
        <v>0.5</v>
      </c>
      <c r="I1185" s="495">
        <v>298.5</v>
      </c>
      <c r="J1185" s="494">
        <v>0.2</v>
      </c>
      <c r="K1185" s="495">
        <v>59.7</v>
      </c>
      <c r="L1185" s="495">
        <v>14.38</v>
      </c>
      <c r="M1185" s="495">
        <v>74.08</v>
      </c>
    </row>
    <row r="1186" spans="1:13" ht="17.25" customHeight="1" x14ac:dyDescent="0.25">
      <c r="A1186" s="488" t="s">
        <v>152</v>
      </c>
      <c r="B1186" s="495">
        <v>1</v>
      </c>
      <c r="C1186" s="495">
        <v>542.37</v>
      </c>
      <c r="D1186" s="494">
        <v>0.3</v>
      </c>
      <c r="E1186" s="495">
        <v>162.71</v>
      </c>
      <c r="F1186" s="495">
        <v>39.200000000000003</v>
      </c>
      <c r="G1186" s="495">
        <v>201.91000000000003</v>
      </c>
      <c r="H1186" s="495">
        <v>1</v>
      </c>
      <c r="I1186" s="495">
        <v>536.58000000000004</v>
      </c>
      <c r="J1186" s="494">
        <v>0.2</v>
      </c>
      <c r="K1186" s="495">
        <v>107.32</v>
      </c>
      <c r="L1186" s="495">
        <v>25.85</v>
      </c>
      <c r="M1186" s="495">
        <v>133.16999999999999</v>
      </c>
    </row>
    <row r="1187" spans="1:13" ht="17.25" customHeight="1" x14ac:dyDescent="0.25">
      <c r="A1187" s="488" t="s">
        <v>152</v>
      </c>
      <c r="B1187" s="495">
        <v>0.6</v>
      </c>
      <c r="C1187" s="495">
        <v>294.52999999999997</v>
      </c>
      <c r="D1187" s="494">
        <v>0.3</v>
      </c>
      <c r="E1187" s="495">
        <v>88.36</v>
      </c>
      <c r="F1187" s="495">
        <v>21.29</v>
      </c>
      <c r="G1187" s="495">
        <v>109.65</v>
      </c>
      <c r="H1187" s="495"/>
      <c r="I1187" s="495"/>
      <c r="J1187" s="494"/>
      <c r="K1187" s="495"/>
      <c r="L1187" s="495"/>
      <c r="M1187" s="495"/>
    </row>
    <row r="1188" spans="1:13" ht="17.25" customHeight="1" x14ac:dyDescent="0.25">
      <c r="A1188" s="488" t="s">
        <v>152</v>
      </c>
      <c r="B1188" s="495"/>
      <c r="C1188" s="495"/>
      <c r="D1188" s="494"/>
      <c r="E1188" s="495"/>
      <c r="F1188" s="495">
        <v>0</v>
      </c>
      <c r="G1188" s="495">
        <v>0</v>
      </c>
      <c r="H1188" s="495">
        <v>1</v>
      </c>
      <c r="I1188" s="495">
        <v>636</v>
      </c>
      <c r="J1188" s="494">
        <v>0.2</v>
      </c>
      <c r="K1188" s="495">
        <v>127.2</v>
      </c>
      <c r="L1188" s="495">
        <v>30.64</v>
      </c>
      <c r="M1188" s="495">
        <v>157.84</v>
      </c>
    </row>
    <row r="1189" spans="1:13" ht="17.25" customHeight="1" x14ac:dyDescent="0.25">
      <c r="A1189" s="488" t="s">
        <v>152</v>
      </c>
      <c r="B1189" s="495">
        <v>1</v>
      </c>
      <c r="C1189" s="495">
        <v>601</v>
      </c>
      <c r="D1189" s="494">
        <v>0.5</v>
      </c>
      <c r="E1189" s="495">
        <v>300.5</v>
      </c>
      <c r="F1189" s="495">
        <v>72.39</v>
      </c>
      <c r="G1189" s="495">
        <v>372.89</v>
      </c>
      <c r="H1189" s="495">
        <v>1</v>
      </c>
      <c r="I1189" s="495">
        <v>448.85</v>
      </c>
      <c r="J1189" s="494">
        <v>0.2</v>
      </c>
      <c r="K1189" s="495">
        <v>89.77</v>
      </c>
      <c r="L1189" s="495">
        <v>21.63</v>
      </c>
      <c r="M1189" s="495">
        <v>111.39999999999999</v>
      </c>
    </row>
    <row r="1190" spans="1:13" ht="17.25" customHeight="1" x14ac:dyDescent="0.25">
      <c r="A1190" s="488" t="s">
        <v>152</v>
      </c>
      <c r="B1190" s="495"/>
      <c r="C1190" s="495"/>
      <c r="D1190" s="494"/>
      <c r="E1190" s="495"/>
      <c r="F1190" s="495">
        <v>0</v>
      </c>
      <c r="G1190" s="495">
        <v>0</v>
      </c>
      <c r="H1190" s="495">
        <v>1</v>
      </c>
      <c r="I1190" s="495">
        <v>615</v>
      </c>
      <c r="J1190" s="494">
        <v>0.2</v>
      </c>
      <c r="K1190" s="495">
        <v>123</v>
      </c>
      <c r="L1190" s="495">
        <v>29.63</v>
      </c>
      <c r="M1190" s="495">
        <v>152.63</v>
      </c>
    </row>
    <row r="1191" spans="1:13" ht="17.25" customHeight="1" x14ac:dyDescent="0.25">
      <c r="A1191" s="488" t="s">
        <v>152</v>
      </c>
      <c r="B1191" s="495">
        <v>1</v>
      </c>
      <c r="C1191" s="495">
        <v>598</v>
      </c>
      <c r="D1191" s="494">
        <v>0.3</v>
      </c>
      <c r="E1191" s="495">
        <v>179.4</v>
      </c>
      <c r="F1191" s="495">
        <v>43.22</v>
      </c>
      <c r="G1191" s="495">
        <v>222.62</v>
      </c>
      <c r="H1191" s="495">
        <v>1</v>
      </c>
      <c r="I1191" s="495">
        <v>598</v>
      </c>
      <c r="J1191" s="494">
        <v>0.2</v>
      </c>
      <c r="K1191" s="495">
        <v>119.6</v>
      </c>
      <c r="L1191" s="495">
        <v>28.81</v>
      </c>
      <c r="M1191" s="495">
        <v>148.41</v>
      </c>
    </row>
    <row r="1192" spans="1:13" ht="17.25" customHeight="1" x14ac:dyDescent="0.25">
      <c r="A1192" s="488" t="s">
        <v>152</v>
      </c>
      <c r="B1192" s="495" t="s">
        <v>919</v>
      </c>
      <c r="C1192" s="495">
        <v>290.45999999999998</v>
      </c>
      <c r="D1192" s="494">
        <v>0.5</v>
      </c>
      <c r="E1192" s="495">
        <v>145.22999999999999</v>
      </c>
      <c r="F1192" s="495">
        <v>34.99</v>
      </c>
      <c r="G1192" s="495">
        <v>180.22</v>
      </c>
      <c r="H1192" s="495"/>
      <c r="I1192" s="495"/>
      <c r="J1192" s="494"/>
      <c r="K1192" s="495"/>
      <c r="L1192" s="495"/>
      <c r="M1192" s="495"/>
    </row>
    <row r="1193" spans="1:13" ht="17.25" customHeight="1" x14ac:dyDescent="0.25">
      <c r="A1193" s="488" t="s">
        <v>152</v>
      </c>
      <c r="B1193" s="495"/>
      <c r="C1193" s="495"/>
      <c r="D1193" s="494"/>
      <c r="E1193" s="495"/>
      <c r="F1193" s="495">
        <v>0</v>
      </c>
      <c r="G1193" s="495">
        <v>0</v>
      </c>
      <c r="H1193" s="495">
        <v>1</v>
      </c>
      <c r="I1193" s="495">
        <v>633</v>
      </c>
      <c r="J1193" s="494">
        <v>0.2</v>
      </c>
      <c r="K1193" s="495">
        <v>126.6</v>
      </c>
      <c r="L1193" s="495">
        <v>30.5</v>
      </c>
      <c r="M1193" s="495">
        <v>157.1</v>
      </c>
    </row>
    <row r="1194" spans="1:13" ht="17.25" customHeight="1" x14ac:dyDescent="0.25">
      <c r="A1194" s="488" t="s">
        <v>152</v>
      </c>
      <c r="B1194" s="495">
        <v>1</v>
      </c>
      <c r="C1194" s="495">
        <v>601</v>
      </c>
      <c r="D1194" s="494">
        <v>0.5</v>
      </c>
      <c r="E1194" s="495">
        <v>300.5</v>
      </c>
      <c r="F1194" s="495">
        <v>72.39</v>
      </c>
      <c r="G1194" s="495">
        <v>372.89</v>
      </c>
      <c r="H1194" s="495">
        <v>1</v>
      </c>
      <c r="I1194" s="495">
        <v>601</v>
      </c>
      <c r="J1194" s="494">
        <v>0.2</v>
      </c>
      <c r="K1194" s="495">
        <v>120.2</v>
      </c>
      <c r="L1194" s="495">
        <v>28.96</v>
      </c>
      <c r="M1194" s="495">
        <v>149.16</v>
      </c>
    </row>
    <row r="1195" spans="1:13" ht="17.25" customHeight="1" x14ac:dyDescent="0.25">
      <c r="A1195" s="488" t="s">
        <v>152</v>
      </c>
      <c r="B1195" s="495"/>
      <c r="C1195" s="495"/>
      <c r="D1195" s="494"/>
      <c r="E1195" s="495"/>
      <c r="F1195" s="495">
        <v>0</v>
      </c>
      <c r="G1195" s="495">
        <v>0</v>
      </c>
      <c r="H1195" s="495">
        <v>0.5</v>
      </c>
      <c r="I1195" s="495">
        <v>300.5</v>
      </c>
      <c r="J1195" s="494">
        <v>0.2</v>
      </c>
      <c r="K1195" s="495">
        <v>60.1</v>
      </c>
      <c r="L1195" s="495">
        <v>14.48</v>
      </c>
      <c r="M1195" s="495">
        <v>74.58</v>
      </c>
    </row>
    <row r="1196" spans="1:13" ht="17.25" customHeight="1" x14ac:dyDescent="0.25">
      <c r="A1196" s="488" t="s">
        <v>152</v>
      </c>
      <c r="B1196" s="495"/>
      <c r="C1196" s="495"/>
      <c r="D1196" s="494"/>
      <c r="E1196" s="495"/>
      <c r="F1196" s="495">
        <v>0</v>
      </c>
      <c r="G1196" s="495">
        <v>0</v>
      </c>
      <c r="H1196" s="495">
        <v>1</v>
      </c>
      <c r="I1196" s="495">
        <v>659</v>
      </c>
      <c r="J1196" s="494">
        <v>0.2</v>
      </c>
      <c r="K1196" s="495">
        <v>131.80000000000001</v>
      </c>
      <c r="L1196" s="495">
        <v>31.75</v>
      </c>
      <c r="M1196" s="495">
        <v>163.55000000000001</v>
      </c>
    </row>
    <row r="1197" spans="1:13" ht="17.25" customHeight="1" x14ac:dyDescent="0.25">
      <c r="A1197" s="488" t="s">
        <v>152</v>
      </c>
      <c r="B1197" s="495">
        <v>1</v>
      </c>
      <c r="C1197" s="495">
        <v>586</v>
      </c>
      <c r="D1197" s="494">
        <v>0.3</v>
      </c>
      <c r="E1197" s="495">
        <v>175.8</v>
      </c>
      <c r="F1197" s="495">
        <v>42.35</v>
      </c>
      <c r="G1197" s="495">
        <v>218.15</v>
      </c>
      <c r="H1197" s="495">
        <v>1</v>
      </c>
      <c r="I1197" s="495">
        <v>586</v>
      </c>
      <c r="J1197" s="494">
        <v>0.2</v>
      </c>
      <c r="K1197" s="495">
        <v>117.2</v>
      </c>
      <c r="L1197" s="495">
        <v>28.23</v>
      </c>
      <c r="M1197" s="495">
        <v>145.43</v>
      </c>
    </row>
    <row r="1198" spans="1:13" ht="17.25" customHeight="1" x14ac:dyDescent="0.25">
      <c r="A1198" s="488" t="s">
        <v>152</v>
      </c>
      <c r="B1198" s="495"/>
      <c r="C1198" s="495"/>
      <c r="D1198" s="494"/>
      <c r="E1198" s="495"/>
      <c r="F1198" s="495">
        <v>0</v>
      </c>
      <c r="G1198" s="495">
        <v>0</v>
      </c>
      <c r="H1198" s="495">
        <v>0.5</v>
      </c>
      <c r="I1198" s="495">
        <v>235.51</v>
      </c>
      <c r="J1198" s="494">
        <v>0.2</v>
      </c>
      <c r="K1198" s="495">
        <v>47.1</v>
      </c>
      <c r="L1198" s="495">
        <v>11.35</v>
      </c>
      <c r="M1198" s="495">
        <v>58.45</v>
      </c>
    </row>
    <row r="1199" spans="1:13" ht="17.25" customHeight="1" x14ac:dyDescent="0.25">
      <c r="A1199" s="488" t="s">
        <v>152</v>
      </c>
      <c r="B1199" s="495">
        <v>1</v>
      </c>
      <c r="C1199" s="495">
        <v>693</v>
      </c>
      <c r="D1199" s="494">
        <v>0.5</v>
      </c>
      <c r="E1199" s="495">
        <v>346.5</v>
      </c>
      <c r="F1199" s="495">
        <v>83.47</v>
      </c>
      <c r="G1199" s="495">
        <v>429.97</v>
      </c>
      <c r="H1199" s="495">
        <v>1</v>
      </c>
      <c r="I1199" s="495">
        <v>693</v>
      </c>
      <c r="J1199" s="494">
        <v>0.2</v>
      </c>
      <c r="K1199" s="495">
        <v>138.6</v>
      </c>
      <c r="L1199" s="495">
        <v>33.39</v>
      </c>
      <c r="M1199" s="495">
        <v>171.99</v>
      </c>
    </row>
    <row r="1200" spans="1:13" ht="17.25" customHeight="1" x14ac:dyDescent="0.25">
      <c r="A1200" s="488" t="s">
        <v>152</v>
      </c>
      <c r="B1200" s="495">
        <v>1</v>
      </c>
      <c r="C1200" s="495">
        <v>283.88</v>
      </c>
      <c r="D1200" s="494">
        <v>0.5</v>
      </c>
      <c r="E1200" s="495">
        <v>141.94</v>
      </c>
      <c r="F1200" s="495">
        <v>34.19</v>
      </c>
      <c r="G1200" s="495">
        <v>176.13</v>
      </c>
      <c r="H1200" s="495"/>
      <c r="I1200" s="495"/>
      <c r="J1200" s="494"/>
      <c r="K1200" s="495"/>
      <c r="L1200" s="495"/>
      <c r="M1200" s="495"/>
    </row>
    <row r="1201" spans="1:13" ht="17.25" customHeight="1" x14ac:dyDescent="0.25">
      <c r="A1201" s="488" t="s">
        <v>970</v>
      </c>
      <c r="B1201" s="495"/>
      <c r="C1201" s="495"/>
      <c r="D1201" s="494"/>
      <c r="E1201" s="495"/>
      <c r="F1201" s="495">
        <v>0</v>
      </c>
      <c r="G1201" s="495">
        <v>0</v>
      </c>
      <c r="H1201" s="495">
        <v>0.75</v>
      </c>
      <c r="I1201" s="495">
        <v>434.71</v>
      </c>
      <c r="J1201" s="494">
        <v>0.2</v>
      </c>
      <c r="K1201" s="495">
        <v>86.94</v>
      </c>
      <c r="L1201" s="495">
        <v>20.94</v>
      </c>
      <c r="M1201" s="495">
        <v>107.88</v>
      </c>
    </row>
    <row r="1202" spans="1:13" s="706" customFormat="1" ht="17.25" customHeight="1" x14ac:dyDescent="0.25">
      <c r="A1202" s="488" t="s">
        <v>733</v>
      </c>
      <c r="B1202" s="495"/>
      <c r="C1202" s="495"/>
      <c r="D1202" s="494"/>
      <c r="E1202" s="495"/>
      <c r="F1202" s="495">
        <v>0</v>
      </c>
      <c r="G1202" s="495">
        <v>0</v>
      </c>
      <c r="H1202" s="495">
        <v>0.5</v>
      </c>
      <c r="I1202" s="495">
        <v>39.24</v>
      </c>
      <c r="J1202" s="494">
        <v>0.2</v>
      </c>
      <c r="K1202" s="495">
        <v>7.85</v>
      </c>
      <c r="L1202" s="495">
        <v>1.89</v>
      </c>
      <c r="M1202" s="495">
        <v>9.74</v>
      </c>
    </row>
    <row r="1203" spans="1:13" ht="17.25" customHeight="1" x14ac:dyDescent="0.25">
      <c r="A1203" s="488" t="s">
        <v>903</v>
      </c>
      <c r="B1203" s="495">
        <v>1</v>
      </c>
      <c r="C1203" s="495">
        <v>693</v>
      </c>
      <c r="D1203" s="494">
        <v>0.3</v>
      </c>
      <c r="E1203" s="495">
        <v>207.9</v>
      </c>
      <c r="F1203" s="495">
        <v>50.08</v>
      </c>
      <c r="G1203" s="495">
        <v>257.98</v>
      </c>
      <c r="H1203" s="495">
        <v>1</v>
      </c>
      <c r="I1203" s="495">
        <v>693</v>
      </c>
      <c r="J1203" s="494">
        <v>0.2</v>
      </c>
      <c r="K1203" s="495">
        <v>138.6</v>
      </c>
      <c r="L1203" s="495">
        <v>33.39</v>
      </c>
      <c r="M1203" s="495">
        <v>171.99</v>
      </c>
    </row>
    <row r="1204" spans="1:13" ht="17.25" customHeight="1" x14ac:dyDescent="0.25">
      <c r="A1204" s="488" t="s">
        <v>903</v>
      </c>
      <c r="B1204" s="495">
        <v>1</v>
      </c>
      <c r="C1204" s="495">
        <v>693</v>
      </c>
      <c r="D1204" s="494">
        <v>0.3</v>
      </c>
      <c r="E1204" s="495">
        <v>207.9</v>
      </c>
      <c r="F1204" s="495">
        <v>50.08</v>
      </c>
      <c r="G1204" s="495">
        <v>257.98</v>
      </c>
      <c r="H1204" s="495">
        <v>1</v>
      </c>
      <c r="I1204" s="495">
        <v>693</v>
      </c>
      <c r="J1204" s="494">
        <v>0.2</v>
      </c>
      <c r="K1204" s="495">
        <v>138.6</v>
      </c>
      <c r="L1204" s="495">
        <v>33.39</v>
      </c>
      <c r="M1204" s="495">
        <v>171.99</v>
      </c>
    </row>
    <row r="1205" spans="1:13" ht="17.25" customHeight="1" x14ac:dyDescent="0.25">
      <c r="A1205" s="488" t="s">
        <v>19</v>
      </c>
      <c r="B1205" s="495"/>
      <c r="C1205" s="495"/>
      <c r="D1205" s="494"/>
      <c r="E1205" s="495"/>
      <c r="F1205" s="495">
        <v>0</v>
      </c>
      <c r="G1205" s="495">
        <v>0</v>
      </c>
      <c r="H1205" s="495">
        <v>1</v>
      </c>
      <c r="I1205" s="495">
        <v>580</v>
      </c>
      <c r="J1205" s="494">
        <v>0.2</v>
      </c>
      <c r="K1205" s="495">
        <v>116</v>
      </c>
      <c r="L1205" s="495">
        <v>27.94</v>
      </c>
      <c r="M1205" s="495">
        <v>143.94</v>
      </c>
    </row>
    <row r="1206" spans="1:13" ht="17.25" customHeight="1" x14ac:dyDescent="0.25">
      <c r="A1206" s="488" t="s">
        <v>19</v>
      </c>
      <c r="B1206" s="495"/>
      <c r="C1206" s="495"/>
      <c r="D1206" s="494"/>
      <c r="E1206" s="495"/>
      <c r="F1206" s="495">
        <v>0</v>
      </c>
      <c r="G1206" s="495">
        <v>0</v>
      </c>
      <c r="H1206" s="495">
        <v>1</v>
      </c>
      <c r="I1206" s="495">
        <v>560</v>
      </c>
      <c r="J1206" s="494">
        <v>0.2</v>
      </c>
      <c r="K1206" s="495">
        <v>112</v>
      </c>
      <c r="L1206" s="495">
        <v>26.98</v>
      </c>
      <c r="M1206" s="495">
        <v>138.97999999999999</v>
      </c>
    </row>
    <row r="1207" spans="1:13" ht="17.25" customHeight="1" x14ac:dyDescent="0.25">
      <c r="A1207" s="488" t="s">
        <v>19</v>
      </c>
      <c r="B1207" s="495"/>
      <c r="C1207" s="495"/>
      <c r="D1207" s="494"/>
      <c r="E1207" s="495"/>
      <c r="F1207" s="495">
        <v>0</v>
      </c>
      <c r="G1207" s="495">
        <v>0</v>
      </c>
      <c r="H1207" s="495">
        <v>1</v>
      </c>
      <c r="I1207" s="495">
        <v>560</v>
      </c>
      <c r="J1207" s="494">
        <v>0.2</v>
      </c>
      <c r="K1207" s="495">
        <v>112</v>
      </c>
      <c r="L1207" s="495">
        <v>26.98</v>
      </c>
      <c r="M1207" s="495">
        <v>138.97999999999999</v>
      </c>
    </row>
    <row r="1208" spans="1:13" ht="17.25" customHeight="1" x14ac:dyDescent="0.25">
      <c r="A1208" s="488" t="s">
        <v>19</v>
      </c>
      <c r="B1208" s="495"/>
      <c r="C1208" s="495"/>
      <c r="D1208" s="494"/>
      <c r="E1208" s="495"/>
      <c r="F1208" s="495">
        <v>0</v>
      </c>
      <c r="G1208" s="495">
        <v>0</v>
      </c>
      <c r="H1208" s="495">
        <v>1</v>
      </c>
      <c r="I1208" s="495">
        <v>560</v>
      </c>
      <c r="J1208" s="494">
        <v>0.2</v>
      </c>
      <c r="K1208" s="495">
        <v>112</v>
      </c>
      <c r="L1208" s="495">
        <v>26.98</v>
      </c>
      <c r="M1208" s="495">
        <v>138.97999999999999</v>
      </c>
    </row>
    <row r="1209" spans="1:13" ht="17.25" customHeight="1" x14ac:dyDescent="0.25">
      <c r="A1209" s="488" t="s">
        <v>19</v>
      </c>
      <c r="B1209" s="495"/>
      <c r="C1209" s="495"/>
      <c r="D1209" s="494"/>
      <c r="E1209" s="495"/>
      <c r="F1209" s="495">
        <v>0</v>
      </c>
      <c r="G1209" s="495">
        <v>0</v>
      </c>
      <c r="H1209" s="495">
        <v>1</v>
      </c>
      <c r="I1209" s="495">
        <v>393.42</v>
      </c>
      <c r="J1209" s="494">
        <v>0.2</v>
      </c>
      <c r="K1209" s="495">
        <v>78.680000000000007</v>
      </c>
      <c r="L1209" s="495">
        <v>18.95</v>
      </c>
      <c r="M1209" s="495">
        <v>97.63000000000001</v>
      </c>
    </row>
    <row r="1210" spans="1:13" ht="17.25" customHeight="1" x14ac:dyDescent="0.25">
      <c r="A1210" s="488" t="s">
        <v>19</v>
      </c>
      <c r="B1210" s="495"/>
      <c r="C1210" s="495"/>
      <c r="D1210" s="494"/>
      <c r="E1210" s="495"/>
      <c r="F1210" s="495">
        <v>0</v>
      </c>
      <c r="G1210" s="495">
        <v>0</v>
      </c>
      <c r="H1210" s="495">
        <v>1</v>
      </c>
      <c r="I1210" s="495">
        <v>560</v>
      </c>
      <c r="J1210" s="494">
        <v>0.2</v>
      </c>
      <c r="K1210" s="495">
        <v>112</v>
      </c>
      <c r="L1210" s="495">
        <v>26.98</v>
      </c>
      <c r="M1210" s="495">
        <v>138.97999999999999</v>
      </c>
    </row>
    <row r="1211" spans="1:13" ht="17.25" customHeight="1" x14ac:dyDescent="0.25">
      <c r="A1211" s="488" t="s">
        <v>19</v>
      </c>
      <c r="B1211" s="495"/>
      <c r="C1211" s="495"/>
      <c r="D1211" s="494"/>
      <c r="E1211" s="495"/>
      <c r="F1211" s="495">
        <v>0</v>
      </c>
      <c r="G1211" s="495">
        <v>0</v>
      </c>
      <c r="H1211" s="495">
        <v>1</v>
      </c>
      <c r="I1211" s="495">
        <v>418.23</v>
      </c>
      <c r="J1211" s="494">
        <v>0.2</v>
      </c>
      <c r="K1211" s="495">
        <v>83.65</v>
      </c>
      <c r="L1211" s="495">
        <v>20.149999999999999</v>
      </c>
      <c r="M1211" s="495">
        <v>103.80000000000001</v>
      </c>
    </row>
    <row r="1212" spans="1:13" ht="17.25" customHeight="1" x14ac:dyDescent="0.25">
      <c r="A1212" s="488" t="s">
        <v>19</v>
      </c>
      <c r="B1212" s="495"/>
      <c r="C1212" s="495"/>
      <c r="D1212" s="494"/>
      <c r="E1212" s="495"/>
      <c r="F1212" s="495">
        <v>0</v>
      </c>
      <c r="G1212" s="495">
        <v>0</v>
      </c>
      <c r="H1212" s="495">
        <v>1</v>
      </c>
      <c r="I1212" s="495">
        <v>560</v>
      </c>
      <c r="J1212" s="494">
        <v>0.2</v>
      </c>
      <c r="K1212" s="495">
        <v>112</v>
      </c>
      <c r="L1212" s="495">
        <v>26.98</v>
      </c>
      <c r="M1212" s="495">
        <v>138.97999999999999</v>
      </c>
    </row>
    <row r="1213" spans="1:13" ht="17.25" customHeight="1" x14ac:dyDescent="0.25">
      <c r="A1213" s="488" t="s">
        <v>19</v>
      </c>
      <c r="B1213" s="495"/>
      <c r="C1213" s="495"/>
      <c r="D1213" s="494"/>
      <c r="E1213" s="495"/>
      <c r="F1213" s="495">
        <v>0</v>
      </c>
      <c r="G1213" s="495">
        <v>0</v>
      </c>
      <c r="H1213" s="495">
        <v>1</v>
      </c>
      <c r="I1213" s="495">
        <v>560</v>
      </c>
      <c r="J1213" s="494">
        <v>0.2</v>
      </c>
      <c r="K1213" s="495">
        <v>112</v>
      </c>
      <c r="L1213" s="495">
        <v>26.98</v>
      </c>
      <c r="M1213" s="495">
        <v>138.97999999999999</v>
      </c>
    </row>
    <row r="1214" spans="1:13" ht="17.25" customHeight="1" x14ac:dyDescent="0.25">
      <c r="A1214" s="488" t="s">
        <v>19</v>
      </c>
      <c r="B1214" s="495"/>
      <c r="C1214" s="495"/>
      <c r="D1214" s="494"/>
      <c r="E1214" s="495"/>
      <c r="F1214" s="495">
        <v>0</v>
      </c>
      <c r="G1214" s="495">
        <v>0</v>
      </c>
      <c r="H1214" s="495">
        <v>1</v>
      </c>
      <c r="I1214" s="495">
        <v>348.84</v>
      </c>
      <c r="J1214" s="494">
        <v>0.2</v>
      </c>
      <c r="K1214" s="495">
        <v>69.77</v>
      </c>
      <c r="L1214" s="495">
        <v>16.809999999999999</v>
      </c>
      <c r="M1214" s="495">
        <v>86.58</v>
      </c>
    </row>
    <row r="1215" spans="1:13" ht="17.25" customHeight="1" x14ac:dyDescent="0.25">
      <c r="A1215" s="488" t="s">
        <v>904</v>
      </c>
      <c r="B1215" s="495">
        <v>1</v>
      </c>
      <c r="C1215" s="495">
        <v>456.52</v>
      </c>
      <c r="D1215" s="494">
        <v>0.5</v>
      </c>
      <c r="E1215" s="495">
        <v>228.26</v>
      </c>
      <c r="F1215" s="495">
        <v>54.99</v>
      </c>
      <c r="G1215" s="495">
        <v>283.25</v>
      </c>
      <c r="H1215" s="495">
        <v>1</v>
      </c>
      <c r="I1215" s="495">
        <v>563.92999999999995</v>
      </c>
      <c r="J1215" s="494">
        <v>0.2</v>
      </c>
      <c r="K1215" s="495">
        <v>112.79</v>
      </c>
      <c r="L1215" s="495">
        <v>27.17</v>
      </c>
      <c r="M1215" s="495">
        <v>139.96</v>
      </c>
    </row>
    <row r="1216" spans="1:13" ht="17.25" customHeight="1" x14ac:dyDescent="0.25">
      <c r="A1216" s="488" t="s">
        <v>904</v>
      </c>
      <c r="B1216" s="495">
        <v>1</v>
      </c>
      <c r="C1216" s="495">
        <v>456.52</v>
      </c>
      <c r="D1216" s="494">
        <v>0.5</v>
      </c>
      <c r="E1216" s="495">
        <v>228.26</v>
      </c>
      <c r="F1216" s="495">
        <v>54.99</v>
      </c>
      <c r="G1216" s="495">
        <v>283.25</v>
      </c>
      <c r="H1216" s="495">
        <v>1</v>
      </c>
      <c r="I1216" s="495">
        <v>644.49</v>
      </c>
      <c r="J1216" s="494">
        <v>0.2</v>
      </c>
      <c r="K1216" s="495">
        <v>128.9</v>
      </c>
      <c r="L1216" s="495">
        <v>31.05</v>
      </c>
      <c r="M1216" s="495">
        <v>159.95000000000002</v>
      </c>
    </row>
    <row r="1217" spans="1:13" ht="17.25" customHeight="1" x14ac:dyDescent="0.25">
      <c r="A1217" s="488" t="s">
        <v>904</v>
      </c>
      <c r="B1217" s="495">
        <v>1</v>
      </c>
      <c r="C1217" s="495">
        <v>590.78</v>
      </c>
      <c r="D1217" s="494">
        <v>0.5</v>
      </c>
      <c r="E1217" s="495">
        <v>295.39</v>
      </c>
      <c r="F1217" s="495">
        <v>71.16</v>
      </c>
      <c r="G1217" s="495">
        <v>366.54999999999995</v>
      </c>
      <c r="H1217" s="495">
        <v>1</v>
      </c>
      <c r="I1217" s="495">
        <v>644.49</v>
      </c>
      <c r="J1217" s="494">
        <v>0.2</v>
      </c>
      <c r="K1217" s="495">
        <v>128.9</v>
      </c>
      <c r="L1217" s="495">
        <v>31.05</v>
      </c>
      <c r="M1217" s="495">
        <v>159.95000000000002</v>
      </c>
    </row>
    <row r="1218" spans="1:13" ht="17.25" customHeight="1" x14ac:dyDescent="0.25">
      <c r="A1218" s="488" t="s">
        <v>904</v>
      </c>
      <c r="B1218" s="495">
        <v>1</v>
      </c>
      <c r="C1218" s="495">
        <v>546.32000000000005</v>
      </c>
      <c r="D1218" s="494">
        <v>0.5</v>
      </c>
      <c r="E1218" s="495">
        <v>273.16000000000003</v>
      </c>
      <c r="F1218" s="495">
        <v>65.8</v>
      </c>
      <c r="G1218" s="495">
        <v>338.96000000000004</v>
      </c>
      <c r="H1218" s="495">
        <v>1</v>
      </c>
      <c r="I1218" s="495">
        <v>281.91000000000003</v>
      </c>
      <c r="J1218" s="494">
        <v>0.2</v>
      </c>
      <c r="K1218" s="495">
        <v>56.38</v>
      </c>
      <c r="L1218" s="495">
        <v>13.58</v>
      </c>
      <c r="M1218" s="495">
        <v>69.960000000000008</v>
      </c>
    </row>
    <row r="1219" spans="1:13" ht="17.25" customHeight="1" x14ac:dyDescent="0.25">
      <c r="A1219" s="488" t="s">
        <v>904</v>
      </c>
      <c r="B1219" s="495">
        <v>0.5</v>
      </c>
      <c r="C1219" s="495">
        <v>206.8</v>
      </c>
      <c r="D1219" s="494">
        <v>0.3</v>
      </c>
      <c r="E1219" s="495">
        <v>62.04</v>
      </c>
      <c r="F1219" s="495">
        <v>14.95</v>
      </c>
      <c r="G1219" s="495">
        <v>76.989999999999995</v>
      </c>
      <c r="H1219" s="495"/>
      <c r="I1219" s="495"/>
      <c r="J1219" s="494"/>
      <c r="K1219" s="495"/>
      <c r="L1219" s="495"/>
      <c r="M1219" s="495"/>
    </row>
    <row r="1220" spans="1:13" ht="17.25" customHeight="1" x14ac:dyDescent="0.25">
      <c r="A1220" s="488" t="s">
        <v>904</v>
      </c>
      <c r="B1220" s="495">
        <v>0.5</v>
      </c>
      <c r="C1220" s="495">
        <v>114.14</v>
      </c>
      <c r="D1220" s="494">
        <v>0.5</v>
      </c>
      <c r="E1220" s="495">
        <v>57.07</v>
      </c>
      <c r="F1220" s="495">
        <v>13.75</v>
      </c>
      <c r="G1220" s="495">
        <v>70.819999999999993</v>
      </c>
      <c r="H1220" s="495">
        <v>0.5</v>
      </c>
      <c r="I1220" s="495">
        <v>599.16999999999996</v>
      </c>
      <c r="J1220" s="494">
        <v>0.2</v>
      </c>
      <c r="K1220" s="495">
        <v>119.83</v>
      </c>
      <c r="L1220" s="495">
        <v>28.87</v>
      </c>
      <c r="M1220" s="495">
        <v>148.69999999999999</v>
      </c>
    </row>
    <row r="1221" spans="1:13" ht="17.25" customHeight="1" x14ac:dyDescent="0.25">
      <c r="A1221" s="488" t="s">
        <v>904</v>
      </c>
      <c r="B1221" s="495"/>
      <c r="C1221" s="495"/>
      <c r="D1221" s="494"/>
      <c r="E1221" s="495"/>
      <c r="F1221" s="495">
        <v>0</v>
      </c>
      <c r="G1221" s="495">
        <v>0</v>
      </c>
      <c r="H1221" s="495">
        <v>1</v>
      </c>
      <c r="I1221" s="495">
        <v>525.32000000000005</v>
      </c>
      <c r="J1221" s="494">
        <v>0.2</v>
      </c>
      <c r="K1221" s="495">
        <v>105.06</v>
      </c>
      <c r="L1221" s="495">
        <v>25.31</v>
      </c>
      <c r="M1221" s="495">
        <v>130.37</v>
      </c>
    </row>
    <row r="1222" spans="1:13" ht="17.25" customHeight="1" x14ac:dyDescent="0.25">
      <c r="A1222" s="488" t="s">
        <v>904</v>
      </c>
      <c r="B1222" s="495">
        <v>1</v>
      </c>
      <c r="C1222" s="495">
        <v>563.91999999999996</v>
      </c>
      <c r="D1222" s="494">
        <v>0.5</v>
      </c>
      <c r="E1222" s="495">
        <v>281.95999999999998</v>
      </c>
      <c r="F1222" s="495">
        <v>67.92</v>
      </c>
      <c r="G1222" s="495">
        <v>349.88</v>
      </c>
      <c r="H1222" s="495">
        <v>1</v>
      </c>
      <c r="I1222" s="495">
        <v>563.92999999999995</v>
      </c>
      <c r="J1222" s="494">
        <v>0.2</v>
      </c>
      <c r="K1222" s="495">
        <v>112.79</v>
      </c>
      <c r="L1222" s="495">
        <v>27.17</v>
      </c>
      <c r="M1222" s="495">
        <v>139.96</v>
      </c>
    </row>
    <row r="1223" spans="1:13" ht="17.25" customHeight="1" x14ac:dyDescent="0.25">
      <c r="A1223" s="488" t="s">
        <v>904</v>
      </c>
      <c r="B1223" s="495">
        <v>1</v>
      </c>
      <c r="C1223" s="495">
        <v>590.78</v>
      </c>
      <c r="D1223" s="494">
        <v>0.5</v>
      </c>
      <c r="E1223" s="495">
        <v>295.39</v>
      </c>
      <c r="F1223" s="495">
        <v>71.16</v>
      </c>
      <c r="G1223" s="495">
        <v>366.54999999999995</v>
      </c>
      <c r="H1223" s="495">
        <v>1</v>
      </c>
      <c r="I1223" s="495">
        <v>725.05</v>
      </c>
      <c r="J1223" s="494">
        <v>0.2</v>
      </c>
      <c r="K1223" s="495">
        <v>145.01</v>
      </c>
      <c r="L1223" s="495">
        <v>34.93</v>
      </c>
      <c r="M1223" s="495">
        <v>179.94</v>
      </c>
    </row>
    <row r="1224" spans="1:13" ht="17.25" customHeight="1" x14ac:dyDescent="0.25">
      <c r="A1224" s="488" t="s">
        <v>904</v>
      </c>
      <c r="B1224" s="495">
        <v>1</v>
      </c>
      <c r="C1224" s="495">
        <v>590.78</v>
      </c>
      <c r="D1224" s="494">
        <v>0.5</v>
      </c>
      <c r="E1224" s="495">
        <v>295.39</v>
      </c>
      <c r="F1224" s="495">
        <v>71.16</v>
      </c>
      <c r="G1224" s="495">
        <v>366.54999999999995</v>
      </c>
      <c r="H1224" s="495">
        <v>1</v>
      </c>
      <c r="I1224" s="495">
        <v>698.19</v>
      </c>
      <c r="J1224" s="494">
        <v>0.2</v>
      </c>
      <c r="K1224" s="495">
        <v>139.63999999999999</v>
      </c>
      <c r="L1224" s="495">
        <v>33.64</v>
      </c>
      <c r="M1224" s="495">
        <v>173.27999999999997</v>
      </c>
    </row>
    <row r="1225" spans="1:13" ht="17.25" customHeight="1" x14ac:dyDescent="0.25">
      <c r="A1225" s="488" t="s">
        <v>904</v>
      </c>
      <c r="B1225" s="495"/>
      <c r="C1225" s="495"/>
      <c r="D1225" s="494"/>
      <c r="E1225" s="495"/>
      <c r="F1225" s="495">
        <v>0</v>
      </c>
      <c r="G1225" s="495">
        <v>0</v>
      </c>
      <c r="H1225" s="495">
        <v>1</v>
      </c>
      <c r="I1225" s="495">
        <v>698.19</v>
      </c>
      <c r="J1225" s="494">
        <v>0.2</v>
      </c>
      <c r="K1225" s="495">
        <v>139.63999999999999</v>
      </c>
      <c r="L1225" s="495">
        <v>33.64</v>
      </c>
      <c r="M1225" s="495">
        <v>173.27999999999997</v>
      </c>
    </row>
    <row r="1226" spans="1:13" ht="17.25" customHeight="1" x14ac:dyDescent="0.25">
      <c r="A1226" s="488" t="s">
        <v>904</v>
      </c>
      <c r="B1226" s="495">
        <v>1</v>
      </c>
      <c r="C1226" s="495">
        <v>590.78</v>
      </c>
      <c r="D1226" s="494">
        <v>0.5</v>
      </c>
      <c r="E1226" s="495">
        <v>295.39</v>
      </c>
      <c r="F1226" s="495">
        <v>71.16</v>
      </c>
      <c r="G1226" s="495">
        <v>366.54999999999995</v>
      </c>
      <c r="H1226" s="495">
        <v>1</v>
      </c>
      <c r="I1226" s="495">
        <v>483.36</v>
      </c>
      <c r="J1226" s="494">
        <v>0.2</v>
      </c>
      <c r="K1226" s="495">
        <v>96.67</v>
      </c>
      <c r="L1226" s="495">
        <v>23.29</v>
      </c>
      <c r="M1226" s="495">
        <v>119.96000000000001</v>
      </c>
    </row>
    <row r="1227" spans="1:13" ht="17.25" customHeight="1" x14ac:dyDescent="0.25">
      <c r="A1227" s="488" t="s">
        <v>904</v>
      </c>
      <c r="B1227" s="495">
        <v>1</v>
      </c>
      <c r="C1227" s="495">
        <v>590.78</v>
      </c>
      <c r="D1227" s="494">
        <v>0.5</v>
      </c>
      <c r="E1227" s="495">
        <v>295.39</v>
      </c>
      <c r="F1227" s="495">
        <v>71.16</v>
      </c>
      <c r="G1227" s="495">
        <v>366.54999999999995</v>
      </c>
      <c r="H1227" s="495">
        <v>1</v>
      </c>
      <c r="I1227" s="495">
        <v>26.85</v>
      </c>
      <c r="J1227" s="494">
        <v>0.2</v>
      </c>
      <c r="K1227" s="495">
        <v>5.37</v>
      </c>
      <c r="L1227" s="495">
        <v>1.29</v>
      </c>
      <c r="M1227" s="495">
        <v>6.66</v>
      </c>
    </row>
    <row r="1228" spans="1:13" ht="17.25" customHeight="1" x14ac:dyDescent="0.25">
      <c r="A1228" s="488" t="s">
        <v>904</v>
      </c>
      <c r="B1228" s="495"/>
      <c r="C1228" s="495"/>
      <c r="D1228" s="494"/>
      <c r="E1228" s="495"/>
      <c r="F1228" s="495">
        <v>0</v>
      </c>
      <c r="G1228" s="495">
        <v>0</v>
      </c>
      <c r="H1228" s="495">
        <v>1</v>
      </c>
      <c r="I1228" s="495">
        <v>157.76</v>
      </c>
      <c r="J1228" s="494">
        <v>0.2</v>
      </c>
      <c r="K1228" s="495">
        <v>31.55</v>
      </c>
      <c r="L1228" s="495">
        <v>7.6</v>
      </c>
      <c r="M1228" s="495">
        <v>39.15</v>
      </c>
    </row>
    <row r="1229" spans="1:13" ht="17.25" customHeight="1" x14ac:dyDescent="0.25">
      <c r="A1229" s="488" t="s">
        <v>904</v>
      </c>
      <c r="B1229" s="495"/>
      <c r="C1229" s="495"/>
      <c r="D1229" s="494"/>
      <c r="E1229" s="495"/>
      <c r="F1229" s="495">
        <v>0</v>
      </c>
      <c r="G1229" s="495">
        <v>0</v>
      </c>
      <c r="H1229" s="495">
        <v>1</v>
      </c>
      <c r="I1229" s="495">
        <v>530.36</v>
      </c>
      <c r="J1229" s="494">
        <v>0.2</v>
      </c>
      <c r="K1229" s="495">
        <v>106.07</v>
      </c>
      <c r="L1229" s="495">
        <v>25.55</v>
      </c>
      <c r="M1229" s="495">
        <v>131.62</v>
      </c>
    </row>
    <row r="1230" spans="1:13" ht="17.25" customHeight="1" x14ac:dyDescent="0.25">
      <c r="A1230" s="488" t="s">
        <v>904</v>
      </c>
      <c r="B1230" s="495"/>
      <c r="C1230" s="495"/>
      <c r="D1230" s="494"/>
      <c r="E1230" s="495"/>
      <c r="F1230" s="495">
        <v>0</v>
      </c>
      <c r="G1230" s="495">
        <v>0</v>
      </c>
      <c r="H1230" s="495">
        <v>1</v>
      </c>
      <c r="I1230" s="495">
        <v>425.09</v>
      </c>
      <c r="J1230" s="494">
        <v>0.2</v>
      </c>
      <c r="K1230" s="495">
        <v>85.02</v>
      </c>
      <c r="L1230" s="495">
        <v>20.48</v>
      </c>
      <c r="M1230" s="495">
        <v>105.5</v>
      </c>
    </row>
    <row r="1231" spans="1:13" ht="17.25" customHeight="1" x14ac:dyDescent="0.25">
      <c r="A1231" s="488" t="s">
        <v>904</v>
      </c>
      <c r="B1231" s="495"/>
      <c r="C1231" s="495"/>
      <c r="D1231" s="494"/>
      <c r="E1231" s="495"/>
      <c r="F1231" s="495">
        <v>0</v>
      </c>
      <c r="G1231" s="495">
        <v>0</v>
      </c>
      <c r="H1231" s="495">
        <v>1</v>
      </c>
      <c r="I1231" s="495">
        <v>528.01</v>
      </c>
      <c r="J1231" s="494">
        <v>0.2</v>
      </c>
      <c r="K1231" s="495">
        <v>105.6</v>
      </c>
      <c r="L1231" s="495">
        <v>25.44</v>
      </c>
      <c r="M1231" s="495">
        <v>131.04</v>
      </c>
    </row>
    <row r="1232" spans="1:13" ht="17.25" customHeight="1" x14ac:dyDescent="0.25">
      <c r="A1232" s="488" t="s">
        <v>904</v>
      </c>
      <c r="B1232" s="495"/>
      <c r="C1232" s="495"/>
      <c r="D1232" s="494"/>
      <c r="E1232" s="495"/>
      <c r="F1232" s="495">
        <v>0</v>
      </c>
      <c r="G1232" s="495">
        <v>0</v>
      </c>
      <c r="H1232" s="495">
        <v>1</v>
      </c>
      <c r="I1232" s="495">
        <v>345.74</v>
      </c>
      <c r="J1232" s="494">
        <v>0.2</v>
      </c>
      <c r="K1232" s="495">
        <v>69.150000000000006</v>
      </c>
      <c r="L1232" s="495">
        <v>16.66</v>
      </c>
      <c r="M1232" s="495">
        <v>85.81</v>
      </c>
    </row>
    <row r="1233" spans="1:13" ht="17.25" customHeight="1" x14ac:dyDescent="0.25">
      <c r="A1233" s="488" t="s">
        <v>904</v>
      </c>
      <c r="B1233" s="495"/>
      <c r="C1233" s="495"/>
      <c r="D1233" s="494"/>
      <c r="E1233" s="495"/>
      <c r="F1233" s="495">
        <v>0</v>
      </c>
      <c r="G1233" s="495">
        <v>0</v>
      </c>
      <c r="H1233" s="495">
        <v>1</v>
      </c>
      <c r="I1233" s="495">
        <v>196.37</v>
      </c>
      <c r="J1233" s="494">
        <v>0.2</v>
      </c>
      <c r="K1233" s="495">
        <v>39.270000000000003</v>
      </c>
      <c r="L1233" s="495">
        <v>9.4600000000000009</v>
      </c>
      <c r="M1233" s="495">
        <v>48.730000000000004</v>
      </c>
    </row>
    <row r="1234" spans="1:13" ht="17.25" customHeight="1" x14ac:dyDescent="0.25">
      <c r="A1234" s="488" t="s">
        <v>904</v>
      </c>
      <c r="B1234" s="495"/>
      <c r="C1234" s="495"/>
      <c r="D1234" s="494"/>
      <c r="E1234" s="495"/>
      <c r="F1234" s="495">
        <v>0</v>
      </c>
      <c r="G1234" s="495">
        <v>0</v>
      </c>
      <c r="H1234" s="495">
        <v>1</v>
      </c>
      <c r="I1234" s="495">
        <v>236.65</v>
      </c>
      <c r="J1234" s="494">
        <v>0.2</v>
      </c>
      <c r="K1234" s="495">
        <v>47.33</v>
      </c>
      <c r="L1234" s="495">
        <v>11.4</v>
      </c>
      <c r="M1234" s="495">
        <v>58.73</v>
      </c>
    </row>
    <row r="1235" spans="1:13" ht="17.25" customHeight="1" x14ac:dyDescent="0.25">
      <c r="A1235" s="488" t="s">
        <v>904</v>
      </c>
      <c r="B1235" s="495">
        <v>0.5</v>
      </c>
      <c r="C1235" s="495">
        <v>303.3</v>
      </c>
      <c r="D1235" s="494">
        <v>0.5</v>
      </c>
      <c r="E1235" s="495">
        <v>151.65</v>
      </c>
      <c r="F1235" s="495">
        <v>36.53</v>
      </c>
      <c r="G1235" s="495">
        <v>188.18</v>
      </c>
      <c r="H1235" s="495">
        <v>0.5</v>
      </c>
      <c r="I1235" s="495">
        <v>275.73</v>
      </c>
      <c r="J1235" s="494">
        <v>0.2</v>
      </c>
      <c r="K1235" s="495">
        <v>55.15</v>
      </c>
      <c r="L1235" s="495">
        <v>13.29</v>
      </c>
      <c r="M1235" s="495">
        <v>68.44</v>
      </c>
    </row>
    <row r="1236" spans="1:13" ht="17.25" customHeight="1" x14ac:dyDescent="0.25">
      <c r="A1236" s="488" t="s">
        <v>904</v>
      </c>
      <c r="B1236" s="495"/>
      <c r="C1236" s="495"/>
      <c r="D1236" s="494"/>
      <c r="E1236" s="495"/>
      <c r="F1236" s="495">
        <v>0</v>
      </c>
      <c r="G1236" s="495">
        <v>0</v>
      </c>
      <c r="H1236" s="495">
        <v>1</v>
      </c>
      <c r="I1236" s="495">
        <v>549.29999999999995</v>
      </c>
      <c r="J1236" s="494">
        <v>0.2</v>
      </c>
      <c r="K1236" s="495">
        <v>109.86</v>
      </c>
      <c r="L1236" s="495">
        <v>26.47</v>
      </c>
      <c r="M1236" s="495">
        <v>136.32999999999998</v>
      </c>
    </row>
    <row r="1237" spans="1:13" ht="17.25" customHeight="1" x14ac:dyDescent="0.25">
      <c r="A1237" s="488" t="s">
        <v>904</v>
      </c>
      <c r="B1237" s="495"/>
      <c r="C1237" s="495"/>
      <c r="D1237" s="494"/>
      <c r="E1237" s="495"/>
      <c r="F1237" s="495">
        <v>0</v>
      </c>
      <c r="G1237" s="495">
        <v>0</v>
      </c>
      <c r="H1237" s="495">
        <v>1</v>
      </c>
      <c r="I1237" s="495">
        <v>583.20000000000005</v>
      </c>
      <c r="J1237" s="494">
        <v>0.2</v>
      </c>
      <c r="K1237" s="495">
        <v>116.64</v>
      </c>
      <c r="L1237" s="495">
        <v>28.1</v>
      </c>
      <c r="M1237" s="495">
        <v>144.74</v>
      </c>
    </row>
    <row r="1238" spans="1:13" ht="17.25" customHeight="1" x14ac:dyDescent="0.25">
      <c r="A1238" s="488" t="s">
        <v>904</v>
      </c>
      <c r="B1238" s="495"/>
      <c r="C1238" s="495"/>
      <c r="D1238" s="494"/>
      <c r="E1238" s="495"/>
      <c r="F1238" s="495">
        <v>0</v>
      </c>
      <c r="G1238" s="495">
        <v>0</v>
      </c>
      <c r="H1238" s="495">
        <v>1</v>
      </c>
      <c r="I1238" s="495">
        <v>563.92999999999995</v>
      </c>
      <c r="J1238" s="494">
        <v>0.2</v>
      </c>
      <c r="K1238" s="495">
        <v>112.79</v>
      </c>
      <c r="L1238" s="495">
        <v>27.17</v>
      </c>
      <c r="M1238" s="495">
        <v>139.96</v>
      </c>
    </row>
    <row r="1239" spans="1:13" ht="17.25" customHeight="1" x14ac:dyDescent="0.25">
      <c r="A1239" s="488" t="s">
        <v>904</v>
      </c>
      <c r="B1239" s="495"/>
      <c r="C1239" s="495"/>
      <c r="D1239" s="494"/>
      <c r="E1239" s="495"/>
      <c r="F1239" s="495">
        <v>0</v>
      </c>
      <c r="G1239" s="495">
        <v>0</v>
      </c>
      <c r="H1239" s="495">
        <v>0.61</v>
      </c>
      <c r="I1239" s="495">
        <v>322.24</v>
      </c>
      <c r="J1239" s="494">
        <v>0.2</v>
      </c>
      <c r="K1239" s="495">
        <v>64.45</v>
      </c>
      <c r="L1239" s="495">
        <v>15.53</v>
      </c>
      <c r="M1239" s="495">
        <v>79.98</v>
      </c>
    </row>
    <row r="1240" spans="1:13" ht="17.25" customHeight="1" x14ac:dyDescent="0.25">
      <c r="A1240" s="488" t="s">
        <v>904</v>
      </c>
      <c r="B1240" s="495"/>
      <c r="C1240" s="495"/>
      <c r="D1240" s="494"/>
      <c r="E1240" s="495"/>
      <c r="F1240" s="495">
        <v>0</v>
      </c>
      <c r="G1240" s="495">
        <v>0</v>
      </c>
      <c r="H1240" s="495">
        <v>1</v>
      </c>
      <c r="I1240" s="495">
        <v>614.28</v>
      </c>
      <c r="J1240" s="494">
        <v>0.2</v>
      </c>
      <c r="K1240" s="495">
        <v>122.86</v>
      </c>
      <c r="L1240" s="495">
        <v>29.6</v>
      </c>
      <c r="M1240" s="495">
        <v>152.46</v>
      </c>
    </row>
    <row r="1241" spans="1:13" ht="17.25" customHeight="1" x14ac:dyDescent="0.25">
      <c r="A1241" s="488" t="s">
        <v>904</v>
      </c>
      <c r="B1241" s="495"/>
      <c r="C1241" s="495"/>
      <c r="D1241" s="494"/>
      <c r="E1241" s="495"/>
      <c r="F1241" s="495">
        <v>0</v>
      </c>
      <c r="G1241" s="495">
        <v>0</v>
      </c>
      <c r="H1241" s="495">
        <v>1</v>
      </c>
      <c r="I1241" s="495">
        <v>189.65</v>
      </c>
      <c r="J1241" s="494">
        <v>0.2</v>
      </c>
      <c r="K1241" s="495">
        <v>37.93</v>
      </c>
      <c r="L1241" s="495">
        <v>9.14</v>
      </c>
      <c r="M1241" s="495">
        <v>47.07</v>
      </c>
    </row>
    <row r="1242" spans="1:13" ht="17.25" customHeight="1" x14ac:dyDescent="0.25">
      <c r="A1242" s="488" t="s">
        <v>904</v>
      </c>
      <c r="B1242" s="495">
        <v>0.25</v>
      </c>
      <c r="C1242" s="495">
        <v>184.13</v>
      </c>
      <c r="D1242" s="494">
        <v>0.3</v>
      </c>
      <c r="E1242" s="495">
        <v>55.24</v>
      </c>
      <c r="F1242" s="495">
        <v>13.31</v>
      </c>
      <c r="G1242" s="495">
        <v>68.55</v>
      </c>
      <c r="H1242" s="495"/>
      <c r="I1242" s="495"/>
      <c r="J1242" s="494"/>
      <c r="K1242" s="495"/>
      <c r="L1242" s="495"/>
      <c r="M1242" s="495"/>
    </row>
    <row r="1243" spans="1:13" ht="17.25" customHeight="1" x14ac:dyDescent="0.25">
      <c r="A1243" s="488" t="s">
        <v>904</v>
      </c>
      <c r="B1243" s="495">
        <v>1</v>
      </c>
      <c r="C1243" s="495">
        <v>705.87</v>
      </c>
      <c r="D1243" s="494">
        <v>0.3</v>
      </c>
      <c r="E1243" s="495">
        <v>211.76</v>
      </c>
      <c r="F1243" s="495">
        <v>51.01</v>
      </c>
      <c r="G1243" s="495">
        <v>262.77</v>
      </c>
      <c r="H1243" s="495">
        <v>1</v>
      </c>
      <c r="I1243" s="495">
        <v>583.1</v>
      </c>
      <c r="J1243" s="494">
        <v>0.2</v>
      </c>
      <c r="K1243" s="495">
        <v>116.62</v>
      </c>
      <c r="L1243" s="495">
        <v>28.09</v>
      </c>
      <c r="M1243" s="495">
        <v>144.71</v>
      </c>
    </row>
    <row r="1244" spans="1:13" ht="17.25" customHeight="1" x14ac:dyDescent="0.25">
      <c r="A1244" s="488" t="s">
        <v>904</v>
      </c>
      <c r="B1244" s="495">
        <v>1</v>
      </c>
      <c r="C1244" s="495">
        <v>736.57</v>
      </c>
      <c r="D1244" s="494">
        <v>0.3</v>
      </c>
      <c r="E1244" s="495">
        <v>220.97</v>
      </c>
      <c r="F1244" s="495">
        <v>53.23</v>
      </c>
      <c r="G1244" s="495">
        <v>274.2</v>
      </c>
      <c r="H1244" s="495">
        <v>1</v>
      </c>
      <c r="I1244" s="495">
        <v>644.48</v>
      </c>
      <c r="J1244" s="494">
        <v>0.2</v>
      </c>
      <c r="K1244" s="495">
        <v>128.9</v>
      </c>
      <c r="L1244" s="495">
        <v>31.05</v>
      </c>
      <c r="M1244" s="495">
        <v>159.95000000000002</v>
      </c>
    </row>
    <row r="1245" spans="1:13" ht="17.25" customHeight="1" x14ac:dyDescent="0.25">
      <c r="A1245" s="488" t="s">
        <v>904</v>
      </c>
      <c r="B1245" s="495">
        <v>1</v>
      </c>
      <c r="C1245" s="495">
        <v>671.33</v>
      </c>
      <c r="D1245" s="494">
        <v>0.3</v>
      </c>
      <c r="E1245" s="495">
        <v>201.4</v>
      </c>
      <c r="F1245" s="495">
        <v>48.52</v>
      </c>
      <c r="G1245" s="495">
        <v>249.92000000000002</v>
      </c>
      <c r="H1245" s="495">
        <v>1</v>
      </c>
      <c r="I1245" s="495">
        <v>644.48</v>
      </c>
      <c r="J1245" s="494">
        <v>0.2</v>
      </c>
      <c r="K1245" s="495">
        <v>128.9</v>
      </c>
      <c r="L1245" s="495">
        <v>31.05</v>
      </c>
      <c r="M1245" s="495">
        <v>159.95000000000002</v>
      </c>
    </row>
    <row r="1246" spans="1:13" ht="17.25" customHeight="1" x14ac:dyDescent="0.25">
      <c r="A1246" s="488" t="s">
        <v>904</v>
      </c>
      <c r="B1246" s="495">
        <v>1</v>
      </c>
      <c r="C1246" s="495">
        <v>1595.87</v>
      </c>
      <c r="D1246" s="494">
        <v>0.3</v>
      </c>
      <c r="E1246" s="495">
        <v>478.76</v>
      </c>
      <c r="F1246" s="495">
        <v>115.33</v>
      </c>
      <c r="G1246" s="495">
        <v>594.09</v>
      </c>
      <c r="H1246" s="495">
        <v>1</v>
      </c>
      <c r="I1246" s="495">
        <v>736.55</v>
      </c>
      <c r="J1246" s="494">
        <v>0.2</v>
      </c>
      <c r="K1246" s="495">
        <v>147.31</v>
      </c>
      <c r="L1246" s="495">
        <v>35.49</v>
      </c>
      <c r="M1246" s="495">
        <v>182.8</v>
      </c>
    </row>
    <row r="1247" spans="1:13" ht="17.25" customHeight="1" x14ac:dyDescent="0.25">
      <c r="A1247" s="488" t="s">
        <v>904</v>
      </c>
      <c r="B1247" s="495">
        <v>0.5</v>
      </c>
      <c r="C1247" s="495">
        <v>92.08</v>
      </c>
      <c r="D1247" s="494">
        <v>0.5</v>
      </c>
      <c r="E1247" s="495">
        <v>46.04</v>
      </c>
      <c r="F1247" s="495">
        <v>11.09</v>
      </c>
      <c r="G1247" s="495">
        <v>57.129999999999995</v>
      </c>
      <c r="H1247" s="495">
        <v>0.5</v>
      </c>
      <c r="I1247" s="495">
        <v>92.07</v>
      </c>
      <c r="J1247" s="494">
        <v>0.2</v>
      </c>
      <c r="K1247" s="495">
        <v>18.41</v>
      </c>
      <c r="L1247" s="495">
        <v>4.43</v>
      </c>
      <c r="M1247" s="495">
        <v>22.84</v>
      </c>
    </row>
    <row r="1248" spans="1:13" ht="17.25" customHeight="1" x14ac:dyDescent="0.25">
      <c r="A1248" s="488" t="s">
        <v>904</v>
      </c>
      <c r="B1248" s="495">
        <v>0.5</v>
      </c>
      <c r="C1248" s="495">
        <v>276.2</v>
      </c>
      <c r="D1248" s="494">
        <v>0.3</v>
      </c>
      <c r="E1248" s="495">
        <v>82.86</v>
      </c>
      <c r="F1248" s="495">
        <v>19.96</v>
      </c>
      <c r="G1248" s="495">
        <v>102.82</v>
      </c>
      <c r="H1248" s="495">
        <v>0.5</v>
      </c>
      <c r="I1248" s="495">
        <v>92.07</v>
      </c>
      <c r="J1248" s="494">
        <v>0.2</v>
      </c>
      <c r="K1248" s="495">
        <v>18.41</v>
      </c>
      <c r="L1248" s="495">
        <v>4.43</v>
      </c>
      <c r="M1248" s="495">
        <v>22.84</v>
      </c>
    </row>
    <row r="1249" spans="1:13" ht="17.25" customHeight="1" x14ac:dyDescent="0.25">
      <c r="A1249" s="488" t="s">
        <v>904</v>
      </c>
      <c r="B1249" s="495">
        <v>1</v>
      </c>
      <c r="C1249" s="495">
        <v>736.57</v>
      </c>
      <c r="D1249" s="494">
        <v>0.3</v>
      </c>
      <c r="E1249" s="495">
        <v>220.97</v>
      </c>
      <c r="F1249" s="495">
        <v>53.23</v>
      </c>
      <c r="G1249" s="495">
        <v>274.2</v>
      </c>
      <c r="H1249" s="495">
        <v>1</v>
      </c>
      <c r="I1249" s="495">
        <v>337.59</v>
      </c>
      <c r="J1249" s="494">
        <v>0.2</v>
      </c>
      <c r="K1249" s="495">
        <v>67.52</v>
      </c>
      <c r="L1249" s="495">
        <v>16.27</v>
      </c>
      <c r="M1249" s="495">
        <v>83.789999999999992</v>
      </c>
    </row>
    <row r="1250" spans="1:13" ht="17.25" customHeight="1" x14ac:dyDescent="0.25">
      <c r="A1250" s="488" t="s">
        <v>904</v>
      </c>
      <c r="B1250" s="495">
        <v>1</v>
      </c>
      <c r="C1250" s="495">
        <v>368.27</v>
      </c>
      <c r="D1250" s="494">
        <v>0.3</v>
      </c>
      <c r="E1250" s="495">
        <v>110.48</v>
      </c>
      <c r="F1250" s="495">
        <v>26.61</v>
      </c>
      <c r="G1250" s="495">
        <v>137.09</v>
      </c>
      <c r="H1250" s="495">
        <v>1</v>
      </c>
      <c r="I1250" s="495">
        <v>644.48</v>
      </c>
      <c r="J1250" s="494">
        <v>0.2</v>
      </c>
      <c r="K1250" s="495">
        <v>128.9</v>
      </c>
      <c r="L1250" s="495">
        <v>31.05</v>
      </c>
      <c r="M1250" s="495">
        <v>159.95000000000002</v>
      </c>
    </row>
    <row r="1251" spans="1:13" ht="17.25" customHeight="1" x14ac:dyDescent="0.25">
      <c r="A1251" s="488" t="s">
        <v>904</v>
      </c>
      <c r="B1251" s="495">
        <v>1</v>
      </c>
      <c r="C1251" s="495">
        <v>92.08</v>
      </c>
      <c r="D1251" s="494">
        <v>0.5</v>
      </c>
      <c r="E1251" s="495">
        <v>46.04</v>
      </c>
      <c r="F1251" s="495">
        <v>11.09</v>
      </c>
      <c r="G1251" s="495">
        <v>57.129999999999995</v>
      </c>
      <c r="H1251" s="495">
        <v>1</v>
      </c>
      <c r="I1251" s="495">
        <v>736.55</v>
      </c>
      <c r="J1251" s="494">
        <v>0.2</v>
      </c>
      <c r="K1251" s="495">
        <v>147.31</v>
      </c>
      <c r="L1251" s="495">
        <v>35.49</v>
      </c>
      <c r="M1251" s="495">
        <v>182.8</v>
      </c>
    </row>
    <row r="1252" spans="1:13" ht="17.25" customHeight="1" x14ac:dyDescent="0.25">
      <c r="A1252" s="488" t="s">
        <v>904</v>
      </c>
      <c r="B1252" s="495">
        <v>1</v>
      </c>
      <c r="C1252" s="495">
        <v>1473.1</v>
      </c>
      <c r="D1252" s="494">
        <v>0.3</v>
      </c>
      <c r="E1252" s="495">
        <v>441.93</v>
      </c>
      <c r="F1252" s="495">
        <v>106.46</v>
      </c>
      <c r="G1252" s="495">
        <v>548.39</v>
      </c>
      <c r="H1252" s="495"/>
      <c r="I1252" s="495"/>
      <c r="J1252" s="494"/>
      <c r="K1252" s="495"/>
      <c r="L1252" s="495"/>
      <c r="M1252" s="495"/>
    </row>
    <row r="1253" spans="1:13" ht="17.25" customHeight="1" x14ac:dyDescent="0.25">
      <c r="A1253" s="488" t="s">
        <v>904</v>
      </c>
      <c r="B1253" s="495">
        <v>0.5</v>
      </c>
      <c r="C1253" s="495">
        <v>579.27</v>
      </c>
      <c r="D1253" s="494">
        <v>0.3</v>
      </c>
      <c r="E1253" s="495">
        <v>173.78</v>
      </c>
      <c r="F1253" s="495">
        <v>41.86</v>
      </c>
      <c r="G1253" s="495">
        <v>215.64</v>
      </c>
      <c r="H1253" s="495">
        <v>0.5</v>
      </c>
      <c r="I1253" s="495">
        <v>460.34</v>
      </c>
      <c r="J1253" s="494">
        <v>0.2</v>
      </c>
      <c r="K1253" s="495">
        <v>92.07</v>
      </c>
      <c r="L1253" s="495">
        <v>22.18</v>
      </c>
      <c r="M1253" s="495">
        <v>114.25</v>
      </c>
    </row>
    <row r="1254" spans="1:13" ht="17.25" customHeight="1" x14ac:dyDescent="0.25">
      <c r="A1254" s="488" t="s">
        <v>904</v>
      </c>
      <c r="B1254" s="495">
        <v>1</v>
      </c>
      <c r="C1254" s="495">
        <v>153.46</v>
      </c>
      <c r="D1254" s="494">
        <v>0.5</v>
      </c>
      <c r="E1254" s="495">
        <v>76.73</v>
      </c>
      <c r="F1254" s="495">
        <v>18.48</v>
      </c>
      <c r="G1254" s="495">
        <v>95.210000000000008</v>
      </c>
      <c r="H1254" s="495">
        <v>1</v>
      </c>
      <c r="I1254" s="495">
        <v>583.1</v>
      </c>
      <c r="J1254" s="494">
        <v>0.2</v>
      </c>
      <c r="K1254" s="495">
        <v>116.62</v>
      </c>
      <c r="L1254" s="495">
        <v>28.09</v>
      </c>
      <c r="M1254" s="495">
        <v>144.71</v>
      </c>
    </row>
    <row r="1255" spans="1:13" ht="17.25" customHeight="1" x14ac:dyDescent="0.25">
      <c r="A1255" s="488" t="s">
        <v>904</v>
      </c>
      <c r="B1255" s="495">
        <v>1</v>
      </c>
      <c r="C1255" s="495">
        <v>552.4</v>
      </c>
      <c r="D1255" s="494">
        <v>0.3</v>
      </c>
      <c r="E1255" s="495">
        <v>165.72</v>
      </c>
      <c r="F1255" s="495">
        <v>39.92</v>
      </c>
      <c r="G1255" s="495">
        <v>205.64</v>
      </c>
      <c r="H1255" s="495"/>
      <c r="I1255" s="495"/>
      <c r="J1255" s="494"/>
      <c r="K1255" s="495"/>
      <c r="L1255" s="495"/>
      <c r="M1255" s="495"/>
    </row>
    <row r="1256" spans="1:13" ht="17.25" customHeight="1" x14ac:dyDescent="0.25">
      <c r="A1256" s="488" t="s">
        <v>904</v>
      </c>
      <c r="B1256" s="495">
        <v>0.75</v>
      </c>
      <c r="C1256" s="495">
        <v>184.13</v>
      </c>
      <c r="D1256" s="494">
        <v>0.3</v>
      </c>
      <c r="E1256" s="495">
        <v>55.24</v>
      </c>
      <c r="F1256" s="495">
        <v>13.31</v>
      </c>
      <c r="G1256" s="495">
        <v>68.55</v>
      </c>
      <c r="H1256" s="495">
        <v>0.75</v>
      </c>
      <c r="I1256" s="495">
        <v>276.20999999999998</v>
      </c>
      <c r="J1256" s="494">
        <v>0.2</v>
      </c>
      <c r="K1256" s="495">
        <v>55.24</v>
      </c>
      <c r="L1256" s="495">
        <v>13.31</v>
      </c>
      <c r="M1256" s="495">
        <v>68.55</v>
      </c>
    </row>
    <row r="1257" spans="1:13" ht="17.25" customHeight="1" x14ac:dyDescent="0.25">
      <c r="A1257" s="488" t="s">
        <v>904</v>
      </c>
      <c r="B1257" s="495">
        <v>0.75</v>
      </c>
      <c r="C1257" s="495">
        <v>460.33</v>
      </c>
      <c r="D1257" s="494">
        <v>0.3</v>
      </c>
      <c r="E1257" s="495">
        <v>138.1</v>
      </c>
      <c r="F1257" s="495">
        <v>33.270000000000003</v>
      </c>
      <c r="G1257" s="495">
        <v>171.37</v>
      </c>
      <c r="H1257" s="495">
        <v>0.75</v>
      </c>
      <c r="I1257" s="495">
        <v>460.34</v>
      </c>
      <c r="J1257" s="494">
        <v>0.2</v>
      </c>
      <c r="K1257" s="495">
        <v>92.07</v>
      </c>
      <c r="L1257" s="495">
        <v>22.18</v>
      </c>
      <c r="M1257" s="495">
        <v>114.25</v>
      </c>
    </row>
    <row r="1258" spans="1:13" ht="17.25" customHeight="1" x14ac:dyDescent="0.25">
      <c r="A1258" s="488" t="s">
        <v>904</v>
      </c>
      <c r="B1258" s="495">
        <v>1</v>
      </c>
      <c r="C1258" s="495">
        <v>767.23</v>
      </c>
      <c r="D1258" s="494">
        <v>0.3</v>
      </c>
      <c r="E1258" s="495">
        <v>230.17</v>
      </c>
      <c r="F1258" s="495">
        <v>55.45</v>
      </c>
      <c r="G1258" s="495">
        <v>285.62</v>
      </c>
      <c r="H1258" s="495">
        <v>1</v>
      </c>
      <c r="I1258" s="495">
        <v>828.62</v>
      </c>
      <c r="J1258" s="494">
        <v>0.2</v>
      </c>
      <c r="K1258" s="495">
        <v>165.72</v>
      </c>
      <c r="L1258" s="495">
        <v>39.92</v>
      </c>
      <c r="M1258" s="495">
        <v>205.64</v>
      </c>
    </row>
    <row r="1259" spans="1:13" ht="17.25" customHeight="1" x14ac:dyDescent="0.25">
      <c r="A1259" s="488" t="s">
        <v>904</v>
      </c>
      <c r="B1259" s="495">
        <v>1</v>
      </c>
      <c r="C1259" s="495">
        <v>92.08</v>
      </c>
      <c r="D1259" s="494">
        <v>0.5</v>
      </c>
      <c r="E1259" s="495">
        <v>46.04</v>
      </c>
      <c r="F1259" s="495">
        <v>11.09</v>
      </c>
      <c r="G1259" s="495">
        <v>57.129999999999995</v>
      </c>
      <c r="H1259" s="495">
        <v>1</v>
      </c>
      <c r="I1259" s="495">
        <v>613.79</v>
      </c>
      <c r="J1259" s="494">
        <v>0.2</v>
      </c>
      <c r="K1259" s="495">
        <v>122.76</v>
      </c>
      <c r="L1259" s="495">
        <v>29.57</v>
      </c>
      <c r="M1259" s="495">
        <v>152.33000000000001</v>
      </c>
    </row>
    <row r="1260" spans="1:13" ht="17.25" customHeight="1" x14ac:dyDescent="0.25">
      <c r="A1260" s="488" t="s">
        <v>904</v>
      </c>
      <c r="B1260" s="495">
        <v>1</v>
      </c>
      <c r="C1260" s="495">
        <v>644.47</v>
      </c>
      <c r="D1260" s="494">
        <v>0.3</v>
      </c>
      <c r="E1260" s="495">
        <v>193.34</v>
      </c>
      <c r="F1260" s="495">
        <v>46.58</v>
      </c>
      <c r="G1260" s="495">
        <v>239.92000000000002</v>
      </c>
      <c r="H1260" s="495"/>
      <c r="I1260" s="495"/>
      <c r="J1260" s="494"/>
      <c r="K1260" s="495"/>
      <c r="L1260" s="495"/>
      <c r="M1260" s="495"/>
    </row>
    <row r="1261" spans="1:13" ht="17.25" customHeight="1" x14ac:dyDescent="0.25">
      <c r="A1261" s="488" t="s">
        <v>904</v>
      </c>
      <c r="B1261" s="495">
        <v>1</v>
      </c>
      <c r="C1261" s="495">
        <v>1841.37</v>
      </c>
      <c r="D1261" s="494">
        <v>0.3</v>
      </c>
      <c r="E1261" s="495">
        <v>552.41</v>
      </c>
      <c r="F1261" s="495">
        <v>133.08000000000001</v>
      </c>
      <c r="G1261" s="495">
        <v>685.49</v>
      </c>
      <c r="H1261" s="495">
        <v>1</v>
      </c>
      <c r="I1261" s="495">
        <v>736.55</v>
      </c>
      <c r="J1261" s="494">
        <v>0.2</v>
      </c>
      <c r="K1261" s="495">
        <v>147.31</v>
      </c>
      <c r="L1261" s="495">
        <v>35.49</v>
      </c>
      <c r="M1261" s="495">
        <v>182.8</v>
      </c>
    </row>
    <row r="1262" spans="1:13" ht="17.25" customHeight="1" x14ac:dyDescent="0.25">
      <c r="A1262" s="488" t="s">
        <v>904</v>
      </c>
      <c r="B1262" s="495">
        <v>0.5</v>
      </c>
      <c r="C1262" s="495">
        <v>487.2</v>
      </c>
      <c r="D1262" s="494">
        <v>0.3</v>
      </c>
      <c r="E1262" s="495">
        <v>146.16</v>
      </c>
      <c r="F1262" s="495">
        <v>35.21</v>
      </c>
      <c r="G1262" s="495">
        <v>181.37</v>
      </c>
      <c r="H1262" s="495">
        <v>0.5</v>
      </c>
      <c r="I1262" s="495">
        <v>460.34</v>
      </c>
      <c r="J1262" s="494">
        <v>0.2</v>
      </c>
      <c r="K1262" s="495">
        <v>92.07</v>
      </c>
      <c r="L1262" s="495">
        <v>22.18</v>
      </c>
      <c r="M1262" s="495">
        <v>114.25</v>
      </c>
    </row>
    <row r="1263" spans="1:13" ht="17.25" customHeight="1" x14ac:dyDescent="0.25">
      <c r="A1263" s="488" t="s">
        <v>904</v>
      </c>
      <c r="B1263" s="495">
        <v>1</v>
      </c>
      <c r="C1263" s="495">
        <v>736.57</v>
      </c>
      <c r="D1263" s="494">
        <v>0.3</v>
      </c>
      <c r="E1263" s="495">
        <v>220.97</v>
      </c>
      <c r="F1263" s="495">
        <v>53.23</v>
      </c>
      <c r="G1263" s="495">
        <v>274.2</v>
      </c>
      <c r="H1263" s="495">
        <v>1</v>
      </c>
      <c r="I1263" s="495">
        <v>613.79</v>
      </c>
      <c r="J1263" s="494">
        <v>0.2</v>
      </c>
      <c r="K1263" s="495">
        <v>122.76</v>
      </c>
      <c r="L1263" s="495">
        <v>29.57</v>
      </c>
      <c r="M1263" s="495">
        <v>152.33000000000001</v>
      </c>
    </row>
    <row r="1264" spans="1:13" ht="17.25" customHeight="1" x14ac:dyDescent="0.25">
      <c r="A1264" s="488" t="s">
        <v>904</v>
      </c>
      <c r="B1264" s="495">
        <v>1</v>
      </c>
      <c r="C1264" s="495">
        <v>613.79999999999995</v>
      </c>
      <c r="D1264" s="494">
        <v>0.3</v>
      </c>
      <c r="E1264" s="495">
        <v>184.14</v>
      </c>
      <c r="F1264" s="495">
        <v>44.36</v>
      </c>
      <c r="G1264" s="495">
        <v>228.5</v>
      </c>
      <c r="H1264" s="495">
        <v>1</v>
      </c>
      <c r="I1264" s="495">
        <v>736.55</v>
      </c>
      <c r="J1264" s="494">
        <v>0.2</v>
      </c>
      <c r="K1264" s="495">
        <v>147.31</v>
      </c>
      <c r="L1264" s="495">
        <v>35.49</v>
      </c>
      <c r="M1264" s="495">
        <v>182.8</v>
      </c>
    </row>
    <row r="1265" spans="1:13" ht="17.25" customHeight="1" x14ac:dyDescent="0.25">
      <c r="A1265" s="488" t="s">
        <v>904</v>
      </c>
      <c r="B1265" s="495">
        <v>1</v>
      </c>
      <c r="C1265" s="495">
        <v>548.57000000000005</v>
      </c>
      <c r="D1265" s="494">
        <v>0.3</v>
      </c>
      <c r="E1265" s="495">
        <v>164.57</v>
      </c>
      <c r="F1265" s="495">
        <v>39.64</v>
      </c>
      <c r="G1265" s="495">
        <v>204.20999999999998</v>
      </c>
      <c r="H1265" s="495">
        <v>1</v>
      </c>
      <c r="I1265" s="495">
        <v>644.48</v>
      </c>
      <c r="J1265" s="494">
        <v>0.2</v>
      </c>
      <c r="K1265" s="495">
        <v>128.9</v>
      </c>
      <c r="L1265" s="495">
        <v>31.05</v>
      </c>
      <c r="M1265" s="495">
        <v>159.95000000000002</v>
      </c>
    </row>
    <row r="1266" spans="1:13" ht="17.25" customHeight="1" x14ac:dyDescent="0.25">
      <c r="A1266" s="488" t="s">
        <v>904</v>
      </c>
      <c r="B1266" s="495">
        <v>0.5</v>
      </c>
      <c r="C1266" s="495">
        <v>92.08</v>
      </c>
      <c r="D1266" s="494">
        <v>0.5</v>
      </c>
      <c r="E1266" s="495">
        <v>46.04</v>
      </c>
      <c r="F1266" s="495">
        <v>11.09</v>
      </c>
      <c r="G1266" s="495">
        <v>57.129999999999995</v>
      </c>
      <c r="H1266" s="495">
        <v>0.5</v>
      </c>
      <c r="I1266" s="495">
        <v>429.65</v>
      </c>
      <c r="J1266" s="494">
        <v>0.2</v>
      </c>
      <c r="K1266" s="495">
        <v>85.93</v>
      </c>
      <c r="L1266" s="495">
        <v>20.7</v>
      </c>
      <c r="M1266" s="495">
        <v>106.63000000000001</v>
      </c>
    </row>
    <row r="1267" spans="1:13" ht="17.25" customHeight="1" x14ac:dyDescent="0.25">
      <c r="A1267" s="488" t="s">
        <v>904</v>
      </c>
      <c r="B1267" s="495">
        <v>0.5</v>
      </c>
      <c r="C1267" s="495">
        <v>644.47</v>
      </c>
      <c r="D1267" s="494">
        <v>0.3</v>
      </c>
      <c r="E1267" s="495">
        <v>193.34</v>
      </c>
      <c r="F1267" s="495">
        <v>46.58</v>
      </c>
      <c r="G1267" s="495">
        <v>239.92000000000002</v>
      </c>
      <c r="H1267" s="495"/>
      <c r="I1267" s="495"/>
      <c r="J1267" s="494"/>
      <c r="K1267" s="495"/>
      <c r="L1267" s="495"/>
      <c r="M1267" s="495"/>
    </row>
    <row r="1268" spans="1:13" ht="17.25" customHeight="1" x14ac:dyDescent="0.25">
      <c r="A1268" s="488" t="s">
        <v>904</v>
      </c>
      <c r="B1268" s="495">
        <v>0.5</v>
      </c>
      <c r="C1268" s="495">
        <v>92.08</v>
      </c>
      <c r="D1268" s="494">
        <v>0.5</v>
      </c>
      <c r="E1268" s="495">
        <v>46.04</v>
      </c>
      <c r="F1268" s="495">
        <v>11.09</v>
      </c>
      <c r="G1268" s="495">
        <v>57.129999999999995</v>
      </c>
      <c r="H1268" s="495">
        <v>0.5</v>
      </c>
      <c r="I1268" s="495">
        <v>460.34</v>
      </c>
      <c r="J1268" s="494">
        <v>0.2</v>
      </c>
      <c r="K1268" s="495">
        <v>92.07</v>
      </c>
      <c r="L1268" s="495">
        <v>22.18</v>
      </c>
      <c r="M1268" s="495">
        <v>114.25</v>
      </c>
    </row>
    <row r="1269" spans="1:13" ht="17.25" customHeight="1" x14ac:dyDescent="0.25">
      <c r="A1269" s="488" t="s">
        <v>904</v>
      </c>
      <c r="B1269" s="495">
        <v>0.5</v>
      </c>
      <c r="C1269" s="495">
        <v>644.47</v>
      </c>
      <c r="D1269" s="494">
        <v>0.3</v>
      </c>
      <c r="E1269" s="495">
        <v>193.34</v>
      </c>
      <c r="F1269" s="495">
        <v>46.58</v>
      </c>
      <c r="G1269" s="495">
        <v>239.92000000000002</v>
      </c>
      <c r="H1269" s="495"/>
      <c r="I1269" s="495"/>
      <c r="J1269" s="494"/>
      <c r="K1269" s="495"/>
      <c r="L1269" s="495"/>
      <c r="M1269" s="495"/>
    </row>
    <row r="1270" spans="1:13" ht="17.25" customHeight="1" x14ac:dyDescent="0.25">
      <c r="A1270" s="488" t="s">
        <v>904</v>
      </c>
      <c r="B1270" s="495">
        <v>1</v>
      </c>
      <c r="C1270" s="495">
        <v>184.14</v>
      </c>
      <c r="D1270" s="494">
        <v>0.5</v>
      </c>
      <c r="E1270" s="495">
        <v>92.07</v>
      </c>
      <c r="F1270" s="495">
        <v>22.18</v>
      </c>
      <c r="G1270" s="495">
        <v>114.25</v>
      </c>
      <c r="H1270" s="495">
        <v>1</v>
      </c>
      <c r="I1270" s="495">
        <v>828.62</v>
      </c>
      <c r="J1270" s="494">
        <v>0.2</v>
      </c>
      <c r="K1270" s="495">
        <v>165.72</v>
      </c>
      <c r="L1270" s="495">
        <v>39.92</v>
      </c>
      <c r="M1270" s="495">
        <v>205.64</v>
      </c>
    </row>
    <row r="1271" spans="1:13" ht="17.25" customHeight="1" x14ac:dyDescent="0.25">
      <c r="A1271" s="488" t="s">
        <v>904</v>
      </c>
      <c r="B1271" s="495">
        <v>1</v>
      </c>
      <c r="C1271" s="495">
        <v>644.47</v>
      </c>
      <c r="D1271" s="494">
        <v>0.3</v>
      </c>
      <c r="E1271" s="495">
        <v>193.34</v>
      </c>
      <c r="F1271" s="495">
        <v>46.58</v>
      </c>
      <c r="G1271" s="495">
        <v>239.92000000000002</v>
      </c>
      <c r="H1271" s="495"/>
      <c r="I1271" s="495"/>
      <c r="J1271" s="494"/>
      <c r="K1271" s="495"/>
      <c r="L1271" s="495"/>
      <c r="M1271" s="495"/>
    </row>
    <row r="1272" spans="1:13" ht="17.25" customHeight="1" x14ac:dyDescent="0.25">
      <c r="A1272" s="488" t="s">
        <v>904</v>
      </c>
      <c r="B1272" s="495">
        <v>0.5</v>
      </c>
      <c r="C1272" s="495">
        <v>184.13</v>
      </c>
      <c r="D1272" s="494">
        <v>0.3</v>
      </c>
      <c r="E1272" s="495">
        <v>55.24</v>
      </c>
      <c r="F1272" s="495">
        <v>13.31</v>
      </c>
      <c r="G1272" s="495">
        <v>68.55</v>
      </c>
      <c r="H1272" s="495">
        <v>0.5</v>
      </c>
      <c r="I1272" s="495">
        <v>460.34</v>
      </c>
      <c r="J1272" s="494">
        <v>0.2</v>
      </c>
      <c r="K1272" s="495">
        <v>92.07</v>
      </c>
      <c r="L1272" s="495">
        <v>22.18</v>
      </c>
      <c r="M1272" s="495">
        <v>114.25</v>
      </c>
    </row>
    <row r="1273" spans="1:13" ht="17.25" customHeight="1" x14ac:dyDescent="0.25">
      <c r="A1273" s="488" t="s">
        <v>904</v>
      </c>
      <c r="B1273" s="495">
        <v>0.5</v>
      </c>
      <c r="C1273" s="495">
        <v>92.08</v>
      </c>
      <c r="D1273" s="494">
        <v>0.5</v>
      </c>
      <c r="E1273" s="495">
        <v>46.04</v>
      </c>
      <c r="F1273" s="495">
        <v>11.09</v>
      </c>
      <c r="G1273" s="495">
        <v>57.129999999999995</v>
      </c>
      <c r="H1273" s="495">
        <v>0.5</v>
      </c>
      <c r="I1273" s="495">
        <v>552.41</v>
      </c>
      <c r="J1273" s="494">
        <v>0.2</v>
      </c>
      <c r="K1273" s="495">
        <v>110.48</v>
      </c>
      <c r="L1273" s="495">
        <v>26.61</v>
      </c>
      <c r="M1273" s="495">
        <v>137.09</v>
      </c>
    </row>
    <row r="1274" spans="1:13" ht="17.25" customHeight="1" x14ac:dyDescent="0.25">
      <c r="A1274" s="488" t="s">
        <v>904</v>
      </c>
      <c r="B1274" s="495">
        <v>0.5</v>
      </c>
      <c r="C1274" s="495">
        <v>395.13</v>
      </c>
      <c r="D1274" s="494">
        <v>0.3</v>
      </c>
      <c r="E1274" s="495">
        <v>118.54</v>
      </c>
      <c r="F1274" s="495">
        <v>28.56</v>
      </c>
      <c r="G1274" s="495">
        <v>147.1</v>
      </c>
      <c r="H1274" s="495"/>
      <c r="I1274" s="495"/>
      <c r="J1274" s="494"/>
      <c r="K1274" s="495"/>
      <c r="L1274" s="495"/>
      <c r="M1274" s="495"/>
    </row>
    <row r="1275" spans="1:13" ht="17.25" customHeight="1" x14ac:dyDescent="0.25">
      <c r="A1275" s="488" t="s">
        <v>904</v>
      </c>
      <c r="B1275" s="495">
        <v>1</v>
      </c>
      <c r="C1275" s="495">
        <v>705.87</v>
      </c>
      <c r="D1275" s="494">
        <v>0.3</v>
      </c>
      <c r="E1275" s="495">
        <v>211.76</v>
      </c>
      <c r="F1275" s="495">
        <v>51.01</v>
      </c>
      <c r="G1275" s="495">
        <v>262.77</v>
      </c>
      <c r="H1275" s="495">
        <v>1</v>
      </c>
      <c r="I1275" s="495">
        <v>767.24</v>
      </c>
      <c r="J1275" s="494">
        <v>0.2</v>
      </c>
      <c r="K1275" s="495">
        <v>153.44999999999999</v>
      </c>
      <c r="L1275" s="495">
        <v>36.97</v>
      </c>
      <c r="M1275" s="495">
        <v>190.42</v>
      </c>
    </row>
    <row r="1276" spans="1:13" ht="17.25" customHeight="1" x14ac:dyDescent="0.25">
      <c r="A1276" s="488" t="s">
        <v>904</v>
      </c>
      <c r="B1276" s="495">
        <v>1</v>
      </c>
      <c r="C1276" s="495">
        <v>797.93</v>
      </c>
      <c r="D1276" s="494">
        <v>0.3</v>
      </c>
      <c r="E1276" s="495">
        <v>239.38</v>
      </c>
      <c r="F1276" s="495">
        <v>57.67</v>
      </c>
      <c r="G1276" s="495">
        <v>297.05</v>
      </c>
      <c r="H1276" s="495">
        <v>1</v>
      </c>
      <c r="I1276" s="495">
        <v>767.24</v>
      </c>
      <c r="J1276" s="494">
        <v>0.2</v>
      </c>
      <c r="K1276" s="495">
        <v>153.44999999999999</v>
      </c>
      <c r="L1276" s="495">
        <v>36.97</v>
      </c>
      <c r="M1276" s="495">
        <v>190.42</v>
      </c>
    </row>
    <row r="1277" spans="1:13" ht="17.25" customHeight="1" x14ac:dyDescent="0.25">
      <c r="A1277" s="488" t="s">
        <v>904</v>
      </c>
      <c r="B1277" s="495">
        <v>1</v>
      </c>
      <c r="C1277" s="495">
        <v>368.27</v>
      </c>
      <c r="D1277" s="494">
        <v>0.3</v>
      </c>
      <c r="E1277" s="495">
        <v>110.48</v>
      </c>
      <c r="F1277" s="495">
        <v>26.61</v>
      </c>
      <c r="G1277" s="495">
        <v>137.09</v>
      </c>
      <c r="H1277" s="495">
        <v>1</v>
      </c>
      <c r="I1277" s="495">
        <v>797.93</v>
      </c>
      <c r="J1277" s="494">
        <v>0.2</v>
      </c>
      <c r="K1277" s="495">
        <v>159.59</v>
      </c>
      <c r="L1277" s="495">
        <v>38.450000000000003</v>
      </c>
      <c r="M1277" s="495">
        <v>198.04000000000002</v>
      </c>
    </row>
    <row r="1278" spans="1:13" ht="17.25" customHeight="1" x14ac:dyDescent="0.25">
      <c r="A1278" s="488" t="s">
        <v>904</v>
      </c>
      <c r="B1278" s="495">
        <v>0.75</v>
      </c>
      <c r="C1278" s="495">
        <v>184.13</v>
      </c>
      <c r="D1278" s="494">
        <v>0.3</v>
      </c>
      <c r="E1278" s="495">
        <v>55.24</v>
      </c>
      <c r="F1278" s="495">
        <v>13.31</v>
      </c>
      <c r="G1278" s="495">
        <v>68.55</v>
      </c>
      <c r="H1278" s="495">
        <v>0.75</v>
      </c>
      <c r="I1278" s="495">
        <v>736.55</v>
      </c>
      <c r="J1278" s="494">
        <v>0.2</v>
      </c>
      <c r="K1278" s="495">
        <v>147.31</v>
      </c>
      <c r="L1278" s="495">
        <v>35.49</v>
      </c>
      <c r="M1278" s="495">
        <v>182.8</v>
      </c>
    </row>
    <row r="1279" spans="1:13" ht="17.25" customHeight="1" x14ac:dyDescent="0.25">
      <c r="A1279" s="488" t="s">
        <v>904</v>
      </c>
      <c r="B1279" s="495">
        <v>1</v>
      </c>
      <c r="C1279" s="495">
        <v>92.08</v>
      </c>
      <c r="D1279" s="494">
        <v>0.5</v>
      </c>
      <c r="E1279" s="495">
        <v>46.04</v>
      </c>
      <c r="F1279" s="495">
        <v>11.09</v>
      </c>
      <c r="G1279" s="495">
        <v>57.129999999999995</v>
      </c>
      <c r="H1279" s="495">
        <v>1</v>
      </c>
      <c r="I1279" s="495">
        <v>828.62</v>
      </c>
      <c r="J1279" s="494">
        <v>0.2</v>
      </c>
      <c r="K1279" s="495">
        <v>165.72</v>
      </c>
      <c r="L1279" s="495">
        <v>39.92</v>
      </c>
      <c r="M1279" s="495">
        <v>205.64</v>
      </c>
    </row>
    <row r="1280" spans="1:13" ht="17.25" customHeight="1" x14ac:dyDescent="0.25">
      <c r="A1280" s="488" t="s">
        <v>904</v>
      </c>
      <c r="B1280" s="495">
        <v>1</v>
      </c>
      <c r="C1280" s="495">
        <v>276.2</v>
      </c>
      <c r="D1280" s="494">
        <v>0.3</v>
      </c>
      <c r="E1280" s="495">
        <v>82.86</v>
      </c>
      <c r="F1280" s="495">
        <v>19.96</v>
      </c>
      <c r="G1280" s="495">
        <v>102.82</v>
      </c>
      <c r="H1280" s="495"/>
      <c r="I1280" s="495"/>
      <c r="J1280" s="494"/>
      <c r="K1280" s="495"/>
      <c r="L1280" s="495"/>
      <c r="M1280" s="495"/>
    </row>
    <row r="1281" spans="1:13" ht="17.25" customHeight="1" x14ac:dyDescent="0.25">
      <c r="A1281" s="488" t="s">
        <v>904</v>
      </c>
      <c r="B1281" s="495"/>
      <c r="C1281" s="495"/>
      <c r="D1281" s="494"/>
      <c r="E1281" s="495"/>
      <c r="F1281" s="495">
        <v>0</v>
      </c>
      <c r="G1281" s="495">
        <v>0</v>
      </c>
      <c r="H1281" s="495">
        <v>1</v>
      </c>
      <c r="I1281" s="495">
        <v>184.14</v>
      </c>
      <c r="J1281" s="494">
        <v>0.2</v>
      </c>
      <c r="K1281" s="495">
        <v>36.83</v>
      </c>
      <c r="L1281" s="495">
        <v>8.8699999999999992</v>
      </c>
      <c r="M1281" s="495">
        <v>45.699999999999996</v>
      </c>
    </row>
    <row r="1282" spans="1:13" ht="17.25" customHeight="1" x14ac:dyDescent="0.25">
      <c r="A1282" s="488" t="s">
        <v>904</v>
      </c>
      <c r="B1282" s="495"/>
      <c r="C1282" s="495"/>
      <c r="D1282" s="494"/>
      <c r="E1282" s="495"/>
      <c r="F1282" s="495">
        <v>0</v>
      </c>
      <c r="G1282" s="495">
        <v>0</v>
      </c>
      <c r="H1282" s="495">
        <v>1</v>
      </c>
      <c r="I1282" s="495">
        <v>122.76</v>
      </c>
      <c r="J1282" s="494">
        <v>0.2</v>
      </c>
      <c r="K1282" s="495">
        <v>24.55</v>
      </c>
      <c r="L1282" s="495">
        <v>5.91</v>
      </c>
      <c r="M1282" s="495">
        <v>30.46</v>
      </c>
    </row>
    <row r="1283" spans="1:13" ht="17.25" customHeight="1" x14ac:dyDescent="0.25">
      <c r="A1283" s="488" t="s">
        <v>904</v>
      </c>
      <c r="B1283" s="495">
        <v>1</v>
      </c>
      <c r="C1283" s="495">
        <v>552.4</v>
      </c>
      <c r="D1283" s="494">
        <v>0.3</v>
      </c>
      <c r="E1283" s="495">
        <v>165.72</v>
      </c>
      <c r="F1283" s="495">
        <v>39.92</v>
      </c>
      <c r="G1283" s="495">
        <v>205.64</v>
      </c>
      <c r="H1283" s="495"/>
      <c r="I1283" s="495"/>
      <c r="J1283" s="494"/>
      <c r="K1283" s="495"/>
      <c r="L1283" s="495"/>
      <c r="M1283" s="495"/>
    </row>
    <row r="1284" spans="1:13" ht="17.25" customHeight="1" x14ac:dyDescent="0.25">
      <c r="A1284" s="488" t="s">
        <v>904</v>
      </c>
      <c r="B1284" s="495"/>
      <c r="C1284" s="495"/>
      <c r="D1284" s="494"/>
      <c r="E1284" s="495"/>
      <c r="F1284" s="495">
        <v>0</v>
      </c>
      <c r="G1284" s="495">
        <v>0</v>
      </c>
      <c r="H1284" s="495">
        <v>1</v>
      </c>
      <c r="I1284" s="495">
        <v>552.41</v>
      </c>
      <c r="J1284" s="494">
        <v>0.2</v>
      </c>
      <c r="K1284" s="495">
        <v>110.48</v>
      </c>
      <c r="L1284" s="495">
        <v>26.61</v>
      </c>
      <c r="M1284" s="495">
        <v>137.09</v>
      </c>
    </row>
    <row r="1285" spans="1:13" ht="17.25" customHeight="1" x14ac:dyDescent="0.25">
      <c r="A1285" s="488" t="s">
        <v>904</v>
      </c>
      <c r="B1285" s="495">
        <v>0.5</v>
      </c>
      <c r="C1285" s="495">
        <v>88.23</v>
      </c>
      <c r="D1285" s="494">
        <v>0.3</v>
      </c>
      <c r="E1285" s="495">
        <v>26.47</v>
      </c>
      <c r="F1285" s="495">
        <v>6.38</v>
      </c>
      <c r="G1285" s="495">
        <v>32.85</v>
      </c>
      <c r="H1285" s="495">
        <v>0.5</v>
      </c>
      <c r="I1285" s="495">
        <v>429.65</v>
      </c>
      <c r="J1285" s="494">
        <v>0.2</v>
      </c>
      <c r="K1285" s="495">
        <v>85.93</v>
      </c>
      <c r="L1285" s="495">
        <v>20.7</v>
      </c>
      <c r="M1285" s="495">
        <v>106.63000000000001</v>
      </c>
    </row>
    <row r="1286" spans="1:13" ht="17.25" customHeight="1" x14ac:dyDescent="0.25">
      <c r="A1286" s="488" t="s">
        <v>904</v>
      </c>
      <c r="B1286" s="495">
        <v>0.5</v>
      </c>
      <c r="C1286" s="495">
        <v>92.08</v>
      </c>
      <c r="D1286" s="494">
        <v>0.5</v>
      </c>
      <c r="E1286" s="495">
        <v>46.04</v>
      </c>
      <c r="F1286" s="495">
        <v>11.09</v>
      </c>
      <c r="G1286" s="495">
        <v>57.129999999999995</v>
      </c>
      <c r="H1286" s="495">
        <v>0.5</v>
      </c>
      <c r="I1286" s="495">
        <v>552.41</v>
      </c>
      <c r="J1286" s="494">
        <v>0.2</v>
      </c>
      <c r="K1286" s="495">
        <v>110.48</v>
      </c>
      <c r="L1286" s="495">
        <v>26.61</v>
      </c>
      <c r="M1286" s="495">
        <v>137.09</v>
      </c>
    </row>
    <row r="1287" spans="1:13" ht="17.25" customHeight="1" x14ac:dyDescent="0.25">
      <c r="A1287" s="488" t="s">
        <v>904</v>
      </c>
      <c r="B1287" s="495">
        <v>0.5</v>
      </c>
      <c r="C1287" s="495">
        <v>460.33</v>
      </c>
      <c r="D1287" s="494">
        <v>0.3</v>
      </c>
      <c r="E1287" s="495">
        <v>138.1</v>
      </c>
      <c r="F1287" s="495">
        <v>33.270000000000003</v>
      </c>
      <c r="G1287" s="495">
        <v>171.37</v>
      </c>
      <c r="H1287" s="495"/>
      <c r="I1287" s="495"/>
      <c r="J1287" s="494"/>
      <c r="K1287" s="495"/>
      <c r="L1287" s="495"/>
      <c r="M1287" s="495"/>
    </row>
    <row r="1288" spans="1:13" ht="17.25" customHeight="1" x14ac:dyDescent="0.25">
      <c r="A1288" s="488" t="s">
        <v>904</v>
      </c>
      <c r="B1288" s="495">
        <v>1</v>
      </c>
      <c r="C1288" s="495">
        <v>644.47</v>
      </c>
      <c r="D1288" s="494">
        <v>0.3</v>
      </c>
      <c r="E1288" s="495">
        <v>193.34</v>
      </c>
      <c r="F1288" s="495">
        <v>46.58</v>
      </c>
      <c r="G1288" s="495">
        <v>239.92000000000002</v>
      </c>
      <c r="H1288" s="495"/>
      <c r="I1288" s="495"/>
      <c r="J1288" s="494"/>
      <c r="K1288" s="495"/>
      <c r="L1288" s="495"/>
      <c r="M1288" s="495"/>
    </row>
    <row r="1289" spans="1:13" s="703" customFormat="1" ht="17.25" customHeight="1" x14ac:dyDescent="0.25">
      <c r="A1289" s="488" t="s">
        <v>904</v>
      </c>
      <c r="B1289" s="495">
        <v>0.16</v>
      </c>
      <c r="C1289" s="495">
        <v>92.07</v>
      </c>
      <c r="D1289" s="494">
        <v>0.3</v>
      </c>
      <c r="E1289" s="495">
        <v>27.62</v>
      </c>
      <c r="F1289" s="495">
        <v>6.65</v>
      </c>
      <c r="G1289" s="495">
        <v>34.270000000000003</v>
      </c>
      <c r="H1289" s="495"/>
      <c r="I1289" s="495"/>
      <c r="J1289" s="494"/>
      <c r="K1289" s="495"/>
      <c r="L1289" s="495"/>
      <c r="M1289" s="495"/>
    </row>
    <row r="1290" spans="1:13" ht="17.25" customHeight="1" x14ac:dyDescent="0.25">
      <c r="A1290" s="488" t="s">
        <v>904</v>
      </c>
      <c r="B1290" s="495">
        <v>1</v>
      </c>
      <c r="C1290" s="495">
        <v>736.57</v>
      </c>
      <c r="D1290" s="494">
        <v>0.3</v>
      </c>
      <c r="E1290" s="495">
        <v>220.97</v>
      </c>
      <c r="F1290" s="495">
        <v>53.23</v>
      </c>
      <c r="G1290" s="495">
        <v>274.2</v>
      </c>
      <c r="H1290" s="495">
        <v>1</v>
      </c>
      <c r="I1290" s="495">
        <v>828.62</v>
      </c>
      <c r="J1290" s="494">
        <v>0.2</v>
      </c>
      <c r="K1290" s="495">
        <v>165.72</v>
      </c>
      <c r="L1290" s="495">
        <v>39.92</v>
      </c>
      <c r="M1290" s="495">
        <v>205.64</v>
      </c>
    </row>
    <row r="1291" spans="1:13" ht="17.25" customHeight="1" x14ac:dyDescent="0.25">
      <c r="A1291" s="488" t="s">
        <v>904</v>
      </c>
      <c r="B1291" s="495">
        <v>1</v>
      </c>
      <c r="C1291" s="495">
        <v>101.87</v>
      </c>
      <c r="D1291" s="494">
        <v>0.3</v>
      </c>
      <c r="E1291" s="495">
        <v>30.56</v>
      </c>
      <c r="F1291" s="495">
        <v>7.36</v>
      </c>
      <c r="G1291" s="495">
        <v>37.92</v>
      </c>
      <c r="H1291" s="495">
        <v>1</v>
      </c>
      <c r="I1291" s="495">
        <v>736.55</v>
      </c>
      <c r="J1291" s="494">
        <v>0.2</v>
      </c>
      <c r="K1291" s="495">
        <v>147.31</v>
      </c>
      <c r="L1291" s="495">
        <v>35.49</v>
      </c>
      <c r="M1291" s="495">
        <v>182.8</v>
      </c>
    </row>
    <row r="1292" spans="1:13" ht="17.25" customHeight="1" x14ac:dyDescent="0.25">
      <c r="A1292" s="488" t="s">
        <v>904</v>
      </c>
      <c r="B1292" s="495">
        <v>1</v>
      </c>
      <c r="C1292" s="495">
        <v>579.27</v>
      </c>
      <c r="D1292" s="494">
        <v>0.3</v>
      </c>
      <c r="E1292" s="495">
        <v>173.78</v>
      </c>
      <c r="F1292" s="495">
        <v>41.86</v>
      </c>
      <c r="G1292" s="495">
        <v>215.64</v>
      </c>
      <c r="H1292" s="495">
        <v>1</v>
      </c>
      <c r="I1292" s="495"/>
      <c r="J1292" s="494"/>
      <c r="K1292" s="495"/>
      <c r="L1292" s="495"/>
      <c r="M1292" s="495"/>
    </row>
    <row r="1293" spans="1:13" ht="17.25" customHeight="1" x14ac:dyDescent="0.25">
      <c r="A1293" s="488" t="s">
        <v>904</v>
      </c>
      <c r="B1293" s="495"/>
      <c r="C1293" s="495"/>
      <c r="D1293" s="494"/>
      <c r="E1293" s="495"/>
      <c r="F1293" s="495">
        <v>0</v>
      </c>
      <c r="G1293" s="495">
        <v>0</v>
      </c>
      <c r="H1293" s="495">
        <v>1</v>
      </c>
      <c r="I1293" s="495">
        <v>89.19</v>
      </c>
      <c r="J1293" s="494">
        <v>0.2</v>
      </c>
      <c r="K1293" s="495">
        <v>17.84</v>
      </c>
      <c r="L1293" s="495">
        <v>4.3</v>
      </c>
      <c r="M1293" s="495">
        <v>22.14</v>
      </c>
    </row>
    <row r="1294" spans="1:13" ht="26.25" customHeight="1" x14ac:dyDescent="0.25">
      <c r="A1294" s="488" t="s">
        <v>904</v>
      </c>
      <c r="B1294" s="495"/>
      <c r="C1294" s="495"/>
      <c r="D1294" s="494"/>
      <c r="E1294" s="495"/>
      <c r="F1294" s="495">
        <v>0</v>
      </c>
      <c r="G1294" s="495">
        <v>0</v>
      </c>
      <c r="H1294" s="495">
        <v>1</v>
      </c>
      <c r="I1294" s="495">
        <v>89.19</v>
      </c>
      <c r="J1294" s="494">
        <v>0.2</v>
      </c>
      <c r="K1294" s="495">
        <v>17.84</v>
      </c>
      <c r="L1294" s="495">
        <v>4.3</v>
      </c>
      <c r="M1294" s="495">
        <v>22.14</v>
      </c>
    </row>
    <row r="1295" spans="1:13" ht="17.25" customHeight="1" x14ac:dyDescent="0.25">
      <c r="A1295" s="488" t="s">
        <v>904</v>
      </c>
      <c r="B1295" s="495"/>
      <c r="C1295" s="495"/>
      <c r="D1295" s="494"/>
      <c r="E1295" s="495"/>
      <c r="F1295" s="495">
        <v>0</v>
      </c>
      <c r="G1295" s="495">
        <v>0</v>
      </c>
      <c r="H1295" s="495">
        <v>1</v>
      </c>
      <c r="I1295" s="495">
        <v>753.58</v>
      </c>
      <c r="J1295" s="494">
        <v>0.2</v>
      </c>
      <c r="K1295" s="495">
        <v>150.72</v>
      </c>
      <c r="L1295" s="495">
        <v>36.31</v>
      </c>
      <c r="M1295" s="495">
        <v>187.03</v>
      </c>
    </row>
    <row r="1296" spans="1:13" ht="17.25" customHeight="1" x14ac:dyDescent="0.25">
      <c r="A1296" s="488" t="s">
        <v>904</v>
      </c>
      <c r="B1296" s="495"/>
      <c r="C1296" s="495"/>
      <c r="D1296" s="494"/>
      <c r="E1296" s="495"/>
      <c r="F1296" s="495">
        <v>0</v>
      </c>
      <c r="G1296" s="495">
        <v>0</v>
      </c>
      <c r="H1296" s="495">
        <v>0.5</v>
      </c>
      <c r="I1296" s="495">
        <v>483.36</v>
      </c>
      <c r="J1296" s="494">
        <v>0.2</v>
      </c>
      <c r="K1296" s="495">
        <v>96.67</v>
      </c>
      <c r="L1296" s="495">
        <v>23.29</v>
      </c>
      <c r="M1296" s="495">
        <v>119.96000000000001</v>
      </c>
    </row>
    <row r="1297" spans="1:13" ht="17.25" customHeight="1" x14ac:dyDescent="0.25">
      <c r="A1297" s="488" t="s">
        <v>904</v>
      </c>
      <c r="B1297" s="495"/>
      <c r="C1297" s="495"/>
      <c r="D1297" s="494"/>
      <c r="E1297" s="495"/>
      <c r="F1297" s="495">
        <v>0</v>
      </c>
      <c r="G1297" s="495">
        <v>0</v>
      </c>
      <c r="H1297" s="495">
        <v>0.5</v>
      </c>
      <c r="I1297" s="495">
        <v>563.92999999999995</v>
      </c>
      <c r="J1297" s="494">
        <v>0.2</v>
      </c>
      <c r="K1297" s="495">
        <v>112.79</v>
      </c>
      <c r="L1297" s="495">
        <v>27.17</v>
      </c>
      <c r="M1297" s="495">
        <v>139.96</v>
      </c>
    </row>
    <row r="1298" spans="1:13" ht="17.25" customHeight="1" x14ac:dyDescent="0.25">
      <c r="A1298" s="488" t="s">
        <v>904</v>
      </c>
      <c r="B1298" s="495"/>
      <c r="C1298" s="495"/>
      <c r="D1298" s="494"/>
      <c r="E1298" s="495"/>
      <c r="F1298" s="495">
        <v>0</v>
      </c>
      <c r="G1298" s="495">
        <v>0</v>
      </c>
      <c r="H1298" s="495">
        <v>1</v>
      </c>
      <c r="I1298" s="495">
        <v>293.70999999999998</v>
      </c>
      <c r="J1298" s="494">
        <v>0.2</v>
      </c>
      <c r="K1298" s="495">
        <v>58.74</v>
      </c>
      <c r="L1298" s="495">
        <v>14.15</v>
      </c>
      <c r="M1298" s="495">
        <v>72.89</v>
      </c>
    </row>
    <row r="1299" spans="1:13" ht="17.25" customHeight="1" x14ac:dyDescent="0.25">
      <c r="A1299" s="488" t="s">
        <v>904</v>
      </c>
      <c r="B1299" s="495"/>
      <c r="C1299" s="495"/>
      <c r="D1299" s="494"/>
      <c r="E1299" s="495"/>
      <c r="F1299" s="495">
        <v>0</v>
      </c>
      <c r="G1299" s="495">
        <v>0</v>
      </c>
      <c r="H1299" s="495">
        <v>0.51</v>
      </c>
      <c r="I1299" s="495">
        <v>357.98</v>
      </c>
      <c r="J1299" s="494">
        <v>0.2</v>
      </c>
      <c r="K1299" s="495">
        <v>71.599999999999994</v>
      </c>
      <c r="L1299" s="495">
        <v>17.25</v>
      </c>
      <c r="M1299" s="495">
        <v>88.85</v>
      </c>
    </row>
    <row r="1300" spans="1:13" ht="28.5" customHeight="1" x14ac:dyDescent="0.25">
      <c r="A1300" s="488" t="s">
        <v>904</v>
      </c>
      <c r="B1300" s="495"/>
      <c r="C1300" s="495"/>
      <c r="D1300" s="494"/>
      <c r="E1300" s="495"/>
      <c r="F1300" s="495">
        <v>0</v>
      </c>
      <c r="G1300" s="495">
        <v>0</v>
      </c>
      <c r="H1300" s="495">
        <v>0.5</v>
      </c>
      <c r="I1300" s="495">
        <v>241.68</v>
      </c>
      <c r="J1300" s="494">
        <v>0.2</v>
      </c>
      <c r="K1300" s="495">
        <v>48.34</v>
      </c>
      <c r="L1300" s="495">
        <v>11.65</v>
      </c>
      <c r="M1300" s="495">
        <v>59.99</v>
      </c>
    </row>
    <row r="1301" spans="1:13" ht="25.5" customHeight="1" x14ac:dyDescent="0.25">
      <c r="A1301" s="488" t="s">
        <v>904</v>
      </c>
      <c r="B1301" s="495"/>
      <c r="C1301" s="495"/>
      <c r="D1301" s="494"/>
      <c r="E1301" s="495"/>
      <c r="F1301" s="495">
        <v>0</v>
      </c>
      <c r="G1301" s="495">
        <v>0</v>
      </c>
      <c r="H1301" s="495">
        <v>0.75</v>
      </c>
      <c r="I1301" s="495">
        <v>402.8</v>
      </c>
      <c r="J1301" s="494">
        <v>0.2</v>
      </c>
      <c r="K1301" s="495">
        <v>80.56</v>
      </c>
      <c r="L1301" s="495">
        <v>19.41</v>
      </c>
      <c r="M1301" s="495">
        <v>99.97</v>
      </c>
    </row>
    <row r="1302" spans="1:13" ht="24" customHeight="1" x14ac:dyDescent="0.25">
      <c r="A1302" s="488" t="s">
        <v>904</v>
      </c>
      <c r="B1302" s="495"/>
      <c r="C1302" s="495"/>
      <c r="D1302" s="494"/>
      <c r="E1302" s="495"/>
      <c r="F1302" s="495">
        <v>0</v>
      </c>
      <c r="G1302" s="495">
        <v>0</v>
      </c>
      <c r="H1302" s="495">
        <v>1</v>
      </c>
      <c r="I1302" s="495">
        <v>583.49</v>
      </c>
      <c r="J1302" s="494">
        <v>0.2</v>
      </c>
      <c r="K1302" s="495">
        <v>116.7</v>
      </c>
      <c r="L1302" s="495">
        <v>28.11</v>
      </c>
      <c r="M1302" s="495">
        <v>144.81</v>
      </c>
    </row>
    <row r="1303" spans="1:13" s="703" customFormat="1" ht="17.25" customHeight="1" x14ac:dyDescent="0.25">
      <c r="A1303" s="488" t="s">
        <v>904</v>
      </c>
      <c r="B1303" s="495">
        <v>0.16</v>
      </c>
      <c r="C1303" s="495">
        <v>92.08</v>
      </c>
      <c r="D1303" s="494">
        <v>0.5</v>
      </c>
      <c r="E1303" s="495">
        <v>46.04</v>
      </c>
      <c r="F1303" s="495">
        <v>11.09</v>
      </c>
      <c r="G1303" s="495">
        <v>57.129999999999995</v>
      </c>
      <c r="H1303" s="495"/>
      <c r="I1303" s="495"/>
      <c r="J1303" s="494"/>
      <c r="K1303" s="495"/>
      <c r="L1303" s="495"/>
      <c r="M1303" s="495"/>
    </row>
    <row r="1304" spans="1:13" s="703" customFormat="1" ht="17.25" customHeight="1" x14ac:dyDescent="0.25">
      <c r="A1304" s="488" t="s">
        <v>904</v>
      </c>
      <c r="B1304" s="495">
        <v>0.08</v>
      </c>
      <c r="C1304" s="495">
        <v>46.04</v>
      </c>
      <c r="D1304" s="494">
        <v>0.5</v>
      </c>
      <c r="E1304" s="495">
        <v>23.02</v>
      </c>
      <c r="F1304" s="495">
        <v>5.55</v>
      </c>
      <c r="G1304" s="495">
        <v>28.57</v>
      </c>
      <c r="H1304" s="495"/>
      <c r="I1304" s="495"/>
      <c r="J1304" s="494"/>
      <c r="K1304" s="495"/>
      <c r="L1304" s="495"/>
      <c r="M1304" s="495"/>
    </row>
    <row r="1305" spans="1:13" s="703" customFormat="1" ht="17.25" customHeight="1" x14ac:dyDescent="0.25">
      <c r="A1305" s="488" t="s">
        <v>904</v>
      </c>
      <c r="B1305" s="495">
        <v>0.16</v>
      </c>
      <c r="C1305" s="495">
        <v>92.08</v>
      </c>
      <c r="D1305" s="494">
        <v>0.5</v>
      </c>
      <c r="E1305" s="495">
        <v>46.04</v>
      </c>
      <c r="F1305" s="495">
        <v>11.09</v>
      </c>
      <c r="G1305" s="495">
        <v>57.129999999999995</v>
      </c>
      <c r="H1305" s="495"/>
      <c r="I1305" s="495"/>
      <c r="J1305" s="494"/>
      <c r="K1305" s="495"/>
      <c r="L1305" s="495"/>
      <c r="M1305" s="495"/>
    </row>
    <row r="1306" spans="1:13" ht="17.25" customHeight="1" x14ac:dyDescent="0.25">
      <c r="A1306" s="488" t="s">
        <v>904</v>
      </c>
      <c r="B1306" s="495">
        <v>0.25</v>
      </c>
      <c r="C1306" s="495">
        <v>145.88</v>
      </c>
      <c r="D1306" s="494">
        <v>0.5</v>
      </c>
      <c r="E1306" s="495">
        <v>72.94</v>
      </c>
      <c r="F1306" s="495">
        <v>17.57</v>
      </c>
      <c r="G1306" s="495">
        <v>90.509999999999991</v>
      </c>
      <c r="H1306" s="495">
        <v>0.25</v>
      </c>
      <c r="I1306" s="495">
        <v>291.74</v>
      </c>
      <c r="J1306" s="494">
        <v>0.2</v>
      </c>
      <c r="K1306" s="495">
        <v>58.35</v>
      </c>
      <c r="L1306" s="495">
        <v>14.06</v>
      </c>
      <c r="M1306" s="495">
        <v>72.41</v>
      </c>
    </row>
    <row r="1307" spans="1:13" ht="17.25" customHeight="1" x14ac:dyDescent="0.25">
      <c r="A1307" s="488" t="s">
        <v>904</v>
      </c>
      <c r="B1307" s="495"/>
      <c r="C1307" s="495"/>
      <c r="D1307" s="494"/>
      <c r="E1307" s="495"/>
      <c r="F1307" s="495">
        <v>0</v>
      </c>
      <c r="G1307" s="495">
        <v>0</v>
      </c>
      <c r="H1307" s="495">
        <v>1</v>
      </c>
      <c r="I1307" s="495">
        <v>417.36</v>
      </c>
      <c r="J1307" s="494">
        <v>0.2</v>
      </c>
      <c r="K1307" s="495">
        <v>83.47</v>
      </c>
      <c r="L1307" s="495">
        <v>20.11</v>
      </c>
      <c r="M1307" s="495">
        <v>103.58</v>
      </c>
    </row>
    <row r="1308" spans="1:13" ht="17.25" customHeight="1" x14ac:dyDescent="0.25">
      <c r="A1308" s="488" t="s">
        <v>904</v>
      </c>
      <c r="B1308" s="495"/>
      <c r="C1308" s="495"/>
      <c r="D1308" s="494"/>
      <c r="E1308" s="495"/>
      <c r="F1308" s="495">
        <v>0</v>
      </c>
      <c r="G1308" s="495">
        <v>0</v>
      </c>
      <c r="H1308" s="495">
        <v>1</v>
      </c>
      <c r="I1308" s="495">
        <v>255.28</v>
      </c>
      <c r="J1308" s="494">
        <v>0.2</v>
      </c>
      <c r="K1308" s="495">
        <v>51.06</v>
      </c>
      <c r="L1308" s="495">
        <v>12.3</v>
      </c>
      <c r="M1308" s="495">
        <v>63.36</v>
      </c>
    </row>
    <row r="1309" spans="1:13" ht="17.25" customHeight="1" x14ac:dyDescent="0.25">
      <c r="A1309" s="488" t="s">
        <v>904</v>
      </c>
      <c r="B1309" s="495"/>
      <c r="C1309" s="495"/>
      <c r="D1309" s="494"/>
      <c r="E1309" s="495"/>
      <c r="F1309" s="495">
        <v>0</v>
      </c>
      <c r="G1309" s="495">
        <v>0</v>
      </c>
      <c r="H1309" s="495">
        <v>1</v>
      </c>
      <c r="I1309" s="495">
        <v>384.94</v>
      </c>
      <c r="J1309" s="494">
        <v>0.2</v>
      </c>
      <c r="K1309" s="495">
        <v>76.989999999999995</v>
      </c>
      <c r="L1309" s="495">
        <v>18.55</v>
      </c>
      <c r="M1309" s="495">
        <v>95.539999999999992</v>
      </c>
    </row>
    <row r="1310" spans="1:13" ht="27.75" customHeight="1" x14ac:dyDescent="0.25">
      <c r="A1310" s="488" t="s">
        <v>904</v>
      </c>
      <c r="B1310" s="495"/>
      <c r="C1310" s="495"/>
      <c r="D1310" s="494"/>
      <c r="E1310" s="495"/>
      <c r="F1310" s="495">
        <v>0</v>
      </c>
      <c r="G1310" s="495">
        <v>0</v>
      </c>
      <c r="H1310" s="495">
        <v>1</v>
      </c>
      <c r="I1310" s="495">
        <v>417.36</v>
      </c>
      <c r="J1310" s="494">
        <v>0.2</v>
      </c>
      <c r="K1310" s="495">
        <v>83.47</v>
      </c>
      <c r="L1310" s="495">
        <v>20.11</v>
      </c>
      <c r="M1310" s="495">
        <v>103.58</v>
      </c>
    </row>
    <row r="1311" spans="1:13" ht="21" customHeight="1" x14ac:dyDescent="0.25">
      <c r="A1311" s="496" t="s">
        <v>904</v>
      </c>
      <c r="B1311" s="497"/>
      <c r="C1311" s="497"/>
      <c r="D1311" s="707"/>
      <c r="E1311" s="497"/>
      <c r="F1311" s="497">
        <v>0</v>
      </c>
      <c r="G1311" s="497">
        <v>0</v>
      </c>
      <c r="H1311" s="497">
        <v>1</v>
      </c>
      <c r="I1311" s="497">
        <v>542.97</v>
      </c>
      <c r="J1311" s="707">
        <v>0.2</v>
      </c>
      <c r="K1311" s="497">
        <v>108.59</v>
      </c>
      <c r="L1311" s="497">
        <v>26.16</v>
      </c>
      <c r="M1311" s="497">
        <v>134.75</v>
      </c>
    </row>
    <row r="1312" spans="1:13" x14ac:dyDescent="0.25">
      <c r="A1312" s="708" t="s">
        <v>904</v>
      </c>
      <c r="B1312" s="497"/>
      <c r="C1312" s="497"/>
      <c r="D1312" s="707"/>
      <c r="E1312" s="497"/>
      <c r="F1312" s="497">
        <v>0</v>
      </c>
      <c r="G1312" s="497">
        <v>0</v>
      </c>
      <c r="H1312" s="497">
        <v>1</v>
      </c>
      <c r="I1312" s="497">
        <v>802.74</v>
      </c>
      <c r="J1312" s="707">
        <v>0.2</v>
      </c>
      <c r="K1312" s="497">
        <v>160.55000000000001</v>
      </c>
      <c r="L1312" s="497">
        <v>38.68</v>
      </c>
      <c r="M1312" s="497">
        <v>199.23000000000002</v>
      </c>
    </row>
    <row r="1313" spans="1:13" x14ac:dyDescent="0.25">
      <c r="A1313" s="708" t="s">
        <v>904</v>
      </c>
      <c r="B1313" s="497"/>
      <c r="C1313" s="497"/>
      <c r="D1313" s="707"/>
      <c r="E1313" s="497"/>
      <c r="F1313" s="497">
        <v>0</v>
      </c>
      <c r="G1313" s="497">
        <v>0</v>
      </c>
      <c r="H1313" s="497">
        <v>1</v>
      </c>
      <c r="I1313" s="497">
        <v>717.27</v>
      </c>
      <c r="J1313" s="707">
        <v>0.2</v>
      </c>
      <c r="K1313" s="497">
        <v>143.44999999999999</v>
      </c>
      <c r="L1313" s="497">
        <v>34.56</v>
      </c>
      <c r="M1313" s="497">
        <v>178.01</v>
      </c>
    </row>
    <row r="1314" spans="1:13" x14ac:dyDescent="0.25">
      <c r="A1314" s="708" t="s">
        <v>904</v>
      </c>
      <c r="B1314" s="497"/>
      <c r="C1314" s="497"/>
      <c r="D1314" s="707"/>
      <c r="E1314" s="497"/>
      <c r="F1314" s="497">
        <v>0</v>
      </c>
      <c r="G1314" s="497">
        <v>0</v>
      </c>
      <c r="H1314" s="497">
        <v>0.25</v>
      </c>
      <c r="I1314" s="497">
        <v>683.82</v>
      </c>
      <c r="J1314" s="707">
        <v>0.2</v>
      </c>
      <c r="K1314" s="497">
        <v>136.76</v>
      </c>
      <c r="L1314" s="497">
        <v>32.950000000000003</v>
      </c>
      <c r="M1314" s="497">
        <v>169.70999999999998</v>
      </c>
    </row>
    <row r="1315" spans="1:13" x14ac:dyDescent="0.25">
      <c r="A1315" s="708" t="s">
        <v>904</v>
      </c>
      <c r="B1315" s="497"/>
      <c r="C1315" s="497"/>
      <c r="D1315" s="707"/>
      <c r="E1315" s="497"/>
      <c r="F1315" s="497">
        <v>0</v>
      </c>
      <c r="G1315" s="497">
        <v>0</v>
      </c>
      <c r="H1315" s="497">
        <v>1</v>
      </c>
      <c r="I1315" s="497">
        <v>713.55</v>
      </c>
      <c r="J1315" s="707">
        <v>0.2</v>
      </c>
      <c r="K1315" s="497">
        <v>142.71</v>
      </c>
      <c r="L1315" s="497">
        <v>34.380000000000003</v>
      </c>
      <c r="M1315" s="497">
        <v>177.09</v>
      </c>
    </row>
    <row r="1316" spans="1:13" ht="18" customHeight="1" x14ac:dyDescent="0.25">
      <c r="A1316" s="708" t="s">
        <v>904</v>
      </c>
      <c r="B1316" s="497"/>
      <c r="C1316" s="497"/>
      <c r="D1316" s="707"/>
      <c r="E1316" s="497"/>
      <c r="F1316" s="497">
        <v>0</v>
      </c>
      <c r="G1316" s="497">
        <v>0</v>
      </c>
      <c r="H1316" s="497">
        <v>0.5</v>
      </c>
      <c r="I1316" s="497">
        <v>89.19</v>
      </c>
      <c r="J1316" s="707">
        <v>0.2</v>
      </c>
      <c r="K1316" s="497">
        <v>17.84</v>
      </c>
      <c r="L1316" s="497">
        <v>4.3</v>
      </c>
      <c r="M1316" s="497">
        <v>22.14</v>
      </c>
    </row>
    <row r="1317" spans="1:13" x14ac:dyDescent="0.25">
      <c r="A1317" s="708" t="s">
        <v>904</v>
      </c>
      <c r="B1317" s="497"/>
      <c r="C1317" s="497"/>
      <c r="D1317" s="707"/>
      <c r="E1317" s="497"/>
      <c r="F1317" s="497">
        <v>0</v>
      </c>
      <c r="G1317" s="497">
        <v>0</v>
      </c>
      <c r="H1317" s="497">
        <v>1</v>
      </c>
      <c r="I1317" s="497">
        <v>713.55</v>
      </c>
      <c r="J1317" s="707">
        <v>0.2</v>
      </c>
      <c r="K1317" s="497">
        <v>142.71</v>
      </c>
      <c r="L1317" s="497">
        <v>34.380000000000003</v>
      </c>
      <c r="M1317" s="497">
        <v>177.09</v>
      </c>
    </row>
    <row r="1318" spans="1:13" x14ac:dyDescent="0.25">
      <c r="A1318" s="708" t="s">
        <v>904</v>
      </c>
      <c r="B1318" s="497"/>
      <c r="C1318" s="497"/>
      <c r="D1318" s="707"/>
      <c r="E1318" s="497"/>
      <c r="F1318" s="497">
        <v>0</v>
      </c>
      <c r="G1318" s="497">
        <v>0</v>
      </c>
      <c r="H1318" s="497">
        <v>1</v>
      </c>
      <c r="I1318" s="497">
        <v>773.01</v>
      </c>
      <c r="J1318" s="707">
        <v>0.2</v>
      </c>
      <c r="K1318" s="497">
        <v>154.6</v>
      </c>
      <c r="L1318" s="497">
        <v>37.24</v>
      </c>
      <c r="M1318" s="497">
        <v>191.84</v>
      </c>
    </row>
    <row r="1319" spans="1:13" x14ac:dyDescent="0.25">
      <c r="A1319" s="708" t="s">
        <v>904</v>
      </c>
      <c r="B1319" s="497"/>
      <c r="C1319" s="497"/>
      <c r="D1319" s="707"/>
      <c r="E1319" s="497"/>
      <c r="F1319" s="497">
        <v>0</v>
      </c>
      <c r="G1319" s="497">
        <v>0</v>
      </c>
      <c r="H1319" s="497">
        <v>0.5</v>
      </c>
      <c r="I1319" s="497">
        <v>356.77</v>
      </c>
      <c r="J1319" s="707">
        <v>0.2</v>
      </c>
      <c r="K1319" s="497">
        <v>71.349999999999994</v>
      </c>
      <c r="L1319" s="497">
        <v>17.190000000000001</v>
      </c>
      <c r="M1319" s="497">
        <v>88.539999999999992</v>
      </c>
    </row>
    <row r="1320" spans="1:13" x14ac:dyDescent="0.25">
      <c r="A1320" s="708" t="s">
        <v>904</v>
      </c>
      <c r="B1320" s="497"/>
      <c r="C1320" s="497"/>
      <c r="D1320" s="707"/>
      <c r="E1320" s="497"/>
      <c r="F1320" s="497">
        <v>0</v>
      </c>
      <c r="G1320" s="497">
        <v>0</v>
      </c>
      <c r="H1320" s="497">
        <v>1</v>
      </c>
      <c r="I1320" s="497">
        <v>267.58</v>
      </c>
      <c r="J1320" s="707">
        <v>0.2</v>
      </c>
      <c r="K1320" s="497">
        <v>53.52</v>
      </c>
      <c r="L1320" s="497">
        <v>12.89</v>
      </c>
      <c r="M1320" s="497">
        <v>66.41</v>
      </c>
    </row>
    <row r="1321" spans="1:13" x14ac:dyDescent="0.25">
      <c r="A1321" s="708" t="s">
        <v>904</v>
      </c>
      <c r="B1321" s="497"/>
      <c r="C1321" s="497"/>
      <c r="D1321" s="707"/>
      <c r="E1321" s="497"/>
      <c r="F1321" s="497">
        <v>0</v>
      </c>
      <c r="G1321" s="497">
        <v>0</v>
      </c>
      <c r="H1321" s="497">
        <v>1</v>
      </c>
      <c r="I1321" s="497">
        <v>802.74</v>
      </c>
      <c r="J1321" s="707">
        <v>0.2</v>
      </c>
      <c r="K1321" s="497">
        <v>160.55000000000001</v>
      </c>
      <c r="L1321" s="497">
        <v>38.68</v>
      </c>
      <c r="M1321" s="497">
        <v>199.23000000000002</v>
      </c>
    </row>
    <row r="1322" spans="1:13" x14ac:dyDescent="0.25">
      <c r="A1322" s="708" t="s">
        <v>904</v>
      </c>
      <c r="B1322" s="497"/>
      <c r="C1322" s="497"/>
      <c r="D1322" s="707"/>
      <c r="E1322" s="497"/>
      <c r="F1322" s="497">
        <v>0</v>
      </c>
      <c r="G1322" s="497">
        <v>0</v>
      </c>
      <c r="H1322" s="497">
        <v>0.5</v>
      </c>
      <c r="I1322" s="497">
        <v>564.89</v>
      </c>
      <c r="J1322" s="707">
        <v>0.2</v>
      </c>
      <c r="K1322" s="497">
        <v>112.98</v>
      </c>
      <c r="L1322" s="497">
        <v>27.22</v>
      </c>
      <c r="M1322" s="497">
        <v>140.19999999999999</v>
      </c>
    </row>
    <row r="1323" spans="1:13" x14ac:dyDescent="0.25">
      <c r="A1323" s="708" t="s">
        <v>904</v>
      </c>
      <c r="B1323" s="497"/>
      <c r="C1323" s="497"/>
      <c r="D1323" s="707"/>
      <c r="E1323" s="497"/>
      <c r="F1323" s="497">
        <v>0</v>
      </c>
      <c r="G1323" s="497">
        <v>0</v>
      </c>
      <c r="H1323" s="497">
        <v>0.5</v>
      </c>
      <c r="I1323" s="497">
        <v>594.62</v>
      </c>
      <c r="J1323" s="707">
        <v>0.2</v>
      </c>
      <c r="K1323" s="497">
        <v>118.92</v>
      </c>
      <c r="L1323" s="497">
        <v>28.65</v>
      </c>
      <c r="M1323" s="497">
        <v>147.57</v>
      </c>
    </row>
    <row r="1324" spans="1:13" x14ac:dyDescent="0.25">
      <c r="A1324" s="708" t="s">
        <v>904</v>
      </c>
      <c r="B1324" s="497"/>
      <c r="C1324" s="497"/>
      <c r="D1324" s="707"/>
      <c r="E1324" s="497"/>
      <c r="F1324" s="497">
        <v>0</v>
      </c>
      <c r="G1324" s="497">
        <v>0</v>
      </c>
      <c r="H1324" s="497">
        <v>1</v>
      </c>
      <c r="I1324" s="497">
        <v>386.51</v>
      </c>
      <c r="J1324" s="707">
        <v>0.2</v>
      </c>
      <c r="K1324" s="497">
        <v>77.3</v>
      </c>
      <c r="L1324" s="497">
        <v>18.62</v>
      </c>
      <c r="M1324" s="497">
        <v>95.92</v>
      </c>
    </row>
    <row r="1325" spans="1:13" x14ac:dyDescent="0.25">
      <c r="A1325" s="708" t="s">
        <v>904</v>
      </c>
      <c r="B1325" s="497"/>
      <c r="C1325" s="497"/>
      <c r="D1325" s="707"/>
      <c r="E1325" s="497"/>
      <c r="F1325" s="497">
        <v>0</v>
      </c>
      <c r="G1325" s="497">
        <v>0</v>
      </c>
      <c r="H1325" s="497">
        <v>1</v>
      </c>
      <c r="I1325" s="497">
        <v>713.55</v>
      </c>
      <c r="J1325" s="707">
        <v>0.2</v>
      </c>
      <c r="K1325" s="497">
        <v>142.71</v>
      </c>
      <c r="L1325" s="497">
        <v>34.380000000000003</v>
      </c>
      <c r="M1325" s="497">
        <v>177.09</v>
      </c>
    </row>
    <row r="1326" spans="1:13" x14ac:dyDescent="0.25">
      <c r="A1326" s="708" t="s">
        <v>904</v>
      </c>
      <c r="B1326" s="497"/>
      <c r="C1326" s="497"/>
      <c r="D1326" s="707"/>
      <c r="E1326" s="497"/>
      <c r="F1326" s="497">
        <v>0</v>
      </c>
      <c r="G1326" s="497">
        <v>0</v>
      </c>
      <c r="H1326" s="497">
        <v>0.5</v>
      </c>
      <c r="I1326" s="497">
        <v>535.16</v>
      </c>
      <c r="J1326" s="707">
        <v>0.2</v>
      </c>
      <c r="K1326" s="497">
        <v>107.03</v>
      </c>
      <c r="L1326" s="497">
        <v>25.78</v>
      </c>
      <c r="M1326" s="497">
        <v>132.81</v>
      </c>
    </row>
    <row r="1327" spans="1:13" x14ac:dyDescent="0.25">
      <c r="A1327" s="708" t="s">
        <v>904</v>
      </c>
      <c r="B1327" s="497"/>
      <c r="C1327" s="497"/>
      <c r="D1327" s="707"/>
      <c r="E1327" s="497"/>
      <c r="F1327" s="497">
        <v>0</v>
      </c>
      <c r="G1327" s="497">
        <v>0</v>
      </c>
      <c r="H1327" s="497">
        <v>0.25</v>
      </c>
      <c r="I1327" s="497">
        <v>267.58</v>
      </c>
      <c r="J1327" s="707">
        <v>0.2</v>
      </c>
      <c r="K1327" s="497">
        <v>53.52</v>
      </c>
      <c r="L1327" s="497">
        <v>12.89</v>
      </c>
      <c r="M1327" s="497">
        <v>66.41</v>
      </c>
    </row>
    <row r="1328" spans="1:13" x14ac:dyDescent="0.25">
      <c r="A1328" s="708" t="s">
        <v>904</v>
      </c>
      <c r="B1328" s="497"/>
      <c r="C1328" s="497"/>
      <c r="D1328" s="707"/>
      <c r="E1328" s="497"/>
      <c r="F1328" s="497">
        <v>0</v>
      </c>
      <c r="G1328" s="497">
        <v>0</v>
      </c>
      <c r="H1328" s="497">
        <v>1</v>
      </c>
      <c r="I1328" s="497">
        <v>475.7</v>
      </c>
      <c r="J1328" s="707">
        <v>0.2</v>
      </c>
      <c r="K1328" s="497">
        <v>95.14</v>
      </c>
      <c r="L1328" s="497">
        <v>22.92</v>
      </c>
      <c r="M1328" s="497">
        <v>118.06</v>
      </c>
    </row>
    <row r="1329" spans="1:13" x14ac:dyDescent="0.25">
      <c r="A1329" s="708" t="s">
        <v>904</v>
      </c>
      <c r="B1329" s="497"/>
      <c r="C1329" s="497"/>
      <c r="D1329" s="707"/>
      <c r="E1329" s="497"/>
      <c r="F1329" s="497">
        <v>0</v>
      </c>
      <c r="G1329" s="497">
        <v>0</v>
      </c>
      <c r="H1329" s="497">
        <v>0.5</v>
      </c>
      <c r="I1329" s="497">
        <v>356.77</v>
      </c>
      <c r="J1329" s="707">
        <v>0.2</v>
      </c>
      <c r="K1329" s="497">
        <v>71.349999999999994</v>
      </c>
      <c r="L1329" s="497">
        <v>17.190000000000001</v>
      </c>
      <c r="M1329" s="497">
        <v>88.539999999999992</v>
      </c>
    </row>
    <row r="1330" spans="1:13" x14ac:dyDescent="0.25">
      <c r="A1330" s="708" t="s">
        <v>904</v>
      </c>
      <c r="B1330" s="497"/>
      <c r="C1330" s="497"/>
      <c r="D1330" s="707"/>
      <c r="E1330" s="497"/>
      <c r="F1330" s="497">
        <v>0</v>
      </c>
      <c r="G1330" s="497">
        <v>0</v>
      </c>
      <c r="H1330" s="497">
        <v>1</v>
      </c>
      <c r="I1330" s="497">
        <v>654.09</v>
      </c>
      <c r="J1330" s="707">
        <v>0.2</v>
      </c>
      <c r="K1330" s="497">
        <v>130.82</v>
      </c>
      <c r="L1330" s="497">
        <v>31.51</v>
      </c>
      <c r="M1330" s="497">
        <v>162.32999999999998</v>
      </c>
    </row>
    <row r="1331" spans="1:13" ht="15.6" customHeight="1" x14ac:dyDescent="0.25">
      <c r="A1331" s="708" t="s">
        <v>905</v>
      </c>
      <c r="B1331" s="497">
        <v>1</v>
      </c>
      <c r="C1331" s="497">
        <v>820</v>
      </c>
      <c r="D1331" s="707">
        <v>0.3</v>
      </c>
      <c r="E1331" s="497">
        <v>246</v>
      </c>
      <c r="F1331" s="497">
        <v>59.26</v>
      </c>
      <c r="G1331" s="497">
        <v>305.26</v>
      </c>
      <c r="H1331" s="497">
        <v>1</v>
      </c>
      <c r="I1331" s="497">
        <v>820</v>
      </c>
      <c r="J1331" s="707">
        <v>0.2</v>
      </c>
      <c r="K1331" s="497">
        <v>164</v>
      </c>
      <c r="L1331" s="497">
        <v>39.51</v>
      </c>
      <c r="M1331" s="497">
        <v>203.51</v>
      </c>
    </row>
    <row r="1332" spans="1:13" x14ac:dyDescent="0.25">
      <c r="A1332" s="708" t="s">
        <v>906</v>
      </c>
      <c r="B1332" s="497"/>
      <c r="C1332" s="497"/>
      <c r="D1332" s="707"/>
      <c r="E1332" s="497"/>
      <c r="F1332" s="497">
        <v>0</v>
      </c>
      <c r="G1332" s="497">
        <v>0</v>
      </c>
      <c r="H1332" s="497">
        <v>1</v>
      </c>
      <c r="I1332" s="497">
        <v>1082.9100000000001</v>
      </c>
      <c r="J1332" s="707">
        <v>0.2</v>
      </c>
      <c r="K1332" s="497">
        <v>216.58</v>
      </c>
      <c r="L1332" s="497">
        <v>52.17</v>
      </c>
      <c r="M1332" s="497">
        <v>268.75</v>
      </c>
    </row>
    <row r="1333" spans="1:13" x14ac:dyDescent="0.25">
      <c r="A1333" s="708" t="s">
        <v>907</v>
      </c>
      <c r="B1333" s="497"/>
      <c r="C1333" s="497"/>
      <c r="D1333" s="707"/>
      <c r="E1333" s="497"/>
      <c r="F1333" s="497">
        <v>0</v>
      </c>
      <c r="G1333" s="497">
        <v>0</v>
      </c>
      <c r="H1333" s="497">
        <v>1</v>
      </c>
      <c r="I1333" s="497">
        <v>473.8</v>
      </c>
      <c r="J1333" s="707">
        <v>0.2</v>
      </c>
      <c r="K1333" s="497">
        <v>94.76</v>
      </c>
      <c r="L1333" s="497">
        <v>22.83</v>
      </c>
      <c r="M1333" s="497">
        <v>117.59</v>
      </c>
    </row>
    <row r="1334" spans="1:13" x14ac:dyDescent="0.25">
      <c r="A1334" s="708" t="s">
        <v>908</v>
      </c>
      <c r="B1334" s="497"/>
      <c r="C1334" s="497"/>
      <c r="D1334" s="707"/>
      <c r="E1334" s="497"/>
      <c r="F1334" s="497">
        <v>0</v>
      </c>
      <c r="G1334" s="497">
        <v>0</v>
      </c>
      <c r="H1334" s="497">
        <v>1</v>
      </c>
      <c r="I1334" s="497">
        <v>470</v>
      </c>
      <c r="J1334" s="707">
        <v>0.2</v>
      </c>
      <c r="K1334" s="497">
        <v>94</v>
      </c>
      <c r="L1334" s="497">
        <v>22.64</v>
      </c>
      <c r="M1334" s="497">
        <v>116.64</v>
      </c>
    </row>
    <row r="1335" spans="1:13" x14ac:dyDescent="0.25">
      <c r="A1335" s="708" t="s">
        <v>908</v>
      </c>
      <c r="B1335" s="497"/>
      <c r="C1335" s="497"/>
      <c r="D1335" s="707"/>
      <c r="E1335" s="497"/>
      <c r="F1335" s="497">
        <v>0</v>
      </c>
      <c r="G1335" s="497">
        <v>0</v>
      </c>
      <c r="H1335" s="497">
        <v>1</v>
      </c>
      <c r="I1335" s="497">
        <v>330.19</v>
      </c>
      <c r="J1335" s="707">
        <v>0.2</v>
      </c>
      <c r="K1335" s="497">
        <v>66.040000000000006</v>
      </c>
      <c r="L1335" s="497">
        <v>15.91</v>
      </c>
      <c r="M1335" s="497">
        <v>81.95</v>
      </c>
    </row>
    <row r="1336" spans="1:13" x14ac:dyDescent="0.25">
      <c r="A1336" s="708" t="s">
        <v>909</v>
      </c>
      <c r="B1336" s="497"/>
      <c r="C1336" s="497"/>
      <c r="D1336" s="707"/>
      <c r="E1336" s="497"/>
      <c r="F1336" s="497">
        <v>0</v>
      </c>
      <c r="G1336" s="497">
        <v>0</v>
      </c>
      <c r="H1336" s="497">
        <v>1</v>
      </c>
      <c r="I1336" s="497">
        <v>1475.25</v>
      </c>
      <c r="J1336" s="707">
        <v>0.2</v>
      </c>
      <c r="K1336" s="497">
        <v>295.05</v>
      </c>
      <c r="L1336" s="497">
        <v>71.08</v>
      </c>
      <c r="M1336" s="497">
        <v>366.13</v>
      </c>
    </row>
    <row r="1337" spans="1:13" x14ac:dyDescent="0.25">
      <c r="A1337" s="708" t="s">
        <v>910</v>
      </c>
      <c r="B1337" s="497">
        <v>1</v>
      </c>
      <c r="C1337" s="497">
        <v>1450</v>
      </c>
      <c r="D1337" s="707">
        <v>0.3</v>
      </c>
      <c r="E1337" s="497">
        <v>435</v>
      </c>
      <c r="F1337" s="497">
        <v>104.79</v>
      </c>
      <c r="G1337" s="497">
        <v>539.79</v>
      </c>
      <c r="H1337" s="497">
        <v>1</v>
      </c>
      <c r="I1337" s="497">
        <v>1450</v>
      </c>
      <c r="J1337" s="707">
        <v>0.2</v>
      </c>
      <c r="K1337" s="497">
        <v>290</v>
      </c>
      <c r="L1337" s="497">
        <v>69.86</v>
      </c>
      <c r="M1337" s="497">
        <v>359.86</v>
      </c>
    </row>
    <row r="1338" spans="1:13" x14ac:dyDescent="0.25">
      <c r="A1338" s="708" t="s">
        <v>911</v>
      </c>
      <c r="B1338" s="497"/>
      <c r="C1338" s="497"/>
      <c r="D1338" s="707"/>
      <c r="E1338" s="497"/>
      <c r="F1338" s="497">
        <v>0</v>
      </c>
      <c r="G1338" s="497">
        <v>0</v>
      </c>
      <c r="H1338" s="497">
        <v>1</v>
      </c>
      <c r="I1338" s="497">
        <v>2150</v>
      </c>
      <c r="J1338" s="707">
        <v>0.2</v>
      </c>
      <c r="K1338" s="497">
        <v>430</v>
      </c>
      <c r="L1338" s="497">
        <v>103.59</v>
      </c>
      <c r="M1338" s="497">
        <v>533.59</v>
      </c>
    </row>
    <row r="1339" spans="1:13" x14ac:dyDescent="0.25">
      <c r="A1339" s="708" t="s">
        <v>912</v>
      </c>
      <c r="B1339" s="497"/>
      <c r="C1339" s="497"/>
      <c r="D1339" s="707"/>
      <c r="E1339" s="497"/>
      <c r="F1339" s="497">
        <v>0</v>
      </c>
      <c r="G1339" s="497">
        <v>0</v>
      </c>
      <c r="H1339" s="497">
        <v>1</v>
      </c>
      <c r="I1339" s="497">
        <v>116.96</v>
      </c>
      <c r="J1339" s="707">
        <v>0.2</v>
      </c>
      <c r="K1339" s="497">
        <v>23.39</v>
      </c>
      <c r="L1339" s="497">
        <v>5.63</v>
      </c>
      <c r="M1339" s="497">
        <v>29.02</v>
      </c>
    </row>
    <row r="1340" spans="1:13" x14ac:dyDescent="0.25">
      <c r="A1340" s="708" t="s">
        <v>913</v>
      </c>
      <c r="B1340" s="497"/>
      <c r="C1340" s="497"/>
      <c r="D1340" s="707"/>
      <c r="E1340" s="497"/>
      <c r="F1340" s="497">
        <v>0</v>
      </c>
      <c r="G1340" s="497">
        <v>0</v>
      </c>
      <c r="H1340" s="497">
        <v>1</v>
      </c>
      <c r="I1340" s="497">
        <v>970</v>
      </c>
      <c r="J1340" s="707">
        <v>0.2</v>
      </c>
      <c r="K1340" s="497">
        <v>194</v>
      </c>
      <c r="L1340" s="497">
        <v>46.73</v>
      </c>
      <c r="M1340" s="497">
        <v>240.73</v>
      </c>
    </row>
    <row r="1341" spans="1:13" x14ac:dyDescent="0.25">
      <c r="A1341" s="708" t="s">
        <v>913</v>
      </c>
      <c r="B1341" s="497"/>
      <c r="C1341" s="497"/>
      <c r="D1341" s="707"/>
      <c r="E1341" s="497"/>
      <c r="F1341" s="497">
        <v>0</v>
      </c>
      <c r="G1341" s="497">
        <v>0</v>
      </c>
      <c r="H1341" s="497">
        <v>1</v>
      </c>
      <c r="I1341" s="497">
        <v>970</v>
      </c>
      <c r="J1341" s="707">
        <v>0.2</v>
      </c>
      <c r="K1341" s="497">
        <v>194</v>
      </c>
      <c r="L1341" s="497">
        <v>46.73</v>
      </c>
      <c r="M1341" s="497">
        <v>240.73</v>
      </c>
    </row>
    <row r="1342" spans="1:13" x14ac:dyDescent="0.25">
      <c r="A1342" s="708" t="s">
        <v>914</v>
      </c>
      <c r="B1342" s="497"/>
      <c r="C1342" s="497"/>
      <c r="D1342" s="707"/>
      <c r="E1342" s="497"/>
      <c r="F1342" s="497">
        <v>0</v>
      </c>
      <c r="G1342" s="497">
        <v>0</v>
      </c>
      <c r="H1342" s="497">
        <v>1</v>
      </c>
      <c r="I1342" s="497">
        <v>1253</v>
      </c>
      <c r="J1342" s="707">
        <v>0.2</v>
      </c>
      <c r="K1342" s="497">
        <v>250.6</v>
      </c>
      <c r="L1342" s="497">
        <v>60.37</v>
      </c>
      <c r="M1342" s="497">
        <v>310.96999999999997</v>
      </c>
    </row>
    <row r="1343" spans="1:13" x14ac:dyDescent="0.25">
      <c r="A1343" s="708" t="s">
        <v>914</v>
      </c>
      <c r="B1343" s="497"/>
      <c r="C1343" s="497"/>
      <c r="D1343" s="707"/>
      <c r="E1343" s="497"/>
      <c r="F1343" s="497">
        <v>0</v>
      </c>
      <c r="G1343" s="497">
        <v>0</v>
      </c>
      <c r="H1343" s="497">
        <v>1</v>
      </c>
      <c r="I1343" s="497">
        <v>1253</v>
      </c>
      <c r="J1343" s="707">
        <v>0.2</v>
      </c>
      <c r="K1343" s="497">
        <v>250.6</v>
      </c>
      <c r="L1343" s="497">
        <v>60.37</v>
      </c>
      <c r="M1343" s="497">
        <v>310.96999999999997</v>
      </c>
    </row>
    <row r="1344" spans="1:13" x14ac:dyDescent="0.25">
      <c r="A1344" s="708" t="s">
        <v>914</v>
      </c>
      <c r="B1344" s="497"/>
      <c r="C1344" s="497"/>
      <c r="D1344" s="707"/>
      <c r="E1344" s="497"/>
      <c r="F1344" s="497">
        <v>0</v>
      </c>
      <c r="G1344" s="497">
        <v>0</v>
      </c>
      <c r="H1344" s="497">
        <v>1</v>
      </c>
      <c r="I1344" s="497">
        <v>1253</v>
      </c>
      <c r="J1344" s="707">
        <v>0.2</v>
      </c>
      <c r="K1344" s="497">
        <v>250.6</v>
      </c>
      <c r="L1344" s="497">
        <v>60.37</v>
      </c>
      <c r="M1344" s="497">
        <v>310.96999999999997</v>
      </c>
    </row>
    <row r="1345" spans="1:13" x14ac:dyDescent="0.25">
      <c r="A1345" s="708" t="s">
        <v>914</v>
      </c>
      <c r="B1345" s="497"/>
      <c r="C1345" s="497"/>
      <c r="D1345" s="707"/>
      <c r="E1345" s="497"/>
      <c r="F1345" s="497">
        <v>0</v>
      </c>
      <c r="G1345" s="497">
        <v>0</v>
      </c>
      <c r="H1345" s="497">
        <v>1</v>
      </c>
      <c r="I1345" s="497">
        <v>1253</v>
      </c>
      <c r="J1345" s="707">
        <v>0.2</v>
      </c>
      <c r="K1345" s="497">
        <v>250.6</v>
      </c>
      <c r="L1345" s="497">
        <v>60.37</v>
      </c>
      <c r="M1345" s="497">
        <v>310.96999999999997</v>
      </c>
    </row>
    <row r="1346" spans="1:13" x14ac:dyDescent="0.25">
      <c r="A1346" s="708" t="s">
        <v>915</v>
      </c>
      <c r="B1346" s="497">
        <v>0.5</v>
      </c>
      <c r="C1346" s="497">
        <v>163.03</v>
      </c>
      <c r="D1346" s="707">
        <v>0.3</v>
      </c>
      <c r="E1346" s="497">
        <v>48.91</v>
      </c>
      <c r="F1346" s="497">
        <v>11.78</v>
      </c>
      <c r="G1346" s="497">
        <v>60.69</v>
      </c>
      <c r="H1346" s="497">
        <v>0.5</v>
      </c>
      <c r="I1346" s="497">
        <v>224.18</v>
      </c>
      <c r="J1346" s="707">
        <v>0.2</v>
      </c>
      <c r="K1346" s="497">
        <v>44.84</v>
      </c>
      <c r="L1346" s="497">
        <v>10.8</v>
      </c>
      <c r="M1346" s="497">
        <v>55.64</v>
      </c>
    </row>
    <row r="1347" spans="1:13" x14ac:dyDescent="0.25">
      <c r="A1347" s="708" t="s">
        <v>916</v>
      </c>
      <c r="B1347" s="497"/>
      <c r="C1347" s="497"/>
      <c r="D1347" s="707"/>
      <c r="E1347" s="497"/>
      <c r="F1347" s="497">
        <v>0</v>
      </c>
      <c r="G1347" s="497">
        <v>0</v>
      </c>
      <c r="H1347" s="497">
        <v>1</v>
      </c>
      <c r="I1347" s="497">
        <v>1500</v>
      </c>
      <c r="J1347" s="707">
        <v>0.2</v>
      </c>
      <c r="K1347" s="497">
        <v>300</v>
      </c>
      <c r="L1347" s="497">
        <v>72.27</v>
      </c>
      <c r="M1347" s="497">
        <v>372.27</v>
      </c>
    </row>
    <row r="1349" spans="1:13" x14ac:dyDescent="0.25">
      <c r="A1349" s="484" t="s">
        <v>917</v>
      </c>
    </row>
  </sheetData>
  <autoFilter ref="A9:M1347" xr:uid="{372EA2B1-4AB0-45C1-B915-BB56310527C7}"/>
  <mergeCells count="4">
    <mergeCell ref="A2:M2"/>
    <mergeCell ref="A6:A7"/>
    <mergeCell ref="B6:G6"/>
    <mergeCell ref="H6:M6"/>
  </mergeCells>
  <pageMargins left="0.31496062992125984" right="0.31496062992125984" top="0.55118110236220474" bottom="0.35433070866141736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4F776-2CF7-42D2-A186-805795E7B74E}">
  <dimension ref="A2:O230"/>
  <sheetViews>
    <sheetView zoomScale="59" zoomScaleNormal="59" workbookViewId="0">
      <pane xSplit="1" topLeftCell="B1" activePane="topRight" state="frozen"/>
      <selection activeCell="F143" sqref="F143"/>
      <selection pane="topRight" activeCell="O11" sqref="O11:O12"/>
    </sheetView>
  </sheetViews>
  <sheetFormatPr defaultRowHeight="15.75" x14ac:dyDescent="0.25"/>
  <cols>
    <col min="1" max="1" width="38.85546875" style="380" customWidth="1"/>
    <col min="2" max="5" width="10.7109375" style="380" customWidth="1"/>
    <col min="6" max="6" width="13.140625" style="380" customWidth="1"/>
    <col min="7" max="7" width="10.7109375" style="380" customWidth="1"/>
    <col min="8" max="8" width="13.85546875" style="380" customWidth="1"/>
    <col min="9" max="9" width="12" style="380" customWidth="1"/>
    <col min="10" max="14" width="10.7109375" style="380" customWidth="1"/>
    <col min="15" max="15" width="17.5703125" style="380" customWidth="1"/>
    <col min="16" max="16384" width="9.140625" style="380"/>
  </cols>
  <sheetData>
    <row r="2" spans="1:14" s="379" customFormat="1" ht="48.75" customHeight="1" x14ac:dyDescent="0.25">
      <c r="A2" s="895" t="s">
        <v>15</v>
      </c>
      <c r="B2" s="895"/>
      <c r="C2" s="895"/>
      <c r="D2" s="895"/>
      <c r="E2" s="895"/>
      <c r="F2" s="895"/>
      <c r="G2" s="895"/>
      <c r="H2" s="895"/>
      <c r="I2" s="502"/>
      <c r="J2" s="502"/>
      <c r="K2" s="502"/>
      <c r="L2" s="502"/>
      <c r="M2" s="502"/>
      <c r="N2" s="502"/>
    </row>
    <row r="4" spans="1:14" x14ac:dyDescent="0.25">
      <c r="A4" s="380" t="s">
        <v>637</v>
      </c>
    </row>
    <row r="5" spans="1:14" ht="16.5" thickBot="1" x14ac:dyDescent="0.3"/>
    <row r="6" spans="1:14" ht="24" customHeight="1" x14ac:dyDescent="0.25">
      <c r="A6" s="896"/>
      <c r="B6" s="898" t="s">
        <v>2</v>
      </c>
      <c r="C6" s="899"/>
      <c r="D6" s="899"/>
      <c r="E6" s="899"/>
      <c r="F6" s="899"/>
      <c r="G6" s="899"/>
      <c r="H6" s="900"/>
      <c r="I6" s="902" t="s">
        <v>4</v>
      </c>
      <c r="J6" s="903"/>
      <c r="K6" s="903"/>
      <c r="L6" s="903"/>
      <c r="M6" s="903"/>
      <c r="N6" s="904"/>
    </row>
    <row r="7" spans="1:14" ht="118.5" customHeight="1" x14ac:dyDescent="0.25">
      <c r="A7" s="897"/>
      <c r="B7" s="7" t="s">
        <v>28</v>
      </c>
      <c r="C7" s="162" t="s">
        <v>944</v>
      </c>
      <c r="D7" s="8" t="s">
        <v>10</v>
      </c>
      <c r="E7" s="512" t="s">
        <v>6</v>
      </c>
      <c r="F7" s="8" t="s">
        <v>7</v>
      </c>
      <c r="G7" s="8" t="s">
        <v>8</v>
      </c>
      <c r="H7" s="9" t="s">
        <v>9</v>
      </c>
      <c r="I7" s="7" t="s">
        <v>28</v>
      </c>
      <c r="J7" s="8" t="s">
        <v>10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4" ht="13.5" customHeight="1" x14ac:dyDescent="0.25">
      <c r="A8" s="6"/>
      <c r="B8" s="7"/>
      <c r="C8" s="162"/>
      <c r="D8" s="8"/>
      <c r="E8" s="512"/>
      <c r="F8" s="8"/>
      <c r="G8" s="8"/>
      <c r="H8" s="9"/>
      <c r="I8" s="7"/>
      <c r="J8" s="8"/>
      <c r="K8" s="8"/>
      <c r="L8" s="8"/>
      <c r="M8" s="8"/>
      <c r="N8" s="9"/>
    </row>
    <row r="9" spans="1:14" s="379" customFormat="1" ht="26.25" customHeight="1" x14ac:dyDescent="0.25">
      <c r="A9" s="381" t="s">
        <v>0</v>
      </c>
      <c r="B9" s="515">
        <f>B10+B91+B120+B147+B186+B193</f>
        <v>48.972740443246067</v>
      </c>
      <c r="C9" s="515">
        <f t="shared" ref="C9:N9" si="0">C10+C91+C120+C147+C186+C193</f>
        <v>0</v>
      </c>
      <c r="D9" s="515">
        <f t="shared" si="0"/>
        <v>0</v>
      </c>
      <c r="E9" s="515">
        <f t="shared" si="0"/>
        <v>0</v>
      </c>
      <c r="F9" s="515">
        <f t="shared" si="0"/>
        <v>19565.426763276646</v>
      </c>
      <c r="G9" s="515">
        <f t="shared" si="0"/>
        <v>4713.3113072733449</v>
      </c>
      <c r="H9" s="515">
        <f t="shared" si="0"/>
        <v>24278.738070549989</v>
      </c>
      <c r="I9" s="515">
        <f t="shared" si="0"/>
        <v>109.00491717203107</v>
      </c>
      <c r="J9" s="515"/>
      <c r="K9" s="515"/>
      <c r="L9" s="515">
        <f t="shared" si="0"/>
        <v>21439.190395877911</v>
      </c>
      <c r="M9" s="515">
        <f t="shared" si="0"/>
        <v>5164.7009663669887</v>
      </c>
      <c r="N9" s="515">
        <f t="shared" si="0"/>
        <v>26603.891362244896</v>
      </c>
    </row>
    <row r="10" spans="1:14" s="379" customFormat="1" ht="48" customHeight="1" x14ac:dyDescent="0.25">
      <c r="A10" s="382" t="s">
        <v>638</v>
      </c>
      <c r="B10" s="383">
        <f>SUM(B11:B89)</f>
        <v>21.612697522892546</v>
      </c>
      <c r="C10" s="383"/>
      <c r="D10" s="383"/>
      <c r="E10" s="383"/>
      <c r="F10" s="383">
        <f t="shared" ref="F10:H10" si="1">SUM(F11:F89)</f>
        <v>10549.891915510376</v>
      </c>
      <c r="G10" s="383">
        <f t="shared" si="1"/>
        <v>2541.4689624464504</v>
      </c>
      <c r="H10" s="383">
        <f t="shared" si="1"/>
        <v>13091.360877956826</v>
      </c>
      <c r="I10" s="383">
        <f>SUM(I11:I89)</f>
        <v>43.414512309296448</v>
      </c>
      <c r="J10" s="383"/>
      <c r="K10" s="383"/>
      <c r="L10" s="383">
        <f>SUM(L11:L89)</f>
        <v>9169.3411401712074</v>
      </c>
      <c r="M10" s="383">
        <f t="shared" ref="M10:N10" si="2">SUM(M11:M89)</f>
        <v>2208.894280667243</v>
      </c>
      <c r="N10" s="383">
        <f t="shared" si="2"/>
        <v>11378.235420838446</v>
      </c>
    </row>
    <row r="11" spans="1:14" ht="45.75" customHeight="1" x14ac:dyDescent="0.25">
      <c r="A11" s="384" t="s">
        <v>14</v>
      </c>
      <c r="B11" s="385"/>
      <c r="C11" s="507"/>
      <c r="D11" s="386"/>
      <c r="E11" s="387"/>
      <c r="F11" s="386"/>
      <c r="G11" s="386"/>
      <c r="H11" s="388"/>
      <c r="I11" s="385"/>
      <c r="J11" s="386"/>
      <c r="K11" s="387"/>
      <c r="L11" s="386"/>
      <c r="M11" s="386"/>
      <c r="N11" s="388"/>
    </row>
    <row r="12" spans="1:14" ht="19.5" customHeight="1" x14ac:dyDescent="0.25">
      <c r="A12" s="389" t="s">
        <v>639</v>
      </c>
      <c r="B12" s="390">
        <f>C12/176</f>
        <v>9.0909090909090912E-2</v>
      </c>
      <c r="C12" s="507">
        <v>16</v>
      </c>
      <c r="D12" s="386">
        <v>1494</v>
      </c>
      <c r="E12" s="387">
        <v>47</v>
      </c>
      <c r="F12" s="386">
        <f>D12*B12*E12%</f>
        <v>63.834545454545449</v>
      </c>
      <c r="G12" s="386">
        <f>F12*24.09%</f>
        <v>15.377742</v>
      </c>
      <c r="H12" s="388">
        <f>F12+G12</f>
        <v>79.212287454545447</v>
      </c>
      <c r="I12" s="390">
        <v>1</v>
      </c>
      <c r="J12" s="386">
        <v>1494</v>
      </c>
      <c r="K12" s="387">
        <v>20</v>
      </c>
      <c r="L12" s="386">
        <f t="shared" ref="L12:L75" si="3">J12*I12*K12%</f>
        <v>298.8</v>
      </c>
      <c r="M12" s="386">
        <f>L12*24.09%</f>
        <v>71.980919999999998</v>
      </c>
      <c r="N12" s="388">
        <f>L12+M12</f>
        <v>370.78092000000004</v>
      </c>
    </row>
    <row r="13" spans="1:14" ht="23.25" customHeight="1" x14ac:dyDescent="0.25">
      <c r="A13" s="389" t="s">
        <v>640</v>
      </c>
      <c r="B13" s="390">
        <f>C13/176</f>
        <v>0.54545454545454541</v>
      </c>
      <c r="C13" s="507">
        <v>96</v>
      </c>
      <c r="D13" s="386">
        <v>1358</v>
      </c>
      <c r="E13" s="387">
        <v>47</v>
      </c>
      <c r="F13" s="386">
        <f>D13*B13*E13%+0.001</f>
        <v>348.14281818181809</v>
      </c>
      <c r="G13" s="386">
        <f t="shared" ref="G13:G49" si="4">F13*24.09%</f>
        <v>83.867604899999975</v>
      </c>
      <c r="H13" s="388">
        <f t="shared" ref="H13:H49" si="5">F13+G13</f>
        <v>432.01042308181809</v>
      </c>
      <c r="I13" s="390"/>
      <c r="J13" s="386"/>
      <c r="K13" s="387"/>
      <c r="L13" s="386"/>
      <c r="M13" s="386"/>
      <c r="N13" s="388"/>
    </row>
    <row r="14" spans="1:14" ht="47.25" customHeight="1" x14ac:dyDescent="0.25">
      <c r="A14" s="391" t="s">
        <v>641</v>
      </c>
      <c r="B14" s="390">
        <f>C14/176</f>
        <v>0.39772727272727271</v>
      </c>
      <c r="C14" s="507">
        <v>70</v>
      </c>
      <c r="D14" s="386">
        <v>1358</v>
      </c>
      <c r="E14" s="387">
        <v>47</v>
      </c>
      <c r="F14" s="386">
        <f>D14*B14*E14%</f>
        <v>253.85340909090908</v>
      </c>
      <c r="G14" s="386">
        <f t="shared" si="4"/>
        <v>61.153286250000001</v>
      </c>
      <c r="H14" s="388">
        <f t="shared" si="5"/>
        <v>315.00669534090906</v>
      </c>
      <c r="I14" s="390">
        <f>108.63/158</f>
        <v>0.68753164556962021</v>
      </c>
      <c r="J14" s="386">
        <v>1358</v>
      </c>
      <c r="K14" s="387">
        <v>20</v>
      </c>
      <c r="L14" s="386">
        <f t="shared" si="3"/>
        <v>186.73359493670887</v>
      </c>
      <c r="M14" s="386">
        <f t="shared" ref="M14:M25" si="6">L14*24.09%</f>
        <v>44.984123020253165</v>
      </c>
      <c r="N14" s="388">
        <f t="shared" ref="N14:N32" si="7">L14+M14</f>
        <v>231.71771795696202</v>
      </c>
    </row>
    <row r="15" spans="1:14" ht="50.25" customHeight="1" x14ac:dyDescent="0.25">
      <c r="A15" s="391" t="s">
        <v>641</v>
      </c>
      <c r="B15" s="390">
        <f>C15/176</f>
        <v>0.34659090909090912</v>
      </c>
      <c r="C15" s="507">
        <v>61</v>
      </c>
      <c r="D15" s="386">
        <v>1358</v>
      </c>
      <c r="E15" s="387">
        <v>47</v>
      </c>
      <c r="F15" s="386">
        <f>D15*B15*E15%</f>
        <v>221.21511363636364</v>
      </c>
      <c r="G15" s="386">
        <f t="shared" si="4"/>
        <v>53.290720874999998</v>
      </c>
      <c r="H15" s="388">
        <f t="shared" si="5"/>
        <v>274.50583451136362</v>
      </c>
      <c r="I15" s="390">
        <f>134/158</f>
        <v>0.84810126582278478</v>
      </c>
      <c r="J15" s="386">
        <v>1358</v>
      </c>
      <c r="K15" s="387">
        <v>20</v>
      </c>
      <c r="L15" s="386">
        <f t="shared" si="3"/>
        <v>230.34430379746837</v>
      </c>
      <c r="M15" s="386">
        <f t="shared" si="6"/>
        <v>55.489942784810133</v>
      </c>
      <c r="N15" s="388">
        <f t="shared" si="7"/>
        <v>285.83424658227852</v>
      </c>
    </row>
    <row r="16" spans="1:14" ht="56.25" customHeight="1" x14ac:dyDescent="0.25">
      <c r="A16" s="391" t="s">
        <v>641</v>
      </c>
      <c r="B16" s="390"/>
      <c r="C16" s="507"/>
      <c r="D16" s="386"/>
      <c r="E16" s="387"/>
      <c r="F16" s="386"/>
      <c r="G16" s="386"/>
      <c r="H16" s="388"/>
      <c r="I16" s="390">
        <f>80/158</f>
        <v>0.50632911392405067</v>
      </c>
      <c r="J16" s="386">
        <v>1358</v>
      </c>
      <c r="K16" s="387">
        <v>20</v>
      </c>
      <c r="L16" s="386">
        <f t="shared" si="3"/>
        <v>137.51898734177217</v>
      </c>
      <c r="M16" s="386">
        <f t="shared" si="6"/>
        <v>33.128324050632919</v>
      </c>
      <c r="N16" s="388">
        <f t="shared" si="7"/>
        <v>170.6473113924051</v>
      </c>
    </row>
    <row r="17" spans="1:14" ht="19.5" customHeight="1" x14ac:dyDescent="0.25">
      <c r="A17" s="392" t="s">
        <v>642</v>
      </c>
      <c r="B17" s="390">
        <f>C17/166.89</f>
        <v>0.47935766073461566</v>
      </c>
      <c r="C17" s="507">
        <v>80</v>
      </c>
      <c r="D17" s="386">
        <v>1230</v>
      </c>
      <c r="E17" s="387">
        <v>47</v>
      </c>
      <c r="F17" s="386">
        <f>D17*B17*E17%-0.01</f>
        <v>277.10666367068131</v>
      </c>
      <c r="G17" s="386">
        <f t="shared" si="4"/>
        <v>66.754995278267131</v>
      </c>
      <c r="H17" s="388">
        <f t="shared" si="5"/>
        <v>343.86165894894845</v>
      </c>
      <c r="I17" s="390">
        <f>103/166.893</f>
        <v>0.61716189414774736</v>
      </c>
      <c r="J17" s="386">
        <v>1230</v>
      </c>
      <c r="K17" s="387">
        <v>20</v>
      </c>
      <c r="L17" s="386">
        <f t="shared" si="3"/>
        <v>151.82182596034588</v>
      </c>
      <c r="M17" s="386">
        <f t="shared" si="6"/>
        <v>36.573877873847323</v>
      </c>
      <c r="N17" s="388">
        <f t="shared" si="7"/>
        <v>188.3957038341932</v>
      </c>
    </row>
    <row r="18" spans="1:14" ht="19.5" customHeight="1" x14ac:dyDescent="0.25">
      <c r="A18" s="392" t="s">
        <v>642</v>
      </c>
      <c r="B18" s="390">
        <f t="shared" ref="B18:B24" si="8">C18/166.89</f>
        <v>0.28761459644076937</v>
      </c>
      <c r="C18" s="507">
        <v>48</v>
      </c>
      <c r="D18" s="386">
        <v>1230</v>
      </c>
      <c r="E18" s="387">
        <v>47</v>
      </c>
      <c r="F18" s="386">
        <f>D18*B18*E18%</f>
        <v>166.26999820240874</v>
      </c>
      <c r="G18" s="386">
        <f t="shared" si="4"/>
        <v>40.054442566960269</v>
      </c>
      <c r="H18" s="388">
        <f t="shared" si="5"/>
        <v>206.32444076936901</v>
      </c>
      <c r="I18" s="390">
        <f>24/166.893</f>
        <v>0.1438047131994751</v>
      </c>
      <c r="J18" s="386">
        <v>1230</v>
      </c>
      <c r="K18" s="387">
        <v>20</v>
      </c>
      <c r="L18" s="386">
        <f t="shared" si="3"/>
        <v>35.375959447070876</v>
      </c>
      <c r="M18" s="386">
        <f t="shared" si="6"/>
        <v>8.5220686307993745</v>
      </c>
      <c r="N18" s="388">
        <f t="shared" si="7"/>
        <v>43.898028077870251</v>
      </c>
    </row>
    <row r="19" spans="1:14" ht="19.5" customHeight="1" x14ac:dyDescent="0.25">
      <c r="A19" s="392" t="s">
        <v>642</v>
      </c>
      <c r="B19" s="390">
        <f t="shared" si="8"/>
        <v>0.14380729822038468</v>
      </c>
      <c r="C19" s="507">
        <v>24</v>
      </c>
      <c r="D19" s="386">
        <v>1230</v>
      </c>
      <c r="E19" s="387">
        <v>47</v>
      </c>
      <c r="F19" s="386">
        <f>D19*B19*E19%</f>
        <v>83.134999101204372</v>
      </c>
      <c r="G19" s="386">
        <f t="shared" si="4"/>
        <v>20.027221283480134</v>
      </c>
      <c r="H19" s="388">
        <f t="shared" si="5"/>
        <v>103.1622203846845</v>
      </c>
      <c r="I19" s="390">
        <f>48/166.893</f>
        <v>0.28760942639895021</v>
      </c>
      <c r="J19" s="386">
        <v>1230</v>
      </c>
      <c r="K19" s="387">
        <v>20</v>
      </c>
      <c r="L19" s="386">
        <f t="shared" si="3"/>
        <v>70.751918894141753</v>
      </c>
      <c r="M19" s="386">
        <f t="shared" si="6"/>
        <v>17.044137261598749</v>
      </c>
      <c r="N19" s="388">
        <f t="shared" si="7"/>
        <v>87.796056155740501</v>
      </c>
    </row>
    <row r="20" spans="1:14" ht="19.5" customHeight="1" x14ac:dyDescent="0.25">
      <c r="A20" s="392" t="s">
        <v>642</v>
      </c>
      <c r="B20" s="390">
        <f t="shared" si="8"/>
        <v>0.19174306429384627</v>
      </c>
      <c r="C20" s="507">
        <v>32</v>
      </c>
      <c r="D20" s="386">
        <v>1230</v>
      </c>
      <c r="E20" s="387">
        <v>47</v>
      </c>
      <c r="F20" s="386">
        <f>D20*B20*E20%-0.003</f>
        <v>110.84366546827252</v>
      </c>
      <c r="G20" s="386">
        <f t="shared" si="4"/>
        <v>26.702239011306851</v>
      </c>
      <c r="H20" s="388">
        <f t="shared" si="5"/>
        <v>137.54590447957938</v>
      </c>
      <c r="I20" s="390">
        <f>80/166.893</f>
        <v>0.4793490439982504</v>
      </c>
      <c r="J20" s="386">
        <v>1230</v>
      </c>
      <c r="K20" s="387">
        <v>20</v>
      </c>
      <c r="L20" s="386">
        <f t="shared" si="3"/>
        <v>117.91986482356961</v>
      </c>
      <c r="M20" s="386">
        <f t="shared" si="6"/>
        <v>28.406895435997921</v>
      </c>
      <c r="N20" s="388">
        <f t="shared" si="7"/>
        <v>146.32676025956752</v>
      </c>
    </row>
    <row r="21" spans="1:14" ht="19.5" customHeight="1" x14ac:dyDescent="0.25">
      <c r="A21" s="392" t="s">
        <v>642</v>
      </c>
      <c r="B21" s="390">
        <f t="shared" si="8"/>
        <v>0.23967883036730783</v>
      </c>
      <c r="C21" s="507">
        <v>40</v>
      </c>
      <c r="D21" s="386">
        <v>1230</v>
      </c>
      <c r="E21" s="387">
        <v>47</v>
      </c>
      <c r="F21" s="386">
        <f t="shared" ref="F21" si="9">D21*B21*E21%</f>
        <v>138.55833183534065</v>
      </c>
      <c r="G21" s="386">
        <f t="shared" si="4"/>
        <v>33.378702139133566</v>
      </c>
      <c r="H21" s="388">
        <f t="shared" si="5"/>
        <v>171.93703397447422</v>
      </c>
      <c r="I21" s="390">
        <f>89/166.893</f>
        <v>0.53327581144805358</v>
      </c>
      <c r="J21" s="386">
        <v>1230</v>
      </c>
      <c r="K21" s="387">
        <v>20</v>
      </c>
      <c r="L21" s="386">
        <f t="shared" si="3"/>
        <v>131.18584961622119</v>
      </c>
      <c r="M21" s="386">
        <f t="shared" si="6"/>
        <v>31.602671172547684</v>
      </c>
      <c r="N21" s="388">
        <f t="shared" si="7"/>
        <v>162.78852078876886</v>
      </c>
    </row>
    <row r="22" spans="1:14" ht="19.5" customHeight="1" x14ac:dyDescent="0.25">
      <c r="A22" s="392" t="s">
        <v>642</v>
      </c>
      <c r="B22" s="390">
        <f t="shared" si="8"/>
        <v>0.19174306429384627</v>
      </c>
      <c r="C22" s="507">
        <v>32</v>
      </c>
      <c r="D22" s="386">
        <v>1230</v>
      </c>
      <c r="E22" s="387">
        <v>47</v>
      </c>
      <c r="F22" s="386">
        <f>D22*B22*E22%-0.003</f>
        <v>110.84366546827252</v>
      </c>
      <c r="G22" s="386">
        <f t="shared" si="4"/>
        <v>26.702239011306851</v>
      </c>
      <c r="H22" s="388">
        <f t="shared" si="5"/>
        <v>137.54590447957938</v>
      </c>
      <c r="I22" s="390">
        <f>121/166.893</f>
        <v>0.72501542904735372</v>
      </c>
      <c r="J22" s="386">
        <v>1230</v>
      </c>
      <c r="K22" s="387">
        <v>20</v>
      </c>
      <c r="L22" s="386">
        <f t="shared" si="3"/>
        <v>178.35379554564904</v>
      </c>
      <c r="M22" s="386">
        <f t="shared" si="6"/>
        <v>42.965429346946856</v>
      </c>
      <c r="N22" s="388">
        <f t="shared" si="7"/>
        <v>221.31922489259588</v>
      </c>
    </row>
    <row r="23" spans="1:14" ht="19.5" customHeight="1" x14ac:dyDescent="0.25">
      <c r="A23" s="392" t="s">
        <v>642</v>
      </c>
      <c r="B23" s="390">
        <f t="shared" si="8"/>
        <v>0.14380729822038468</v>
      </c>
      <c r="C23" s="507">
        <v>24</v>
      </c>
      <c r="D23" s="386">
        <v>1230</v>
      </c>
      <c r="E23" s="387">
        <v>47</v>
      </c>
      <c r="F23" s="386">
        <f>D23*B23*E23%</f>
        <v>83.134999101204372</v>
      </c>
      <c r="G23" s="386">
        <f t="shared" si="4"/>
        <v>20.027221283480134</v>
      </c>
      <c r="H23" s="388">
        <f t="shared" si="5"/>
        <v>103.1622203846845</v>
      </c>
      <c r="I23" s="390">
        <f>47.8/166.893</f>
        <v>0.28641105378895459</v>
      </c>
      <c r="J23" s="386">
        <v>1230</v>
      </c>
      <c r="K23" s="387">
        <v>20</v>
      </c>
      <c r="L23" s="386">
        <f t="shared" si="3"/>
        <v>70.457119232082832</v>
      </c>
      <c r="M23" s="386">
        <f t="shared" si="6"/>
        <v>16.973120023008754</v>
      </c>
      <c r="N23" s="388">
        <f t="shared" si="7"/>
        <v>87.430239255091578</v>
      </c>
    </row>
    <row r="24" spans="1:14" ht="19.5" customHeight="1" x14ac:dyDescent="0.25">
      <c r="A24" s="392" t="s">
        <v>642</v>
      </c>
      <c r="B24" s="390">
        <f t="shared" si="8"/>
        <v>0.13781532746120201</v>
      </c>
      <c r="C24" s="507">
        <v>23</v>
      </c>
      <c r="D24" s="386">
        <v>1230</v>
      </c>
      <c r="E24" s="387">
        <v>47</v>
      </c>
      <c r="F24" s="386">
        <f>D24*B24*E24%</f>
        <v>79.671040805320885</v>
      </c>
      <c r="G24" s="386">
        <f t="shared" si="4"/>
        <v>19.192753730001801</v>
      </c>
      <c r="H24" s="388">
        <f t="shared" si="5"/>
        <v>98.863794535322683</v>
      </c>
      <c r="I24" s="390">
        <f>80/166.893</f>
        <v>0.4793490439982504</v>
      </c>
      <c r="J24" s="386">
        <v>1230</v>
      </c>
      <c r="K24" s="387">
        <v>20</v>
      </c>
      <c r="L24" s="386">
        <f t="shared" si="3"/>
        <v>117.91986482356961</v>
      </c>
      <c r="M24" s="386">
        <f t="shared" si="6"/>
        <v>28.406895435997921</v>
      </c>
      <c r="N24" s="388">
        <f t="shared" si="7"/>
        <v>146.32676025956752</v>
      </c>
    </row>
    <row r="25" spans="1:14" ht="19.5" customHeight="1" x14ac:dyDescent="0.25">
      <c r="A25" s="392" t="s">
        <v>642</v>
      </c>
      <c r="B25" s="385"/>
      <c r="C25" s="507"/>
      <c r="D25" s="386"/>
      <c r="E25" s="387"/>
      <c r="F25" s="386"/>
      <c r="G25" s="386"/>
      <c r="H25" s="388"/>
      <c r="I25" s="390">
        <f>49/166.893</f>
        <v>0.29360128944892833</v>
      </c>
      <c r="J25" s="386">
        <v>1230</v>
      </c>
      <c r="K25" s="387">
        <v>20</v>
      </c>
      <c r="L25" s="386">
        <f t="shared" si="3"/>
        <v>72.225917204436371</v>
      </c>
      <c r="M25" s="386">
        <f t="shared" si="6"/>
        <v>17.399223454548721</v>
      </c>
      <c r="N25" s="388">
        <f t="shared" si="7"/>
        <v>89.625140658985089</v>
      </c>
    </row>
    <row r="26" spans="1:14" ht="19.5" customHeight="1" x14ac:dyDescent="0.25">
      <c r="A26" s="391" t="s">
        <v>643</v>
      </c>
      <c r="B26" s="390">
        <f>C26/166.89</f>
        <v>0.23967883036730783</v>
      </c>
      <c r="C26" s="507">
        <v>40</v>
      </c>
      <c r="D26" s="386">
        <v>1230</v>
      </c>
      <c r="E26" s="387">
        <v>47</v>
      </c>
      <c r="F26" s="386">
        <f>B26*D26*E26%</f>
        <v>138.55833183534065</v>
      </c>
      <c r="G26" s="386">
        <f>F26*24.09%</f>
        <v>33.378702139133566</v>
      </c>
      <c r="H26" s="388">
        <f t="shared" ref="H26:H32" si="10">F26+G26</f>
        <v>171.93703397447422</v>
      </c>
      <c r="I26" s="390">
        <f>41/166.893</f>
        <v>0.24566638504910332</v>
      </c>
      <c r="J26" s="386">
        <v>1230</v>
      </c>
      <c r="K26" s="387">
        <v>20</v>
      </c>
      <c r="L26" s="386">
        <f t="shared" si="3"/>
        <v>60.433930722079417</v>
      </c>
      <c r="M26" s="386">
        <f>L26*24.09%</f>
        <v>14.558533910948931</v>
      </c>
      <c r="N26" s="388">
        <f t="shared" si="7"/>
        <v>74.992464633028348</v>
      </c>
    </row>
    <row r="27" spans="1:14" ht="19.5" customHeight="1" x14ac:dyDescent="0.25">
      <c r="A27" s="391" t="s">
        <v>643</v>
      </c>
      <c r="B27" s="390">
        <f t="shared" ref="B27:B32" si="11">C27/166.89</f>
        <v>0.33555036251423098</v>
      </c>
      <c r="C27" s="507">
        <v>56</v>
      </c>
      <c r="D27" s="386">
        <v>1230</v>
      </c>
      <c r="E27" s="387">
        <v>47</v>
      </c>
      <c r="F27" s="386">
        <f t="shared" ref="F27:F34" si="12">B27*D27*E27%</f>
        <v>193.98166456947692</v>
      </c>
      <c r="G27" s="386">
        <f t="shared" ref="G27:G32" si="13">F27*24.09%</f>
        <v>46.730182994786993</v>
      </c>
      <c r="H27" s="388">
        <f t="shared" si="10"/>
        <v>240.71184756426391</v>
      </c>
      <c r="I27" s="390">
        <f>128/166.893</f>
        <v>0.76695847039720055</v>
      </c>
      <c r="J27" s="386">
        <v>1230</v>
      </c>
      <c r="K27" s="387">
        <v>20</v>
      </c>
      <c r="L27" s="386">
        <f t="shared" si="3"/>
        <v>188.67178371771135</v>
      </c>
      <c r="M27" s="386">
        <f t="shared" ref="M27:M32" si="14">L27*24.09%</f>
        <v>45.451032697596666</v>
      </c>
      <c r="N27" s="388">
        <f t="shared" si="7"/>
        <v>234.12281641530802</v>
      </c>
    </row>
    <row r="28" spans="1:14" ht="19.5" customHeight="1" x14ac:dyDescent="0.25">
      <c r="A28" s="391" t="s">
        <v>643</v>
      </c>
      <c r="B28" s="390">
        <f t="shared" si="11"/>
        <v>0.19174306429384627</v>
      </c>
      <c r="C28" s="507">
        <v>32</v>
      </c>
      <c r="D28" s="386">
        <v>1230</v>
      </c>
      <c r="E28" s="387">
        <v>47</v>
      </c>
      <c r="F28" s="386">
        <f>B28*D28*E28%-0.005</f>
        <v>110.84166546827252</v>
      </c>
      <c r="G28" s="386">
        <f t="shared" si="13"/>
        <v>26.701757211306852</v>
      </c>
      <c r="H28" s="388">
        <f t="shared" si="10"/>
        <v>137.54342267957938</v>
      </c>
      <c r="I28" s="390">
        <f>87.605/166.83</f>
        <v>0.52511538692081761</v>
      </c>
      <c r="J28" s="386">
        <v>1230</v>
      </c>
      <c r="K28" s="387">
        <v>20</v>
      </c>
      <c r="L28" s="386">
        <f t="shared" si="3"/>
        <v>129.17838518252114</v>
      </c>
      <c r="M28" s="386">
        <f t="shared" si="14"/>
        <v>31.119072990469341</v>
      </c>
      <c r="N28" s="388">
        <f t="shared" si="7"/>
        <v>160.29745817299047</v>
      </c>
    </row>
    <row r="29" spans="1:14" ht="19.5" customHeight="1" x14ac:dyDescent="0.25">
      <c r="A29" s="391" t="s">
        <v>643</v>
      </c>
      <c r="B29" s="390">
        <f t="shared" si="11"/>
        <v>0.34154233327341366</v>
      </c>
      <c r="C29" s="507">
        <v>57</v>
      </c>
      <c r="D29" s="386">
        <v>1230</v>
      </c>
      <c r="E29" s="387">
        <v>47</v>
      </c>
      <c r="F29" s="386">
        <f>B29*D29*E29%-0.005</f>
        <v>197.44062286536041</v>
      </c>
      <c r="G29" s="386">
        <f t="shared" si="13"/>
        <v>47.563446048265327</v>
      </c>
      <c r="H29" s="388">
        <f t="shared" si="10"/>
        <v>245.00406891362573</v>
      </c>
      <c r="I29" s="390">
        <f>126/166.893</f>
        <v>0.75497474429724432</v>
      </c>
      <c r="J29" s="386">
        <v>1230</v>
      </c>
      <c r="K29" s="387">
        <v>20</v>
      </c>
      <c r="L29" s="386">
        <f t="shared" si="3"/>
        <v>185.72378709712211</v>
      </c>
      <c r="M29" s="386">
        <f t="shared" si="14"/>
        <v>44.740860311696714</v>
      </c>
      <c r="N29" s="388">
        <f t="shared" si="7"/>
        <v>230.46464740881882</v>
      </c>
    </row>
    <row r="30" spans="1:14" ht="19.5" customHeight="1" x14ac:dyDescent="0.25">
      <c r="A30" s="391" t="s">
        <v>643</v>
      </c>
      <c r="B30" s="390">
        <f t="shared" si="11"/>
        <v>0.18575109353466357</v>
      </c>
      <c r="C30" s="507">
        <v>31</v>
      </c>
      <c r="D30" s="386">
        <v>1230</v>
      </c>
      <c r="E30" s="387">
        <v>47</v>
      </c>
      <c r="F30" s="386">
        <f t="shared" si="12"/>
        <v>107.382707172389</v>
      </c>
      <c r="G30" s="386">
        <f t="shared" si="13"/>
        <v>25.868494157828511</v>
      </c>
      <c r="H30" s="388">
        <f t="shared" si="10"/>
        <v>133.25120133021753</v>
      </c>
      <c r="I30" s="390">
        <f>48/166.893</f>
        <v>0.28760942639895021</v>
      </c>
      <c r="J30" s="386">
        <v>1230</v>
      </c>
      <c r="K30" s="387">
        <v>20</v>
      </c>
      <c r="L30" s="386">
        <f t="shared" si="3"/>
        <v>70.751918894141753</v>
      </c>
      <c r="M30" s="386">
        <f t="shared" si="14"/>
        <v>17.044137261598749</v>
      </c>
      <c r="N30" s="388">
        <f t="shared" si="7"/>
        <v>87.796056155740501</v>
      </c>
    </row>
    <row r="31" spans="1:14" ht="19.5" customHeight="1" x14ac:dyDescent="0.25">
      <c r="A31" s="391" t="s">
        <v>643</v>
      </c>
      <c r="B31" s="390">
        <f t="shared" si="11"/>
        <v>0.19174306429384627</v>
      </c>
      <c r="C31" s="507">
        <v>32</v>
      </c>
      <c r="D31" s="386">
        <v>1230</v>
      </c>
      <c r="E31" s="387">
        <v>47</v>
      </c>
      <c r="F31" s="386">
        <f>B31*D31*E31%-0.005</f>
        <v>110.84166546827252</v>
      </c>
      <c r="G31" s="386">
        <f t="shared" si="13"/>
        <v>26.701757211306852</v>
      </c>
      <c r="H31" s="388">
        <f t="shared" si="10"/>
        <v>137.54342267957938</v>
      </c>
      <c r="I31" s="390">
        <f>107/166.893</f>
        <v>0.64112934634765983</v>
      </c>
      <c r="J31" s="386">
        <v>1230</v>
      </c>
      <c r="K31" s="387">
        <v>20</v>
      </c>
      <c r="L31" s="386">
        <f t="shared" si="3"/>
        <v>157.71781920152432</v>
      </c>
      <c r="M31" s="386">
        <f t="shared" si="14"/>
        <v>37.994222645647213</v>
      </c>
      <c r="N31" s="388">
        <f t="shared" si="7"/>
        <v>195.71204184717152</v>
      </c>
    </row>
    <row r="32" spans="1:14" ht="19.5" customHeight="1" x14ac:dyDescent="0.25">
      <c r="A32" s="391" t="s">
        <v>643</v>
      </c>
      <c r="B32" s="390">
        <f t="shared" si="11"/>
        <v>0.13781532746120201</v>
      </c>
      <c r="C32" s="507">
        <v>23</v>
      </c>
      <c r="D32" s="386">
        <v>1230</v>
      </c>
      <c r="E32" s="387">
        <v>47</v>
      </c>
      <c r="F32" s="386">
        <f t="shared" si="12"/>
        <v>79.671040805320885</v>
      </c>
      <c r="G32" s="386">
        <f t="shared" si="13"/>
        <v>19.192753730001801</v>
      </c>
      <c r="H32" s="388">
        <f t="shared" si="10"/>
        <v>98.863794535322683</v>
      </c>
      <c r="I32" s="390">
        <f>24/166.893</f>
        <v>0.1438047131994751</v>
      </c>
      <c r="J32" s="386">
        <v>1230</v>
      </c>
      <c r="K32" s="387">
        <v>20</v>
      </c>
      <c r="L32" s="386">
        <f t="shared" si="3"/>
        <v>35.375959447070876</v>
      </c>
      <c r="M32" s="386">
        <f t="shared" si="14"/>
        <v>8.5220686307993745</v>
      </c>
      <c r="N32" s="388">
        <f t="shared" si="7"/>
        <v>43.898028077870251</v>
      </c>
    </row>
    <row r="33" spans="1:14" ht="19.5" customHeight="1" x14ac:dyDescent="0.25">
      <c r="A33" s="393"/>
      <c r="B33" s="390"/>
      <c r="F33" s="386"/>
      <c r="I33" s="390"/>
      <c r="K33" s="387"/>
      <c r="L33" s="386"/>
    </row>
    <row r="34" spans="1:14" ht="37.5" customHeight="1" x14ac:dyDescent="0.25">
      <c r="A34" s="393" t="s">
        <v>644</v>
      </c>
      <c r="B34" s="390">
        <f>C34/176</f>
        <v>0.54545454545454541</v>
      </c>
      <c r="C34" s="507">
        <v>96</v>
      </c>
      <c r="D34" s="386">
        <v>1868</v>
      </c>
      <c r="E34" s="387">
        <v>47</v>
      </c>
      <c r="F34" s="386">
        <f t="shared" si="12"/>
        <v>478.88727272727266</v>
      </c>
      <c r="G34" s="386">
        <f t="shared" si="4"/>
        <v>115.36394399999999</v>
      </c>
      <c r="H34" s="388">
        <f t="shared" si="5"/>
        <v>594.25121672727266</v>
      </c>
      <c r="I34" s="390">
        <f>87/158</f>
        <v>0.55063291139240511</v>
      </c>
      <c r="J34" s="386">
        <v>1868</v>
      </c>
      <c r="K34" s="387">
        <v>20</v>
      </c>
      <c r="L34" s="386">
        <f t="shared" si="3"/>
        <v>205.71645569620256</v>
      </c>
      <c r="M34" s="386">
        <f t="shared" ref="M34:M39" si="15">L34*24.09%</f>
        <v>49.557094177215198</v>
      </c>
      <c r="N34" s="388">
        <f t="shared" ref="N34:N39" si="16">L34+M34</f>
        <v>255.27354987341775</v>
      </c>
    </row>
    <row r="35" spans="1:14" ht="37.5" customHeight="1" x14ac:dyDescent="0.25">
      <c r="A35" s="393" t="s">
        <v>644</v>
      </c>
      <c r="B35" s="390">
        <f>C35/176/2</f>
        <v>9.0909090909090912E-2</v>
      </c>
      <c r="C35" s="507">
        <v>32</v>
      </c>
      <c r="D35" s="386">
        <v>1796</v>
      </c>
      <c r="E35" s="387">
        <v>47</v>
      </c>
      <c r="F35" s="386">
        <f>B35*D35*E35%</f>
        <v>76.738181818181815</v>
      </c>
      <c r="G35" s="386">
        <f t="shared" si="4"/>
        <v>18.486228000000001</v>
      </c>
      <c r="H35" s="388">
        <f t="shared" si="5"/>
        <v>95.224409818181812</v>
      </c>
      <c r="I35" s="390">
        <f>79/158</f>
        <v>0.5</v>
      </c>
      <c r="J35" s="386">
        <v>1796</v>
      </c>
      <c r="K35" s="387">
        <v>20</v>
      </c>
      <c r="L35" s="386">
        <f t="shared" si="3"/>
        <v>179.60000000000002</v>
      </c>
      <c r="M35" s="386">
        <f t="shared" si="15"/>
        <v>43.265640000000005</v>
      </c>
      <c r="N35" s="388">
        <f t="shared" si="16"/>
        <v>222.86564000000004</v>
      </c>
    </row>
    <row r="36" spans="1:14" ht="37.5" customHeight="1" x14ac:dyDescent="0.25">
      <c r="A36" s="393" t="s">
        <v>644</v>
      </c>
      <c r="B36" s="390">
        <f>C36/176/4</f>
        <v>6.8181818181818177E-2</v>
      </c>
      <c r="C36" s="507">
        <v>48</v>
      </c>
      <c r="D36" s="386">
        <v>1796</v>
      </c>
      <c r="E36" s="387">
        <v>47</v>
      </c>
      <c r="F36" s="386">
        <f t="shared" ref="F36:F53" si="17">B36*D36*E36%</f>
        <v>57.55363636363635</v>
      </c>
      <c r="G36" s="386">
        <f t="shared" si="4"/>
        <v>13.864670999999998</v>
      </c>
      <c r="H36" s="388">
        <f t="shared" si="5"/>
        <v>71.418307363636345</v>
      </c>
      <c r="I36" s="390">
        <f>23/158</f>
        <v>0.14556962025316456</v>
      </c>
      <c r="J36" s="386">
        <v>1796</v>
      </c>
      <c r="K36" s="387">
        <v>20</v>
      </c>
      <c r="L36" s="386">
        <f t="shared" si="3"/>
        <v>52.288607594936707</v>
      </c>
      <c r="M36" s="386">
        <f t="shared" si="15"/>
        <v>12.596325569620253</v>
      </c>
      <c r="N36" s="388">
        <f t="shared" si="16"/>
        <v>64.884933164556955</v>
      </c>
    </row>
    <row r="37" spans="1:14" ht="37.5" customHeight="1" x14ac:dyDescent="0.25">
      <c r="A37" s="393" t="s">
        <v>644</v>
      </c>
      <c r="B37" s="390">
        <f>C37/176/2</f>
        <v>0.13636363636363635</v>
      </c>
      <c r="C37" s="507">
        <v>48</v>
      </c>
      <c r="D37" s="386">
        <v>1796</v>
      </c>
      <c r="E37" s="387">
        <v>47</v>
      </c>
      <c r="F37" s="386">
        <f t="shared" si="17"/>
        <v>115.1072727272727</v>
      </c>
      <c r="G37" s="386">
        <f t="shared" si="4"/>
        <v>27.729341999999995</v>
      </c>
      <c r="H37" s="388">
        <f t="shared" si="5"/>
        <v>142.83661472727269</v>
      </c>
      <c r="I37" s="390">
        <f>56/158</f>
        <v>0.35443037974683544</v>
      </c>
      <c r="J37" s="386">
        <v>1796</v>
      </c>
      <c r="K37" s="387">
        <v>20</v>
      </c>
      <c r="L37" s="386">
        <f t="shared" si="3"/>
        <v>127.3113924050633</v>
      </c>
      <c r="M37" s="386">
        <f t="shared" si="15"/>
        <v>30.66931443037975</v>
      </c>
      <c r="N37" s="388">
        <f t="shared" si="16"/>
        <v>157.98070683544304</v>
      </c>
    </row>
    <row r="38" spans="1:14" ht="37.5" customHeight="1" x14ac:dyDescent="0.25">
      <c r="A38" s="393" t="s">
        <v>644</v>
      </c>
      <c r="B38" s="390"/>
      <c r="C38" s="507"/>
      <c r="D38" s="386"/>
      <c r="E38" s="387"/>
      <c r="F38" s="386"/>
      <c r="G38" s="386"/>
      <c r="H38" s="388"/>
      <c r="I38" s="390">
        <f>80/158</f>
        <v>0.50632911392405067</v>
      </c>
      <c r="J38" s="386">
        <v>1796</v>
      </c>
      <c r="K38" s="387">
        <v>20</v>
      </c>
      <c r="L38" s="386">
        <f t="shared" si="3"/>
        <v>181.87341772151899</v>
      </c>
      <c r="M38" s="386">
        <f t="shared" si="15"/>
        <v>43.813306329113928</v>
      </c>
      <c r="N38" s="388">
        <f t="shared" si="16"/>
        <v>225.6867240506329</v>
      </c>
    </row>
    <row r="39" spans="1:14" ht="37.5" customHeight="1" x14ac:dyDescent="0.25">
      <c r="A39" s="393" t="s">
        <v>644</v>
      </c>
      <c r="B39" s="390"/>
      <c r="C39" s="507"/>
      <c r="D39" s="386"/>
      <c r="E39" s="387"/>
      <c r="F39" s="386"/>
      <c r="G39" s="386"/>
      <c r="H39" s="388"/>
      <c r="I39" s="390">
        <f>62/158</f>
        <v>0.39240506329113922</v>
      </c>
      <c r="J39" s="386">
        <v>1796</v>
      </c>
      <c r="K39" s="387">
        <v>20</v>
      </c>
      <c r="L39" s="386">
        <f t="shared" si="3"/>
        <v>140.95189873417721</v>
      </c>
      <c r="M39" s="386">
        <f t="shared" si="15"/>
        <v>33.955312405063289</v>
      </c>
      <c r="N39" s="388">
        <f t="shared" si="16"/>
        <v>174.9072111392405</v>
      </c>
    </row>
    <row r="40" spans="1:14" ht="19.5" customHeight="1" x14ac:dyDescent="0.25">
      <c r="A40" s="393"/>
      <c r="B40" s="390"/>
      <c r="C40" s="507"/>
      <c r="D40" s="386"/>
      <c r="E40" s="387"/>
      <c r="F40" s="386"/>
      <c r="G40" s="386"/>
      <c r="H40" s="388"/>
      <c r="I40" s="390"/>
      <c r="J40" s="386"/>
      <c r="K40" s="387"/>
      <c r="L40" s="386"/>
      <c r="M40" s="386"/>
      <c r="N40" s="388"/>
    </row>
    <row r="41" spans="1:14" ht="35.25" customHeight="1" x14ac:dyDescent="0.25">
      <c r="A41" s="393" t="s">
        <v>645</v>
      </c>
      <c r="B41" s="390">
        <f>C41/166.83</f>
        <v>0.14385901816220104</v>
      </c>
      <c r="C41" s="507">
        <v>24</v>
      </c>
      <c r="D41" s="386">
        <v>1763</v>
      </c>
      <c r="E41" s="387">
        <v>47</v>
      </c>
      <c r="F41" s="386">
        <f t="shared" si="17"/>
        <v>119.20302103938138</v>
      </c>
      <c r="G41" s="386">
        <f t="shared" si="4"/>
        <v>28.716007768386977</v>
      </c>
      <c r="H41" s="388">
        <f t="shared" si="5"/>
        <v>147.91902880776837</v>
      </c>
      <c r="I41" s="390">
        <f>128/166.83</f>
        <v>0.76724809686507223</v>
      </c>
      <c r="J41" s="386">
        <v>1763</v>
      </c>
      <c r="K41" s="387">
        <v>20</v>
      </c>
      <c r="L41" s="386">
        <f t="shared" si="3"/>
        <v>270.53167895462451</v>
      </c>
      <c r="M41" s="386">
        <f t="shared" ref="M41:M49" si="18">L41*24.09%</f>
        <v>65.171081460169049</v>
      </c>
      <c r="N41" s="388">
        <f t="shared" ref="N41:N49" si="19">L41+M41</f>
        <v>335.70276041479354</v>
      </c>
    </row>
    <row r="42" spans="1:14" ht="35.25" customHeight="1" x14ac:dyDescent="0.25">
      <c r="A42" s="393" t="s">
        <v>645</v>
      </c>
      <c r="B42" s="390">
        <f t="shared" ref="B42:B49" si="20">C42/166.83</f>
        <v>9.5906012108134028E-2</v>
      </c>
      <c r="C42" s="507">
        <v>16</v>
      </c>
      <c r="D42" s="386">
        <v>1763</v>
      </c>
      <c r="E42" s="387">
        <v>47</v>
      </c>
      <c r="F42" s="386">
        <f t="shared" si="17"/>
        <v>79.468680692920941</v>
      </c>
      <c r="G42" s="386">
        <f t="shared" si="4"/>
        <v>19.144005178924655</v>
      </c>
      <c r="H42" s="388">
        <f t="shared" si="5"/>
        <v>98.612685871845599</v>
      </c>
      <c r="I42" s="390">
        <f>48/166.83</f>
        <v>0.28771803632440207</v>
      </c>
      <c r="J42" s="386">
        <v>1763</v>
      </c>
      <c r="K42" s="387">
        <v>20</v>
      </c>
      <c r="L42" s="386">
        <f t="shared" si="3"/>
        <v>101.44937960798417</v>
      </c>
      <c r="M42" s="386">
        <f t="shared" si="18"/>
        <v>24.439155547563388</v>
      </c>
      <c r="N42" s="388">
        <f t="shared" si="19"/>
        <v>125.88853515554756</v>
      </c>
    </row>
    <row r="43" spans="1:14" ht="35.25" customHeight="1" x14ac:dyDescent="0.25">
      <c r="A43" s="393" t="s">
        <v>645</v>
      </c>
      <c r="B43" s="390">
        <f t="shared" si="20"/>
        <v>0.13786489240544267</v>
      </c>
      <c r="C43" s="507">
        <v>23</v>
      </c>
      <c r="D43" s="386">
        <v>1763</v>
      </c>
      <c r="E43" s="387">
        <v>47</v>
      </c>
      <c r="F43" s="386">
        <f t="shared" si="17"/>
        <v>114.23622849607384</v>
      </c>
      <c r="G43" s="386">
        <f t="shared" si="4"/>
        <v>27.519507444704189</v>
      </c>
      <c r="H43" s="388">
        <f t="shared" si="5"/>
        <v>141.75573594077804</v>
      </c>
      <c r="I43" s="390">
        <f>49/166.83</f>
        <v>0.29371216208116047</v>
      </c>
      <c r="J43" s="386">
        <v>1763</v>
      </c>
      <c r="K43" s="387">
        <v>20</v>
      </c>
      <c r="L43" s="386">
        <f t="shared" si="3"/>
        <v>103.56290834981719</v>
      </c>
      <c r="M43" s="386">
        <f t="shared" si="18"/>
        <v>24.94830462147096</v>
      </c>
      <c r="N43" s="388">
        <f t="shared" si="19"/>
        <v>128.51121297128816</v>
      </c>
    </row>
    <row r="44" spans="1:14" ht="35.25" customHeight="1" x14ac:dyDescent="0.25">
      <c r="A44" s="393" t="s">
        <v>645</v>
      </c>
      <c r="B44" s="390">
        <f t="shared" si="20"/>
        <v>0.14385901816220104</v>
      </c>
      <c r="C44" s="507">
        <v>24</v>
      </c>
      <c r="D44" s="386">
        <v>1763</v>
      </c>
      <c r="E44" s="387">
        <v>47</v>
      </c>
      <c r="F44" s="386">
        <f t="shared" si="17"/>
        <v>119.20302103938138</v>
      </c>
      <c r="G44" s="386">
        <f t="shared" si="4"/>
        <v>28.716007768386977</v>
      </c>
      <c r="H44" s="388">
        <f t="shared" si="5"/>
        <v>147.91902880776837</v>
      </c>
      <c r="I44" s="390">
        <f>32/166.83</f>
        <v>0.19181202421626806</v>
      </c>
      <c r="J44" s="386">
        <v>1763</v>
      </c>
      <c r="K44" s="387">
        <v>20</v>
      </c>
      <c r="L44" s="386">
        <f t="shared" si="3"/>
        <v>67.632919738656128</v>
      </c>
      <c r="M44" s="386">
        <f t="shared" si="18"/>
        <v>16.292770365042262</v>
      </c>
      <c r="N44" s="388">
        <f t="shared" si="19"/>
        <v>83.925690103698386</v>
      </c>
    </row>
    <row r="45" spans="1:14" ht="35.25" customHeight="1" x14ac:dyDescent="0.25">
      <c r="A45" s="393" t="s">
        <v>645</v>
      </c>
      <c r="B45" s="390">
        <f t="shared" si="20"/>
        <v>0.28771803632440207</v>
      </c>
      <c r="C45" s="507">
        <v>48</v>
      </c>
      <c r="D45" s="386">
        <v>1763</v>
      </c>
      <c r="E45" s="387">
        <v>47</v>
      </c>
      <c r="F45" s="386">
        <f t="shared" si="17"/>
        <v>238.40604207876277</v>
      </c>
      <c r="G45" s="386">
        <f t="shared" si="4"/>
        <v>57.432015536773953</v>
      </c>
      <c r="H45" s="388">
        <f t="shared" si="5"/>
        <v>295.83805761553674</v>
      </c>
      <c r="I45" s="390">
        <f>48/166.83</f>
        <v>0.28771803632440207</v>
      </c>
      <c r="J45" s="386">
        <v>1763</v>
      </c>
      <c r="K45" s="387">
        <v>20</v>
      </c>
      <c r="L45" s="386">
        <f t="shared" si="3"/>
        <v>101.44937960798417</v>
      </c>
      <c r="M45" s="386">
        <f t="shared" si="18"/>
        <v>24.439155547563388</v>
      </c>
      <c r="N45" s="388">
        <f t="shared" si="19"/>
        <v>125.88853515554756</v>
      </c>
    </row>
    <row r="46" spans="1:14" ht="35.25" customHeight="1" x14ac:dyDescent="0.25">
      <c r="A46" s="393" t="s">
        <v>645</v>
      </c>
      <c r="B46" s="390">
        <f t="shared" si="20"/>
        <v>0.33567104237846906</v>
      </c>
      <c r="C46" s="507">
        <v>56</v>
      </c>
      <c r="D46" s="386">
        <v>1763</v>
      </c>
      <c r="E46" s="387">
        <v>47</v>
      </c>
      <c r="F46" s="386">
        <f t="shared" si="17"/>
        <v>278.14038242522327</v>
      </c>
      <c r="G46" s="386">
        <f t="shared" si="4"/>
        <v>67.004018126236289</v>
      </c>
      <c r="H46" s="388">
        <f t="shared" si="5"/>
        <v>345.14440055145957</v>
      </c>
      <c r="I46" s="390">
        <f>88/166.83</f>
        <v>0.52748306659473709</v>
      </c>
      <c r="J46" s="386">
        <v>1763</v>
      </c>
      <c r="K46" s="387">
        <v>20</v>
      </c>
      <c r="L46" s="386">
        <f t="shared" si="3"/>
        <v>185.9905292813043</v>
      </c>
      <c r="M46" s="386">
        <f t="shared" si="18"/>
        <v>44.805118503866204</v>
      </c>
      <c r="N46" s="388">
        <f t="shared" si="19"/>
        <v>230.7956477851705</v>
      </c>
    </row>
    <row r="47" spans="1:14" ht="35.25" customHeight="1" x14ac:dyDescent="0.25">
      <c r="A47" s="393" t="s">
        <v>645</v>
      </c>
      <c r="B47" s="390">
        <f t="shared" si="20"/>
        <v>9.5906012108134028E-2</v>
      </c>
      <c r="C47" s="507">
        <v>16</v>
      </c>
      <c r="D47" s="386">
        <v>1763</v>
      </c>
      <c r="E47" s="387">
        <v>47</v>
      </c>
      <c r="F47" s="386">
        <f t="shared" si="17"/>
        <v>79.468680692920941</v>
      </c>
      <c r="G47" s="386">
        <f t="shared" si="4"/>
        <v>19.144005178924655</v>
      </c>
      <c r="H47" s="388">
        <f t="shared" si="5"/>
        <v>98.612685871845599</v>
      </c>
      <c r="I47" s="390">
        <f>56/166.83</f>
        <v>0.33567104237846906</v>
      </c>
      <c r="J47" s="386">
        <v>1763</v>
      </c>
      <c r="K47" s="387">
        <v>20</v>
      </c>
      <c r="L47" s="386">
        <f t="shared" si="3"/>
        <v>118.35760954264821</v>
      </c>
      <c r="M47" s="386">
        <f t="shared" si="18"/>
        <v>28.512348138823953</v>
      </c>
      <c r="N47" s="388">
        <f t="shared" si="19"/>
        <v>146.86995768147216</v>
      </c>
    </row>
    <row r="48" spans="1:14" ht="35.25" customHeight="1" x14ac:dyDescent="0.25">
      <c r="A48" s="393" t="s">
        <v>645</v>
      </c>
      <c r="B48" s="390">
        <f t="shared" si="20"/>
        <v>0.4795300605406701</v>
      </c>
      <c r="C48" s="507">
        <v>80</v>
      </c>
      <c r="D48" s="386">
        <v>1763</v>
      </c>
      <c r="E48" s="387">
        <v>47</v>
      </c>
      <c r="F48" s="386">
        <f t="shared" si="17"/>
        <v>397.34340346460465</v>
      </c>
      <c r="G48" s="386">
        <f t="shared" si="4"/>
        <v>95.720025894623262</v>
      </c>
      <c r="H48" s="388">
        <f t="shared" si="5"/>
        <v>493.06342935922794</v>
      </c>
      <c r="I48" s="390">
        <f>88/166.83</f>
        <v>0.52748306659473709</v>
      </c>
      <c r="J48" s="386">
        <v>1763</v>
      </c>
      <c r="K48" s="387">
        <v>20</v>
      </c>
      <c r="L48" s="386">
        <f t="shared" si="3"/>
        <v>185.9905292813043</v>
      </c>
      <c r="M48" s="386">
        <f t="shared" si="18"/>
        <v>44.805118503866204</v>
      </c>
      <c r="N48" s="388">
        <f t="shared" si="19"/>
        <v>230.7956477851705</v>
      </c>
    </row>
    <row r="49" spans="1:14" ht="35.25" customHeight="1" x14ac:dyDescent="0.25">
      <c r="A49" s="393" t="s">
        <v>645</v>
      </c>
      <c r="B49" s="390">
        <f t="shared" si="20"/>
        <v>9.5906012108134028E-2</v>
      </c>
      <c r="C49" s="507">
        <v>16</v>
      </c>
      <c r="D49" s="386">
        <v>1763</v>
      </c>
      <c r="E49" s="387">
        <v>47</v>
      </c>
      <c r="F49" s="386">
        <f t="shared" si="17"/>
        <v>79.468680692920941</v>
      </c>
      <c r="G49" s="386">
        <f t="shared" si="4"/>
        <v>19.144005178924655</v>
      </c>
      <c r="H49" s="388">
        <f t="shared" si="5"/>
        <v>98.612685871845599</v>
      </c>
      <c r="I49" s="390">
        <f>57/166.83</f>
        <v>0.34166516813522746</v>
      </c>
      <c r="J49" s="386">
        <v>1763</v>
      </c>
      <c r="K49" s="387">
        <v>20</v>
      </c>
      <c r="L49" s="386">
        <f t="shared" si="3"/>
        <v>120.47113828448121</v>
      </c>
      <c r="M49" s="386">
        <f t="shared" si="18"/>
        <v>29.021497212731525</v>
      </c>
      <c r="N49" s="388">
        <f t="shared" si="19"/>
        <v>149.49263549721275</v>
      </c>
    </row>
    <row r="50" spans="1:14" ht="19.5" customHeight="1" x14ac:dyDescent="0.25">
      <c r="A50" s="393"/>
      <c r="B50" s="385"/>
      <c r="C50" s="507"/>
      <c r="D50" s="386"/>
      <c r="E50" s="387"/>
      <c r="F50" s="386"/>
      <c r="G50" s="386"/>
      <c r="H50" s="388"/>
      <c r="I50" s="385"/>
      <c r="J50" s="386"/>
      <c r="K50" s="387">
        <v>20</v>
      </c>
      <c r="L50" s="386">
        <f t="shared" si="3"/>
        <v>0</v>
      </c>
      <c r="M50" s="386"/>
      <c r="N50" s="388"/>
    </row>
    <row r="51" spans="1:14" ht="88.5" customHeight="1" x14ac:dyDescent="0.25">
      <c r="A51" s="384" t="s">
        <v>12</v>
      </c>
      <c r="B51" s="385"/>
      <c r="C51" s="507"/>
      <c r="D51" s="386"/>
      <c r="E51" s="387"/>
      <c r="F51" s="386"/>
      <c r="G51" s="386"/>
      <c r="H51" s="388"/>
      <c r="I51" s="385"/>
      <c r="J51" s="386"/>
      <c r="K51" s="387">
        <v>20</v>
      </c>
      <c r="L51" s="386">
        <f t="shared" si="3"/>
        <v>0</v>
      </c>
      <c r="M51" s="386"/>
      <c r="N51" s="388"/>
    </row>
    <row r="52" spans="1:14" x14ac:dyDescent="0.25">
      <c r="A52" s="389" t="s">
        <v>96</v>
      </c>
      <c r="B52" s="390">
        <f>C52/176</f>
        <v>0.54545454545454541</v>
      </c>
      <c r="C52" s="507">
        <v>96</v>
      </c>
      <c r="D52" s="386">
        <v>1188</v>
      </c>
      <c r="E52" s="387">
        <v>47</v>
      </c>
      <c r="F52" s="386">
        <f t="shared" si="17"/>
        <v>304.56</v>
      </c>
      <c r="G52" s="386">
        <f t="shared" ref="G52:G66" si="21">F52*24.09%</f>
        <v>73.368504000000001</v>
      </c>
      <c r="H52" s="388">
        <f t="shared" ref="H52:H66" si="22">F52+G52</f>
        <v>377.92850399999998</v>
      </c>
      <c r="I52" s="390">
        <v>1</v>
      </c>
      <c r="J52" s="386">
        <v>1188</v>
      </c>
      <c r="K52" s="387">
        <v>20</v>
      </c>
      <c r="L52" s="386">
        <f t="shared" si="3"/>
        <v>237.60000000000002</v>
      </c>
      <c r="M52" s="386">
        <f t="shared" ref="M52:M66" si="23">L52*24.09%</f>
        <v>57.237840000000006</v>
      </c>
      <c r="N52" s="388">
        <f t="shared" ref="N52:N66" si="24">L52+M52</f>
        <v>294.83784000000003</v>
      </c>
    </row>
    <row r="53" spans="1:14" x14ac:dyDescent="0.25">
      <c r="A53" s="389" t="s">
        <v>209</v>
      </c>
      <c r="B53" s="390">
        <f>C53/166.74</f>
        <v>0.2878733357322778</v>
      </c>
      <c r="C53" s="507">
        <v>48</v>
      </c>
      <c r="D53" s="386">
        <v>772</v>
      </c>
      <c r="E53" s="387">
        <v>47</v>
      </c>
      <c r="F53" s="386">
        <f t="shared" si="17"/>
        <v>104.45196113709967</v>
      </c>
      <c r="G53" s="386">
        <f t="shared" si="21"/>
        <v>25.162477437927311</v>
      </c>
      <c r="H53" s="388">
        <f t="shared" si="22"/>
        <v>129.61443857502698</v>
      </c>
      <c r="I53" s="390">
        <f>72/166.739</f>
        <v>0.43181259333449284</v>
      </c>
      <c r="J53" s="386">
        <v>772</v>
      </c>
      <c r="K53" s="387">
        <v>20</v>
      </c>
      <c r="L53" s="386">
        <f t="shared" si="3"/>
        <v>66.6718644108457</v>
      </c>
      <c r="M53" s="386">
        <f t="shared" si="23"/>
        <v>16.06125213657273</v>
      </c>
      <c r="N53" s="388">
        <f t="shared" si="24"/>
        <v>82.733116547418433</v>
      </c>
    </row>
    <row r="54" spans="1:14" x14ac:dyDescent="0.25">
      <c r="A54" s="389" t="s">
        <v>209</v>
      </c>
      <c r="B54" s="390">
        <f t="shared" ref="B54:B57" si="25">C54/166.74</f>
        <v>0.66570708888089236</v>
      </c>
      <c r="C54" s="507">
        <v>111</v>
      </c>
      <c r="D54" s="386">
        <v>812</v>
      </c>
      <c r="E54" s="387">
        <v>47</v>
      </c>
      <c r="F54" s="386">
        <f>B54*D54*E54%+0.008</f>
        <v>254.06845340050376</v>
      </c>
      <c r="G54" s="386">
        <f t="shared" si="21"/>
        <v>61.205090424181357</v>
      </c>
      <c r="H54" s="388">
        <f t="shared" si="22"/>
        <v>315.27354382468513</v>
      </c>
      <c r="I54" s="390">
        <f>168/166.735</f>
        <v>1.0075868893753561</v>
      </c>
      <c r="J54" s="386">
        <v>812</v>
      </c>
      <c r="K54" s="387">
        <v>20</v>
      </c>
      <c r="L54" s="386">
        <f t="shared" si="3"/>
        <v>163.63211083455784</v>
      </c>
      <c r="M54" s="386">
        <f t="shared" si="23"/>
        <v>39.418975500044986</v>
      </c>
      <c r="N54" s="388">
        <f t="shared" si="24"/>
        <v>203.05108633460281</v>
      </c>
    </row>
    <row r="55" spans="1:14" x14ac:dyDescent="0.25">
      <c r="A55" s="389" t="s">
        <v>209</v>
      </c>
      <c r="B55" s="390">
        <f t="shared" si="25"/>
        <v>0.5757466714645556</v>
      </c>
      <c r="C55" s="507">
        <v>96</v>
      </c>
      <c r="D55" s="386">
        <v>772</v>
      </c>
      <c r="E55" s="387">
        <v>47</v>
      </c>
      <c r="F55" s="386">
        <f>B55*D55*E55%+0.008</f>
        <v>208.91192227419936</v>
      </c>
      <c r="G55" s="386">
        <f t="shared" si="21"/>
        <v>50.326882075854627</v>
      </c>
      <c r="H55" s="388">
        <f t="shared" si="22"/>
        <v>259.23880435005401</v>
      </c>
      <c r="I55" s="390">
        <f>168/166.739</f>
        <v>1.0075627177804833</v>
      </c>
      <c r="J55" s="386">
        <v>772</v>
      </c>
      <c r="K55" s="387">
        <v>20</v>
      </c>
      <c r="L55" s="386">
        <f t="shared" si="3"/>
        <v>155.56768362530664</v>
      </c>
      <c r="M55" s="386">
        <f t="shared" si="23"/>
        <v>37.476254985336368</v>
      </c>
      <c r="N55" s="388">
        <f t="shared" si="24"/>
        <v>193.04393861064301</v>
      </c>
    </row>
    <row r="56" spans="1:14" x14ac:dyDescent="0.25">
      <c r="A56" s="389" t="s">
        <v>209</v>
      </c>
      <c r="B56" s="390">
        <f t="shared" si="25"/>
        <v>0.43181000359841665</v>
      </c>
      <c r="C56" s="507">
        <v>72</v>
      </c>
      <c r="D56" s="386">
        <v>812</v>
      </c>
      <c r="E56" s="387">
        <v>47</v>
      </c>
      <c r="F56" s="386">
        <f t="shared" ref="F56:F59" si="26">B56*D56*E56%</f>
        <v>164.79596977329973</v>
      </c>
      <c r="G56" s="386">
        <f t="shared" si="21"/>
        <v>39.699349118387907</v>
      </c>
      <c r="H56" s="388">
        <f t="shared" si="22"/>
        <v>204.49531889168765</v>
      </c>
      <c r="I56" s="390">
        <f>96/166.735</f>
        <v>0.57576393678591775</v>
      </c>
      <c r="J56" s="386">
        <v>812</v>
      </c>
      <c r="K56" s="387">
        <v>20</v>
      </c>
      <c r="L56" s="386">
        <f t="shared" si="3"/>
        <v>93.504063334033049</v>
      </c>
      <c r="M56" s="386">
        <f t="shared" si="23"/>
        <v>22.525128857168561</v>
      </c>
      <c r="N56" s="388">
        <f t="shared" si="24"/>
        <v>116.02919219120162</v>
      </c>
    </row>
    <row r="57" spans="1:14" x14ac:dyDescent="0.25">
      <c r="A57" s="389" t="s">
        <v>209</v>
      </c>
      <c r="B57" s="390">
        <f t="shared" si="25"/>
        <v>0.43181000359841665</v>
      </c>
      <c r="C57" s="507">
        <v>72</v>
      </c>
      <c r="D57" s="386">
        <v>772</v>
      </c>
      <c r="E57" s="387">
        <v>47</v>
      </c>
      <c r="F57" s="386">
        <f t="shared" si="26"/>
        <v>156.67794170564949</v>
      </c>
      <c r="G57" s="386">
        <f t="shared" si="21"/>
        <v>37.743716156890962</v>
      </c>
      <c r="H57" s="388">
        <f t="shared" si="22"/>
        <v>194.42165786254046</v>
      </c>
      <c r="I57" s="390">
        <f>48/166.735</f>
        <v>0.28788196839295888</v>
      </c>
      <c r="J57" s="386">
        <v>812</v>
      </c>
      <c r="K57" s="387">
        <v>20</v>
      </c>
      <c r="L57" s="386">
        <f t="shared" si="3"/>
        <v>46.752031667016524</v>
      </c>
      <c r="M57" s="386">
        <f t="shared" si="23"/>
        <v>11.26256442858428</v>
      </c>
      <c r="N57" s="388">
        <f t="shared" si="24"/>
        <v>58.014596095600808</v>
      </c>
    </row>
    <row r="58" spans="1:14" x14ac:dyDescent="0.25">
      <c r="A58" s="389" t="s">
        <v>209</v>
      </c>
      <c r="B58" s="390"/>
      <c r="C58" s="507"/>
      <c r="D58" s="386"/>
      <c r="E58" s="387"/>
      <c r="F58" s="386"/>
      <c r="G58" s="386"/>
      <c r="H58" s="388"/>
      <c r="I58" s="390">
        <f t="shared" ref="I58" si="27">168/166.739</f>
        <v>1.0075627177804833</v>
      </c>
      <c r="J58" s="386">
        <v>772</v>
      </c>
      <c r="K58" s="387">
        <v>20</v>
      </c>
      <c r="L58" s="386">
        <f t="shared" si="3"/>
        <v>155.56768362530664</v>
      </c>
      <c r="M58" s="386">
        <f t="shared" si="23"/>
        <v>37.476254985336368</v>
      </c>
      <c r="N58" s="388">
        <f t="shared" si="24"/>
        <v>193.04393861064301</v>
      </c>
    </row>
    <row r="59" spans="1:14" ht="33" customHeight="1" x14ac:dyDescent="0.25">
      <c r="A59" s="389" t="s">
        <v>646</v>
      </c>
      <c r="B59" s="390">
        <f>C59/176</f>
        <v>0.54545454545454541</v>
      </c>
      <c r="C59" s="507">
        <v>96</v>
      </c>
      <c r="D59" s="386">
        <v>1360</v>
      </c>
      <c r="E59" s="387">
        <v>47</v>
      </c>
      <c r="F59" s="386">
        <f t="shared" si="26"/>
        <v>348.65454545454543</v>
      </c>
      <c r="G59" s="386">
        <f t="shared" si="21"/>
        <v>83.99087999999999</v>
      </c>
      <c r="H59" s="388">
        <f t="shared" si="22"/>
        <v>432.64542545454543</v>
      </c>
      <c r="I59" s="390">
        <f>127/158</f>
        <v>0.80379746835443033</v>
      </c>
      <c r="J59" s="386">
        <v>1220</v>
      </c>
      <c r="K59" s="387">
        <v>20</v>
      </c>
      <c r="L59" s="386">
        <f t="shared" si="3"/>
        <v>196.12658227848101</v>
      </c>
      <c r="M59" s="386">
        <f t="shared" si="23"/>
        <v>47.246893670886074</v>
      </c>
      <c r="N59" s="388">
        <f t="shared" si="24"/>
        <v>243.37347594936708</v>
      </c>
    </row>
    <row r="60" spans="1:14" ht="33" customHeight="1" x14ac:dyDescent="0.25">
      <c r="A60" s="389" t="s">
        <v>646</v>
      </c>
      <c r="B60" s="390"/>
      <c r="C60" s="507"/>
      <c r="D60" s="386"/>
      <c r="E60" s="387"/>
      <c r="F60" s="386"/>
      <c r="G60" s="386"/>
      <c r="H60" s="388"/>
      <c r="I60" s="390">
        <f>31/158</f>
        <v>0.19620253164556961</v>
      </c>
      <c r="J60" s="386">
        <v>1220</v>
      </c>
      <c r="K60" s="387">
        <v>20</v>
      </c>
      <c r="L60" s="386">
        <f t="shared" si="3"/>
        <v>47.87341772151899</v>
      </c>
      <c r="M60" s="386">
        <f t="shared" si="23"/>
        <v>11.532706329113925</v>
      </c>
      <c r="N60" s="388">
        <f t="shared" si="24"/>
        <v>59.406124050632911</v>
      </c>
    </row>
    <row r="61" spans="1:14" ht="33" customHeight="1" x14ac:dyDescent="0.25">
      <c r="A61" s="389" t="s">
        <v>647</v>
      </c>
      <c r="B61" s="390">
        <f>C61/166.82</f>
        <v>0.43160292530871602</v>
      </c>
      <c r="C61" s="507">
        <v>72</v>
      </c>
      <c r="D61" s="386">
        <v>1101</v>
      </c>
      <c r="E61" s="387">
        <v>47</v>
      </c>
      <c r="F61" s="386">
        <f>B61*D61*E61%</f>
        <v>223.34156575950126</v>
      </c>
      <c r="G61" s="386">
        <f t="shared" si="21"/>
        <v>53.802983191463852</v>
      </c>
      <c r="H61" s="388">
        <f t="shared" si="22"/>
        <v>277.14454895096515</v>
      </c>
      <c r="I61" s="390">
        <f>144/166.818</f>
        <v>0.86321619969068075</v>
      </c>
      <c r="J61" s="386">
        <v>1101</v>
      </c>
      <c r="K61" s="387">
        <v>20</v>
      </c>
      <c r="L61" s="386">
        <f t="shared" si="3"/>
        <v>190.08020717188791</v>
      </c>
      <c r="M61" s="386">
        <f t="shared" si="23"/>
        <v>45.790321907707799</v>
      </c>
      <c r="N61" s="388">
        <f t="shared" si="24"/>
        <v>235.87052907959571</v>
      </c>
    </row>
    <row r="62" spans="1:14" ht="36" customHeight="1" x14ac:dyDescent="0.25">
      <c r="A62" s="389" t="s">
        <v>647</v>
      </c>
      <c r="B62" s="390">
        <f t="shared" ref="B62:B64" si="28">C62/166.82</f>
        <v>0.43160292530871602</v>
      </c>
      <c r="C62" s="507">
        <v>72</v>
      </c>
      <c r="D62" s="386">
        <v>1101</v>
      </c>
      <c r="E62" s="387">
        <v>47</v>
      </c>
      <c r="F62" s="386">
        <f t="shared" ref="F62:F65" si="29">B62*D62*E62%</f>
        <v>223.34156575950126</v>
      </c>
      <c r="G62" s="386">
        <f t="shared" si="21"/>
        <v>53.802983191463852</v>
      </c>
      <c r="H62" s="388">
        <f t="shared" si="22"/>
        <v>277.14454895096515</v>
      </c>
      <c r="I62" s="390">
        <f>48/166.818</f>
        <v>0.28773873323022692</v>
      </c>
      <c r="J62" s="386">
        <v>1101</v>
      </c>
      <c r="K62" s="387">
        <v>20</v>
      </c>
      <c r="L62" s="386">
        <f t="shared" si="3"/>
        <v>63.360069057295973</v>
      </c>
      <c r="M62" s="386">
        <f t="shared" si="23"/>
        <v>15.263440635902601</v>
      </c>
      <c r="N62" s="388">
        <f t="shared" si="24"/>
        <v>78.623509693198571</v>
      </c>
    </row>
    <row r="63" spans="1:14" ht="36" customHeight="1" x14ac:dyDescent="0.25">
      <c r="A63" s="389" t="s">
        <v>647</v>
      </c>
      <c r="B63" s="390">
        <f>C63/166.83</f>
        <v>0.57543607264880414</v>
      </c>
      <c r="C63" s="507">
        <v>96</v>
      </c>
      <c r="D63" s="386">
        <v>1061</v>
      </c>
      <c r="E63" s="387">
        <v>47</v>
      </c>
      <c r="F63" s="386">
        <f t="shared" si="29"/>
        <v>286.95270634777916</v>
      </c>
      <c r="G63" s="386">
        <f t="shared" si="21"/>
        <v>69.126906959180005</v>
      </c>
      <c r="H63" s="388">
        <f t="shared" si="22"/>
        <v>356.07961330695917</v>
      </c>
      <c r="I63" s="390">
        <f>192/166.824</f>
        <v>1.1509135376204862</v>
      </c>
      <c r="J63" s="386">
        <v>1061</v>
      </c>
      <c r="K63" s="387">
        <v>20</v>
      </c>
      <c r="L63" s="386">
        <f t="shared" si="3"/>
        <v>244.22385268306718</v>
      </c>
      <c r="M63" s="386">
        <f t="shared" si="23"/>
        <v>58.833526111350885</v>
      </c>
      <c r="N63" s="388">
        <f t="shared" si="24"/>
        <v>303.05737879441807</v>
      </c>
    </row>
    <row r="64" spans="1:14" ht="36" customHeight="1" x14ac:dyDescent="0.25">
      <c r="A64" s="389" t="s">
        <v>647</v>
      </c>
      <c r="B64" s="390">
        <f t="shared" si="28"/>
        <v>0.28773528353914402</v>
      </c>
      <c r="C64" s="507">
        <v>48</v>
      </c>
      <c r="D64" s="386">
        <v>1101</v>
      </c>
      <c r="E64" s="387">
        <v>47</v>
      </c>
      <c r="F64" s="386">
        <f>B64*D64*E64%+0.005</f>
        <v>148.89937717300086</v>
      </c>
      <c r="G64" s="386">
        <f t="shared" si="21"/>
        <v>35.869859960975909</v>
      </c>
      <c r="H64" s="388">
        <f t="shared" si="22"/>
        <v>184.76923713397676</v>
      </c>
      <c r="I64" s="390">
        <f>127/166.818</f>
        <v>0.76130873167164215</v>
      </c>
      <c r="J64" s="386">
        <v>1101</v>
      </c>
      <c r="K64" s="387">
        <v>20</v>
      </c>
      <c r="L64" s="386">
        <f t="shared" si="3"/>
        <v>167.6401827140956</v>
      </c>
      <c r="M64" s="386">
        <f t="shared" si="23"/>
        <v>40.384520015825629</v>
      </c>
      <c r="N64" s="388">
        <f t="shared" si="24"/>
        <v>208.02470272992122</v>
      </c>
    </row>
    <row r="65" spans="1:14" ht="36" customHeight="1" x14ac:dyDescent="0.25">
      <c r="A65" s="389" t="s">
        <v>647</v>
      </c>
      <c r="B65" s="390">
        <f>C65/166.83</f>
        <v>0.37762992267577772</v>
      </c>
      <c r="C65" s="507">
        <v>63</v>
      </c>
      <c r="D65" s="386">
        <v>1021</v>
      </c>
      <c r="E65" s="387">
        <v>47</v>
      </c>
      <c r="F65" s="386">
        <f t="shared" si="29"/>
        <v>181.21327099442544</v>
      </c>
      <c r="G65" s="386">
        <f t="shared" si="21"/>
        <v>43.654276982557093</v>
      </c>
      <c r="H65" s="388">
        <f t="shared" si="22"/>
        <v>224.86754797698254</v>
      </c>
      <c r="I65" s="390">
        <f>113/166.83</f>
        <v>0.67733621051369652</v>
      </c>
      <c r="J65" s="386">
        <v>1021</v>
      </c>
      <c r="K65" s="387">
        <v>20</v>
      </c>
      <c r="L65" s="386">
        <f t="shared" si="3"/>
        <v>138.31205418689683</v>
      </c>
      <c r="M65" s="386">
        <f t="shared" si="23"/>
        <v>33.319373853623446</v>
      </c>
      <c r="N65" s="388">
        <f t="shared" si="24"/>
        <v>171.63142804052029</v>
      </c>
    </row>
    <row r="66" spans="1:14" ht="36" customHeight="1" x14ac:dyDescent="0.25">
      <c r="A66" s="389" t="s">
        <v>647</v>
      </c>
      <c r="B66" s="390">
        <f>C66/166.83</f>
        <v>0.28771803632440207</v>
      </c>
      <c r="C66" s="507">
        <v>48</v>
      </c>
      <c r="D66" s="386">
        <v>1101</v>
      </c>
      <c r="E66" s="387">
        <v>47</v>
      </c>
      <c r="F66" s="386">
        <f>B66*D66*E66%+0.01</f>
        <v>148.89545225678833</v>
      </c>
      <c r="G66" s="386">
        <f t="shared" si="21"/>
        <v>35.868914448660313</v>
      </c>
      <c r="H66" s="388">
        <f t="shared" si="22"/>
        <v>184.76436670544865</v>
      </c>
      <c r="I66" s="390">
        <f>96/166.818</f>
        <v>0.57547746646045383</v>
      </c>
      <c r="J66" s="386">
        <v>1101</v>
      </c>
      <c r="K66" s="387">
        <v>20</v>
      </c>
      <c r="L66" s="386">
        <f t="shared" si="3"/>
        <v>126.72013811459195</v>
      </c>
      <c r="M66" s="386">
        <f t="shared" si="23"/>
        <v>30.526881271805202</v>
      </c>
      <c r="N66" s="388">
        <f t="shared" si="24"/>
        <v>157.24701938639714</v>
      </c>
    </row>
    <row r="67" spans="1:14" ht="18.75" customHeight="1" x14ac:dyDescent="0.25">
      <c r="A67" s="389"/>
      <c r="B67" s="390"/>
      <c r="C67" s="507"/>
      <c r="D67" s="386"/>
      <c r="E67" s="387"/>
      <c r="F67" s="386"/>
      <c r="G67" s="386"/>
      <c r="H67" s="388"/>
      <c r="I67" s="390"/>
      <c r="J67" s="386"/>
      <c r="K67" s="387"/>
      <c r="L67" s="386"/>
      <c r="M67" s="386"/>
      <c r="N67" s="388"/>
    </row>
    <row r="68" spans="1:14" ht="95.25" customHeight="1" x14ac:dyDescent="0.25">
      <c r="A68" s="384" t="s">
        <v>13</v>
      </c>
      <c r="B68" s="390"/>
      <c r="C68" s="507"/>
      <c r="D68" s="386"/>
      <c r="E68" s="387"/>
      <c r="F68" s="386"/>
      <c r="G68" s="386"/>
      <c r="H68" s="388"/>
      <c r="I68" s="390"/>
      <c r="J68" s="386"/>
      <c r="K68" s="387"/>
      <c r="L68" s="386"/>
      <c r="M68" s="386"/>
      <c r="N68" s="388"/>
    </row>
    <row r="69" spans="1:14" x14ac:dyDescent="0.25">
      <c r="A69" s="391" t="s">
        <v>648</v>
      </c>
      <c r="B69" s="390">
        <f>C69/162.24</f>
        <v>0.1972386587771203</v>
      </c>
      <c r="C69" s="507">
        <v>32</v>
      </c>
      <c r="D69" s="386">
        <v>623</v>
      </c>
      <c r="E69" s="387">
        <v>47</v>
      </c>
      <c r="F69" s="386">
        <f>B69*D69*E69%</f>
        <v>57.753451676528591</v>
      </c>
      <c r="G69" s="386">
        <f t="shared" ref="G69:G74" si="30">F69*24.09%</f>
        <v>13.912806508875738</v>
      </c>
      <c r="H69" s="388">
        <f t="shared" ref="H69:H74" si="31">F69+G69</f>
        <v>71.666258185404331</v>
      </c>
      <c r="I69" s="390">
        <f>151/166.83</f>
        <v>0.90511298927051487</v>
      </c>
      <c r="J69" s="386">
        <v>623</v>
      </c>
      <c r="K69" s="387">
        <v>20</v>
      </c>
      <c r="L69" s="386">
        <f t="shared" si="3"/>
        <v>112.77707846310616</v>
      </c>
      <c r="M69" s="386">
        <f t="shared" ref="M69:M75" si="32">L69*24.09%</f>
        <v>27.167998201762277</v>
      </c>
      <c r="N69" s="388">
        <f t="shared" ref="N69:N75" si="33">L69+M69</f>
        <v>139.94507666486845</v>
      </c>
    </row>
    <row r="70" spans="1:14" x14ac:dyDescent="0.25">
      <c r="A70" s="391" t="s">
        <v>648</v>
      </c>
      <c r="B70" s="390">
        <f>C70/166.67</f>
        <v>0.57598848023039539</v>
      </c>
      <c r="C70" s="507">
        <v>96</v>
      </c>
      <c r="D70" s="386">
        <v>640</v>
      </c>
      <c r="E70" s="387">
        <v>47</v>
      </c>
      <c r="F70" s="386">
        <f t="shared" ref="F70:F74" si="34">B70*D70*E70%</f>
        <v>173.25733485330295</v>
      </c>
      <c r="G70" s="386">
        <f t="shared" si="30"/>
        <v>41.737691966160682</v>
      </c>
      <c r="H70" s="388">
        <f t="shared" si="31"/>
        <v>214.99502681946365</v>
      </c>
      <c r="I70" s="390">
        <f>48/159.375</f>
        <v>0.30117647058823527</v>
      </c>
      <c r="J70" s="386">
        <v>612</v>
      </c>
      <c r="K70" s="387">
        <v>20</v>
      </c>
      <c r="L70" s="386">
        <f t="shared" si="3"/>
        <v>36.863999999999997</v>
      </c>
      <c r="M70" s="386">
        <f t="shared" si="32"/>
        <v>8.8805376000000003</v>
      </c>
      <c r="N70" s="388">
        <f t="shared" si="33"/>
        <v>45.744537600000001</v>
      </c>
    </row>
    <row r="71" spans="1:14" x14ac:dyDescent="0.25">
      <c r="A71" s="391" t="s">
        <v>648</v>
      </c>
      <c r="B71" s="390">
        <f>C71/166.76</f>
        <v>0.57567762053250182</v>
      </c>
      <c r="C71" s="507">
        <v>96</v>
      </c>
      <c r="D71" s="386">
        <v>612</v>
      </c>
      <c r="E71" s="387">
        <v>47</v>
      </c>
      <c r="F71" s="386">
        <f t="shared" si="34"/>
        <v>165.58791076996883</v>
      </c>
      <c r="G71" s="386">
        <f t="shared" si="30"/>
        <v>39.890127704485494</v>
      </c>
      <c r="H71" s="388">
        <f t="shared" si="31"/>
        <v>205.47803847445431</v>
      </c>
      <c r="I71" s="390">
        <f>168/166.757</f>
        <v>1.0074539599537051</v>
      </c>
      <c r="J71" s="386">
        <v>612</v>
      </c>
      <c r="K71" s="387">
        <v>20</v>
      </c>
      <c r="L71" s="386">
        <f t="shared" si="3"/>
        <v>123.31236469833351</v>
      </c>
      <c r="M71" s="386">
        <f t="shared" si="32"/>
        <v>29.705948655828543</v>
      </c>
      <c r="N71" s="388">
        <f t="shared" si="33"/>
        <v>153.01831335416205</v>
      </c>
    </row>
    <row r="72" spans="1:14" x14ac:dyDescent="0.25">
      <c r="A72" s="391" t="s">
        <v>648</v>
      </c>
      <c r="B72" s="390">
        <f>C72/166.67</f>
        <v>0.4319913601727966</v>
      </c>
      <c r="C72" s="507">
        <v>72</v>
      </c>
      <c r="D72" s="386">
        <v>640</v>
      </c>
      <c r="E72" s="387">
        <v>47</v>
      </c>
      <c r="F72" s="386">
        <f>B72*D72*E72%+0.01</f>
        <v>129.9530011399772</v>
      </c>
      <c r="G72" s="386">
        <f t="shared" si="30"/>
        <v>31.305677974620508</v>
      </c>
      <c r="H72" s="388">
        <f t="shared" si="31"/>
        <v>161.25867911459773</v>
      </c>
      <c r="I72" s="390">
        <f>159/166.667</f>
        <v>0.95399809200381602</v>
      </c>
      <c r="J72" s="386">
        <v>640</v>
      </c>
      <c r="K72" s="387">
        <v>20</v>
      </c>
      <c r="L72" s="386">
        <f t="shared" si="3"/>
        <v>122.11175577648847</v>
      </c>
      <c r="M72" s="386">
        <f t="shared" si="32"/>
        <v>29.416721966556072</v>
      </c>
      <c r="N72" s="388">
        <f t="shared" si="33"/>
        <v>151.52847774304453</v>
      </c>
    </row>
    <row r="73" spans="1:14" x14ac:dyDescent="0.25">
      <c r="A73" s="391" t="s">
        <v>648</v>
      </c>
      <c r="B73" s="390">
        <f>C73/166.76</f>
        <v>0.14391940513312546</v>
      </c>
      <c r="C73" s="507">
        <v>24</v>
      </c>
      <c r="D73" s="386">
        <v>612</v>
      </c>
      <c r="E73" s="387">
        <v>47</v>
      </c>
      <c r="F73" s="386">
        <f t="shared" si="34"/>
        <v>41.396977692492207</v>
      </c>
      <c r="G73" s="386">
        <f t="shared" si="30"/>
        <v>9.9725319261213734</v>
      </c>
      <c r="H73" s="388">
        <f t="shared" si="31"/>
        <v>51.369509618613577</v>
      </c>
      <c r="I73" s="390">
        <f>127/166.757</f>
        <v>0.76158721972690802</v>
      </c>
      <c r="J73" s="386">
        <v>612</v>
      </c>
      <c r="K73" s="387">
        <v>20</v>
      </c>
      <c r="L73" s="386">
        <f t="shared" si="3"/>
        <v>93.218275694573549</v>
      </c>
      <c r="M73" s="386">
        <f t="shared" si="32"/>
        <v>22.456282614822769</v>
      </c>
      <c r="N73" s="388">
        <f t="shared" si="33"/>
        <v>115.67455830939632</v>
      </c>
    </row>
    <row r="74" spans="1:14" x14ac:dyDescent="0.25">
      <c r="A74" s="391" t="s">
        <v>648</v>
      </c>
      <c r="B74" s="390">
        <f>C74/166.67</f>
        <v>0.66598668026639474</v>
      </c>
      <c r="C74" s="507">
        <v>111</v>
      </c>
      <c r="D74" s="386">
        <v>640</v>
      </c>
      <c r="E74" s="387">
        <v>47</v>
      </c>
      <c r="F74" s="386">
        <f t="shared" si="34"/>
        <v>200.3287934241315</v>
      </c>
      <c r="G74" s="386">
        <f t="shared" si="30"/>
        <v>48.25920633587328</v>
      </c>
      <c r="H74" s="388">
        <f t="shared" si="31"/>
        <v>248.58799976000478</v>
      </c>
      <c r="I74" s="390">
        <f>168/166.667</f>
        <v>1.0079979840040321</v>
      </c>
      <c r="J74" s="386">
        <v>640</v>
      </c>
      <c r="K74" s="387">
        <v>20</v>
      </c>
      <c r="L74" s="386">
        <f t="shared" si="3"/>
        <v>129.0237419525161</v>
      </c>
      <c r="M74" s="386">
        <f t="shared" si="32"/>
        <v>31.08181943636113</v>
      </c>
      <c r="N74" s="388">
        <f t="shared" si="33"/>
        <v>160.10556138887722</v>
      </c>
    </row>
    <row r="75" spans="1:14" x14ac:dyDescent="0.25">
      <c r="A75" s="391" t="s">
        <v>648</v>
      </c>
      <c r="B75" s="390"/>
      <c r="C75" s="507"/>
      <c r="D75" s="386"/>
      <c r="E75" s="387"/>
      <c r="F75" s="386"/>
      <c r="G75" s="386"/>
      <c r="H75" s="388"/>
      <c r="I75" s="390">
        <f>177/166.667</f>
        <v>1.0619978760042479</v>
      </c>
      <c r="J75" s="386">
        <v>640</v>
      </c>
      <c r="K75" s="387">
        <v>20</v>
      </c>
      <c r="L75" s="386">
        <f t="shared" si="3"/>
        <v>135.93572812854373</v>
      </c>
      <c r="M75" s="386">
        <f t="shared" si="32"/>
        <v>32.746916906166184</v>
      </c>
      <c r="N75" s="388">
        <f t="shared" si="33"/>
        <v>168.68264503470991</v>
      </c>
    </row>
    <row r="76" spans="1:14" x14ac:dyDescent="0.25">
      <c r="A76" s="391"/>
      <c r="B76" s="390"/>
      <c r="C76" s="507"/>
      <c r="D76" s="386"/>
      <c r="E76" s="387"/>
      <c r="F76" s="386"/>
      <c r="G76" s="386"/>
      <c r="H76" s="388"/>
      <c r="I76" s="390"/>
      <c r="J76" s="386"/>
      <c r="K76" s="387"/>
      <c r="L76" s="386"/>
      <c r="M76" s="386"/>
      <c r="N76" s="388"/>
    </row>
    <row r="77" spans="1:14" x14ac:dyDescent="0.25">
      <c r="A77" s="391" t="s">
        <v>649</v>
      </c>
      <c r="B77" s="390">
        <f t="shared" ref="B77:B78" si="35">C77/166.67</f>
        <v>0.52198956020879583</v>
      </c>
      <c r="C77" s="507">
        <v>87</v>
      </c>
      <c r="D77" s="386">
        <v>640</v>
      </c>
      <c r="E77" s="387">
        <v>47</v>
      </c>
      <c r="F77" s="386">
        <f>B77*D77*E77%+0.01</f>
        <v>157.02445971080576</v>
      </c>
      <c r="G77" s="386">
        <f t="shared" ref="G77:G81" si="36">F77*24.09%</f>
        <v>37.827192344333106</v>
      </c>
      <c r="H77" s="388">
        <f t="shared" ref="H77:H81" si="37">F77+G77</f>
        <v>194.85165205513886</v>
      </c>
      <c r="I77" s="390">
        <f>249/166.67</f>
        <v>1.4939701205975882</v>
      </c>
      <c r="J77" s="386">
        <v>640</v>
      </c>
      <c r="K77" s="387">
        <v>20</v>
      </c>
      <c r="L77" s="386">
        <f t="shared" ref="L77:L81" si="38">J77*I77*K77%</f>
        <v>191.22817543649128</v>
      </c>
      <c r="M77" s="386">
        <f t="shared" ref="M77:M81" si="39">L77*24.09%</f>
        <v>46.066867462650748</v>
      </c>
      <c r="N77" s="388">
        <f t="shared" ref="N77:N81" si="40">L77+M77</f>
        <v>237.29504289914203</v>
      </c>
    </row>
    <row r="78" spans="1:14" x14ac:dyDescent="0.25">
      <c r="A78" s="391" t="s">
        <v>649</v>
      </c>
      <c r="B78" s="390">
        <f t="shared" si="35"/>
        <v>0.2879942401151977</v>
      </c>
      <c r="C78" s="507">
        <v>48</v>
      </c>
      <c r="D78" s="386">
        <v>640</v>
      </c>
      <c r="E78" s="387">
        <v>47</v>
      </c>
      <c r="F78" s="386">
        <f t="shared" ref="F78:F81" si="41">B78*D78*E78%</f>
        <v>86.628667426651475</v>
      </c>
      <c r="G78" s="386">
        <f t="shared" si="36"/>
        <v>20.868845983080341</v>
      </c>
      <c r="H78" s="388">
        <f t="shared" si="37"/>
        <v>107.49751340973182</v>
      </c>
      <c r="I78" s="390">
        <f>192/166.66</f>
        <v>1.1520460818432738</v>
      </c>
      <c r="J78" s="386">
        <v>640</v>
      </c>
      <c r="K78" s="387">
        <v>20</v>
      </c>
      <c r="L78" s="386">
        <f t="shared" si="38"/>
        <v>147.46189847593905</v>
      </c>
      <c r="M78" s="386">
        <f t="shared" si="39"/>
        <v>35.523571342853721</v>
      </c>
      <c r="N78" s="388">
        <f t="shared" si="40"/>
        <v>182.98546981879278</v>
      </c>
    </row>
    <row r="79" spans="1:14" x14ac:dyDescent="0.25">
      <c r="A79" s="391" t="s">
        <v>649</v>
      </c>
      <c r="B79" s="390">
        <f>C79/166.76</f>
        <v>0.57567762053250182</v>
      </c>
      <c r="C79" s="507">
        <v>96</v>
      </c>
      <c r="D79" s="386">
        <v>612</v>
      </c>
      <c r="E79" s="387">
        <v>47</v>
      </c>
      <c r="F79" s="386">
        <f t="shared" si="41"/>
        <v>165.58791076996883</v>
      </c>
      <c r="G79" s="386">
        <f t="shared" si="36"/>
        <v>39.890127704485494</v>
      </c>
      <c r="H79" s="388">
        <f t="shared" si="37"/>
        <v>205.47803847445431</v>
      </c>
      <c r="I79" s="390">
        <f>24/166.76</f>
        <v>0.14391940513312546</v>
      </c>
      <c r="J79" s="386">
        <v>612</v>
      </c>
      <c r="K79" s="387">
        <v>20</v>
      </c>
      <c r="L79" s="386">
        <f t="shared" si="38"/>
        <v>17.615735188294558</v>
      </c>
      <c r="M79" s="386">
        <f t="shared" si="39"/>
        <v>4.243630606860159</v>
      </c>
      <c r="N79" s="388">
        <f t="shared" si="40"/>
        <v>21.859365795154716</v>
      </c>
    </row>
    <row r="80" spans="1:14" x14ac:dyDescent="0.25">
      <c r="A80" s="391" t="s">
        <v>649</v>
      </c>
      <c r="B80" s="390">
        <f>C80/166.76</f>
        <v>0.43175821539937637</v>
      </c>
      <c r="C80" s="507">
        <v>72</v>
      </c>
      <c r="D80" s="386">
        <v>612</v>
      </c>
      <c r="E80" s="387">
        <v>47</v>
      </c>
      <c r="F80" s="386">
        <f t="shared" si="41"/>
        <v>124.19093307747661</v>
      </c>
      <c r="G80" s="386">
        <f t="shared" si="36"/>
        <v>29.917595778364117</v>
      </c>
      <c r="H80" s="388">
        <f t="shared" si="37"/>
        <v>154.10852885584075</v>
      </c>
      <c r="I80" s="390">
        <f>144/166.75</f>
        <v>0.86356821589205401</v>
      </c>
      <c r="J80" s="386">
        <v>612</v>
      </c>
      <c r="K80" s="387">
        <v>20</v>
      </c>
      <c r="L80" s="386">
        <f t="shared" si="38"/>
        <v>105.70074962518741</v>
      </c>
      <c r="M80" s="386">
        <f t="shared" si="39"/>
        <v>25.463310584707649</v>
      </c>
      <c r="N80" s="388">
        <f t="shared" si="40"/>
        <v>131.16406020989507</v>
      </c>
    </row>
    <row r="81" spans="1:14" x14ac:dyDescent="0.25">
      <c r="A81" s="391" t="s">
        <v>649</v>
      </c>
      <c r="B81" s="390">
        <f>C81/166.76</f>
        <v>0.57567762053250182</v>
      </c>
      <c r="C81" s="507">
        <v>96</v>
      </c>
      <c r="D81" s="386">
        <v>612</v>
      </c>
      <c r="E81" s="387">
        <v>47</v>
      </c>
      <c r="F81" s="386">
        <f t="shared" si="41"/>
        <v>165.58791076996883</v>
      </c>
      <c r="G81" s="386">
        <f t="shared" si="36"/>
        <v>39.890127704485494</v>
      </c>
      <c r="H81" s="388">
        <f t="shared" si="37"/>
        <v>205.47803847445431</v>
      </c>
      <c r="I81" s="390">
        <f>111/166.76</f>
        <v>0.66562724874070522</v>
      </c>
      <c r="J81" s="386">
        <v>612</v>
      </c>
      <c r="K81" s="387">
        <v>20</v>
      </c>
      <c r="L81" s="386">
        <f t="shared" si="38"/>
        <v>81.472775245862323</v>
      </c>
      <c r="M81" s="386">
        <f t="shared" si="39"/>
        <v>19.626791556728232</v>
      </c>
      <c r="N81" s="388">
        <f t="shared" si="40"/>
        <v>101.09956680259056</v>
      </c>
    </row>
    <row r="82" spans="1:14" ht="63" customHeight="1" x14ac:dyDescent="0.25">
      <c r="A82" s="384" t="s">
        <v>11</v>
      </c>
      <c r="B82" s="385"/>
      <c r="C82" s="507"/>
      <c r="D82" s="386"/>
      <c r="E82" s="387"/>
      <c r="F82" s="386"/>
      <c r="G82" s="386"/>
      <c r="H82" s="388"/>
      <c r="I82" s="385"/>
      <c r="J82" s="386"/>
      <c r="K82" s="387"/>
      <c r="L82" s="386"/>
      <c r="M82" s="386"/>
      <c r="N82" s="388"/>
    </row>
    <row r="83" spans="1:14" x14ac:dyDescent="0.25">
      <c r="A83" s="391" t="s">
        <v>650</v>
      </c>
      <c r="B83" s="390">
        <f>C83/176</f>
        <v>0.31818181818181818</v>
      </c>
      <c r="C83" s="507">
        <v>56</v>
      </c>
      <c r="D83" s="386">
        <v>1057</v>
      </c>
      <c r="E83" s="387">
        <v>47</v>
      </c>
      <c r="F83" s="386">
        <f t="shared" ref="F83" si="42">B83*D83*E83%</f>
        <v>158.06954545454545</v>
      </c>
      <c r="G83" s="386">
        <f t="shared" ref="G83:G89" si="43">F83*24.09%</f>
        <v>38.078953499999997</v>
      </c>
      <c r="H83" s="388">
        <f t="shared" ref="H83:H89" si="44">F83+G83</f>
        <v>196.14849895454546</v>
      </c>
      <c r="I83" s="390">
        <v>1</v>
      </c>
      <c r="J83" s="386">
        <v>1057</v>
      </c>
      <c r="K83" s="387">
        <v>20</v>
      </c>
      <c r="L83" s="386">
        <f t="shared" ref="L83:L89" si="45">J83*I83*K83%</f>
        <v>211.4</v>
      </c>
      <c r="M83" s="386">
        <f t="shared" ref="M83:M89" si="46">L83*24.09%</f>
        <v>50.926259999999999</v>
      </c>
      <c r="N83" s="388">
        <f t="shared" ref="N83:N89" si="47">L83+M83</f>
        <v>262.32625999999999</v>
      </c>
    </row>
    <row r="84" spans="1:14" x14ac:dyDescent="0.25">
      <c r="A84" s="391" t="s">
        <v>651</v>
      </c>
      <c r="B84" s="390">
        <f>C84/176</f>
        <v>0.56818181818181823</v>
      </c>
      <c r="C84" s="507">
        <v>100</v>
      </c>
      <c r="D84" s="386">
        <v>870</v>
      </c>
      <c r="E84" s="387">
        <v>47</v>
      </c>
      <c r="F84" s="386">
        <f>B84*D84*E84%+0.005</f>
        <v>232.33454545454546</v>
      </c>
      <c r="G84" s="386">
        <f t="shared" si="43"/>
        <v>55.969392000000006</v>
      </c>
      <c r="H84" s="388">
        <f t="shared" si="44"/>
        <v>288.30393745454546</v>
      </c>
      <c r="I84" s="390">
        <f>178/158</f>
        <v>1.1265822784810127</v>
      </c>
      <c r="J84" s="386">
        <v>870</v>
      </c>
      <c r="K84" s="387">
        <v>20</v>
      </c>
      <c r="L84" s="386">
        <f t="shared" si="45"/>
        <v>196.02531645569621</v>
      </c>
      <c r="M84" s="386">
        <f t="shared" si="46"/>
        <v>47.222498734177215</v>
      </c>
      <c r="N84" s="388">
        <f t="shared" si="47"/>
        <v>243.24781518987342</v>
      </c>
    </row>
    <row r="85" spans="1:14" x14ac:dyDescent="0.25">
      <c r="A85" s="391" t="s">
        <v>651</v>
      </c>
      <c r="B85" s="390">
        <f>C85/166.97</f>
        <v>0.43121518835718992</v>
      </c>
      <c r="C85" s="507">
        <v>72</v>
      </c>
      <c r="D85" s="386">
        <v>738</v>
      </c>
      <c r="E85" s="387">
        <v>47</v>
      </c>
      <c r="F85" s="386">
        <f t="shared" ref="F85:F88" si="48">B85*D85*E85%</f>
        <v>149.57130023357487</v>
      </c>
      <c r="G85" s="386">
        <f t="shared" si="43"/>
        <v>36.031726226268191</v>
      </c>
      <c r="H85" s="388">
        <f t="shared" si="44"/>
        <v>185.60302645984308</v>
      </c>
      <c r="I85" s="390">
        <f>134/166.968</f>
        <v>0.80254899142350633</v>
      </c>
      <c r="J85" s="386">
        <v>738</v>
      </c>
      <c r="K85" s="387">
        <v>20</v>
      </c>
      <c r="L85" s="386">
        <f t="shared" si="45"/>
        <v>118.45623113410954</v>
      </c>
      <c r="M85" s="386">
        <f t="shared" si="46"/>
        <v>28.536106080206988</v>
      </c>
      <c r="N85" s="388">
        <f t="shared" si="47"/>
        <v>146.99233721431654</v>
      </c>
    </row>
    <row r="86" spans="1:14" x14ac:dyDescent="0.25">
      <c r="A86" s="391" t="s">
        <v>651</v>
      </c>
      <c r="B86" s="390">
        <f t="shared" ref="B86:B89" si="49">C86/166.97</f>
        <v>0.85644127687608551</v>
      </c>
      <c r="C86" s="507">
        <v>143</v>
      </c>
      <c r="D86" s="386">
        <v>738</v>
      </c>
      <c r="E86" s="387">
        <v>47</v>
      </c>
      <c r="F86" s="386">
        <f t="shared" si="48"/>
        <v>297.06522129723896</v>
      </c>
      <c r="G86" s="386">
        <f t="shared" si="43"/>
        <v>71.563011810504861</v>
      </c>
      <c r="H86" s="388">
        <f t="shared" si="44"/>
        <v>368.62823310774382</v>
      </c>
      <c r="I86" s="390">
        <f>244/166.968</f>
        <v>1.461357864980116</v>
      </c>
      <c r="J86" s="386">
        <v>738</v>
      </c>
      <c r="K86" s="387">
        <v>20</v>
      </c>
      <c r="L86" s="386">
        <f t="shared" si="45"/>
        <v>215.69642087106513</v>
      </c>
      <c r="M86" s="386">
        <f t="shared" si="46"/>
        <v>51.961267787839589</v>
      </c>
      <c r="N86" s="388">
        <f t="shared" si="47"/>
        <v>267.6576886589047</v>
      </c>
    </row>
    <row r="87" spans="1:14" x14ac:dyDescent="0.25">
      <c r="A87" s="391" t="s">
        <v>651</v>
      </c>
      <c r="B87" s="390">
        <f t="shared" si="49"/>
        <v>9.5825597412708866E-2</v>
      </c>
      <c r="C87" s="507">
        <v>16</v>
      </c>
      <c r="D87" s="386">
        <v>738</v>
      </c>
      <c r="E87" s="387">
        <v>47</v>
      </c>
      <c r="F87" s="386">
        <f t="shared" si="48"/>
        <v>33.238066718572199</v>
      </c>
      <c r="G87" s="386">
        <f t="shared" si="43"/>
        <v>8.007050272504042</v>
      </c>
      <c r="H87" s="388">
        <f t="shared" si="44"/>
        <v>41.245116991076245</v>
      </c>
      <c r="I87" s="390">
        <f>32/166.968</f>
        <v>0.19165349048919555</v>
      </c>
      <c r="J87" s="386">
        <v>738</v>
      </c>
      <c r="K87" s="387">
        <v>20</v>
      </c>
      <c r="L87" s="386">
        <f t="shared" si="45"/>
        <v>28.288055196205267</v>
      </c>
      <c r="M87" s="386">
        <f t="shared" si="46"/>
        <v>6.8145924967658491</v>
      </c>
      <c r="N87" s="388">
        <f t="shared" si="47"/>
        <v>35.102647692971118</v>
      </c>
    </row>
    <row r="88" spans="1:14" x14ac:dyDescent="0.25">
      <c r="A88" s="391" t="s">
        <v>651</v>
      </c>
      <c r="B88" s="390">
        <f t="shared" si="49"/>
        <v>0.43121518835718992</v>
      </c>
      <c r="C88" s="507">
        <v>72</v>
      </c>
      <c r="D88" s="386">
        <v>738</v>
      </c>
      <c r="E88" s="387">
        <v>47</v>
      </c>
      <c r="F88" s="386">
        <f t="shared" si="48"/>
        <v>149.57130023357487</v>
      </c>
      <c r="G88" s="386">
        <f t="shared" si="43"/>
        <v>36.031726226268191</v>
      </c>
      <c r="H88" s="388">
        <f t="shared" si="44"/>
        <v>185.60302645984308</v>
      </c>
      <c r="I88" s="390">
        <f>120/166.968</f>
        <v>0.71870058933448333</v>
      </c>
      <c r="J88" s="386">
        <v>738</v>
      </c>
      <c r="K88" s="387">
        <v>20</v>
      </c>
      <c r="L88" s="386">
        <f t="shared" si="45"/>
        <v>106.08020698576975</v>
      </c>
      <c r="M88" s="386">
        <f t="shared" si="46"/>
        <v>25.554721862871933</v>
      </c>
      <c r="N88" s="388">
        <f t="shared" si="47"/>
        <v>131.63492884864169</v>
      </c>
    </row>
    <row r="89" spans="1:14" x14ac:dyDescent="0.25">
      <c r="A89" s="391" t="s">
        <v>651</v>
      </c>
      <c r="B89" s="390">
        <f t="shared" si="49"/>
        <v>0.57495358447625322</v>
      </c>
      <c r="C89" s="507">
        <v>96</v>
      </c>
      <c r="D89" s="386">
        <v>738</v>
      </c>
      <c r="E89" s="387">
        <v>47</v>
      </c>
      <c r="F89" s="386">
        <f>B89*D89*E89%</f>
        <v>199.42840031143317</v>
      </c>
      <c r="G89" s="386">
        <f t="shared" si="43"/>
        <v>48.042301635024252</v>
      </c>
      <c r="H89" s="388">
        <f t="shared" si="44"/>
        <v>247.47070194645741</v>
      </c>
      <c r="I89" s="390">
        <f>150/166.968</f>
        <v>0.89837573666810411</v>
      </c>
      <c r="J89" s="386">
        <v>738</v>
      </c>
      <c r="K89" s="387">
        <v>20</v>
      </c>
      <c r="L89" s="386">
        <f t="shared" si="45"/>
        <v>132.60025873221215</v>
      </c>
      <c r="M89" s="386">
        <f t="shared" si="46"/>
        <v>31.943402328589908</v>
      </c>
      <c r="N89" s="388">
        <f t="shared" si="47"/>
        <v>164.54366106080207</v>
      </c>
    </row>
    <row r="90" spans="1:14" x14ac:dyDescent="0.25">
      <c r="A90" s="393"/>
      <c r="B90" s="385"/>
      <c r="C90" s="507"/>
      <c r="D90" s="394"/>
      <c r="E90" s="395"/>
      <c r="F90" s="394"/>
      <c r="G90" s="386"/>
      <c r="H90" s="388"/>
      <c r="I90" s="385"/>
      <c r="J90" s="394"/>
      <c r="K90" s="395"/>
      <c r="L90" s="394"/>
      <c r="M90" s="386"/>
      <c r="N90" s="388"/>
    </row>
    <row r="91" spans="1:14" s="379" customFormat="1" ht="55.5" customHeight="1" x14ac:dyDescent="0.25">
      <c r="A91" s="382" t="s">
        <v>652</v>
      </c>
      <c r="B91" s="396">
        <f>SUM(B92:B119)</f>
        <v>6.1429420158852199</v>
      </c>
      <c r="C91" s="396"/>
      <c r="D91" s="396"/>
      <c r="E91" s="396"/>
      <c r="F91" s="396">
        <f t="shared" ref="F91:H91" si="50">SUM(F92:F119)</f>
        <v>2608.2005772320476</v>
      </c>
      <c r="G91" s="396">
        <f t="shared" si="50"/>
        <v>628.31551905519996</v>
      </c>
      <c r="H91" s="396">
        <f t="shared" si="50"/>
        <v>3236.5160962872469</v>
      </c>
      <c r="I91" s="396">
        <f>SUM(I92:I119)</f>
        <v>2.8481012658227849</v>
      </c>
      <c r="J91" s="396"/>
      <c r="K91" s="396"/>
      <c r="L91" s="397">
        <f t="shared" ref="L91:N91" si="51">SUM(L92:L119)</f>
        <v>806.33164556962038</v>
      </c>
      <c r="M91" s="396">
        <f t="shared" si="51"/>
        <v>194.24529341772154</v>
      </c>
      <c r="N91" s="396">
        <f t="shared" si="51"/>
        <v>1000.5769389873419</v>
      </c>
    </row>
    <row r="92" spans="1:14" ht="78.75" customHeight="1" x14ac:dyDescent="0.25">
      <c r="A92" s="384" t="s">
        <v>14</v>
      </c>
      <c r="B92" s="385"/>
      <c r="C92" s="507"/>
      <c r="D92" s="386"/>
      <c r="E92" s="387"/>
      <c r="F92" s="386"/>
      <c r="G92" s="386"/>
      <c r="H92" s="388"/>
      <c r="I92" s="385"/>
      <c r="J92" s="386"/>
      <c r="K92" s="387"/>
      <c r="L92" s="386"/>
      <c r="M92" s="386"/>
      <c r="N92" s="388"/>
    </row>
    <row r="93" spans="1:14" ht="18.75" customHeight="1" x14ac:dyDescent="0.25">
      <c r="A93" s="389" t="s">
        <v>653</v>
      </c>
      <c r="B93" s="390">
        <f>C93/176</f>
        <v>0.54545454545454541</v>
      </c>
      <c r="C93" s="507">
        <v>96</v>
      </c>
      <c r="D93" s="386">
        <v>1784</v>
      </c>
      <c r="E93" s="387">
        <v>47</v>
      </c>
      <c r="F93" s="386">
        <f>B93*D93*E93%</f>
        <v>457.35272727272724</v>
      </c>
      <c r="G93" s="386">
        <f t="shared" ref="G93:G105" si="52">F93*24.09%</f>
        <v>110.176272</v>
      </c>
      <c r="H93" s="388">
        <f t="shared" ref="H93:H105" si="53">F93+G93</f>
        <v>567.52899927272722</v>
      </c>
      <c r="I93" s="390">
        <v>1</v>
      </c>
      <c r="J93" s="386">
        <v>1784</v>
      </c>
      <c r="K93" s="387">
        <v>20</v>
      </c>
      <c r="L93" s="386">
        <f t="shared" ref="L93:L116" si="54">I93*J93*K93%</f>
        <v>356.8</v>
      </c>
      <c r="M93" s="386">
        <f t="shared" ref="M93:M94" si="55">L93*24.09%</f>
        <v>85.953119999999998</v>
      </c>
      <c r="N93" s="388">
        <f t="shared" ref="N93:N94" si="56">L93+M93</f>
        <v>442.75312000000002</v>
      </c>
    </row>
    <row r="94" spans="1:14" ht="19.5" customHeight="1" x14ac:dyDescent="0.25">
      <c r="A94" s="389" t="s">
        <v>654</v>
      </c>
      <c r="B94" s="390">
        <f>C94/176</f>
        <v>0.45454545454545453</v>
      </c>
      <c r="C94" s="507">
        <v>80</v>
      </c>
      <c r="D94" s="386">
        <v>1358</v>
      </c>
      <c r="E94" s="387">
        <v>47</v>
      </c>
      <c r="F94" s="386">
        <f>B94*D94*E94%</f>
        <v>290.11818181818177</v>
      </c>
      <c r="G94" s="386">
        <f t="shared" si="52"/>
        <v>69.889469999999989</v>
      </c>
      <c r="H94" s="388">
        <f t="shared" si="53"/>
        <v>360.00765181818178</v>
      </c>
      <c r="I94" s="390">
        <v>1</v>
      </c>
      <c r="J94" s="386">
        <v>1358</v>
      </c>
      <c r="K94" s="387">
        <v>20</v>
      </c>
      <c r="L94" s="386">
        <f t="shared" si="54"/>
        <v>271.60000000000002</v>
      </c>
      <c r="M94" s="386">
        <f t="shared" si="55"/>
        <v>65.428440000000009</v>
      </c>
      <c r="N94" s="388">
        <f t="shared" si="56"/>
        <v>337.02844000000005</v>
      </c>
    </row>
    <row r="95" spans="1:14" ht="78.75" customHeight="1" x14ac:dyDescent="0.25">
      <c r="A95" s="384" t="s">
        <v>12</v>
      </c>
      <c r="B95" s="385"/>
      <c r="C95" s="507"/>
      <c r="D95" s="386"/>
      <c r="E95" s="387"/>
      <c r="F95" s="386"/>
      <c r="G95" s="386"/>
      <c r="H95" s="388"/>
      <c r="I95" s="385"/>
      <c r="J95" s="386"/>
      <c r="K95" s="387"/>
      <c r="L95" s="386">
        <f t="shared" si="54"/>
        <v>0</v>
      </c>
      <c r="M95" s="386"/>
      <c r="N95" s="388"/>
    </row>
    <row r="96" spans="1:14" x14ac:dyDescent="0.25">
      <c r="A96" s="389" t="s">
        <v>96</v>
      </c>
      <c r="B96" s="390">
        <f>C96/176</f>
        <v>0.5</v>
      </c>
      <c r="C96" s="507">
        <v>88</v>
      </c>
      <c r="D96" s="386">
        <v>1049</v>
      </c>
      <c r="E96" s="387">
        <v>47</v>
      </c>
      <c r="F96" s="386">
        <f t="shared" ref="F96:F105" si="57">B96*D96*E96%</f>
        <v>246.51499999999999</v>
      </c>
      <c r="G96" s="386">
        <f t="shared" si="52"/>
        <v>59.3854635</v>
      </c>
      <c r="H96" s="388">
        <f t="shared" si="53"/>
        <v>305.9004635</v>
      </c>
      <c r="I96" s="390">
        <v>0.84810126582278478</v>
      </c>
      <c r="J96" s="386">
        <v>1049</v>
      </c>
      <c r="K96" s="387">
        <v>20</v>
      </c>
      <c r="L96" s="386">
        <f t="shared" si="54"/>
        <v>177.93164556962026</v>
      </c>
      <c r="M96" s="386">
        <f t="shared" ref="M96:M105" si="58">L96*24.09%</f>
        <v>42.863733417721519</v>
      </c>
      <c r="N96" s="388">
        <f t="shared" ref="N96:N105" si="59">L96+M96</f>
        <v>220.79537898734179</v>
      </c>
    </row>
    <row r="97" spans="1:14" s="400" customFormat="1" x14ac:dyDescent="0.25">
      <c r="A97" s="398" t="s">
        <v>655</v>
      </c>
      <c r="B97" s="390">
        <f>C97/166.73</f>
        <v>0.28789060157140289</v>
      </c>
      <c r="C97" s="516">
        <v>48</v>
      </c>
      <c r="D97" s="399">
        <v>852</v>
      </c>
      <c r="E97" s="387">
        <v>47</v>
      </c>
      <c r="F97" s="386">
        <f t="shared" si="57"/>
        <v>115.28291249325257</v>
      </c>
      <c r="G97" s="386">
        <f t="shared" si="52"/>
        <v>27.771653619624544</v>
      </c>
      <c r="H97" s="388">
        <f t="shared" si="53"/>
        <v>143.05456611287713</v>
      </c>
      <c r="I97" s="390"/>
      <c r="J97" s="399">
        <v>852</v>
      </c>
      <c r="K97" s="387"/>
      <c r="L97" s="386">
        <f t="shared" si="54"/>
        <v>0</v>
      </c>
      <c r="M97" s="386">
        <f t="shared" si="58"/>
        <v>0</v>
      </c>
      <c r="N97" s="388">
        <f t="shared" si="59"/>
        <v>0</v>
      </c>
    </row>
    <row r="98" spans="1:14" s="400" customFormat="1" x14ac:dyDescent="0.25">
      <c r="A98" s="398" t="s">
        <v>655</v>
      </c>
      <c r="B98" s="390">
        <f t="shared" ref="B98:B105" si="60">C98/166.73</f>
        <v>0.23391111377676485</v>
      </c>
      <c r="C98" s="516">
        <v>39</v>
      </c>
      <c r="D98" s="399">
        <v>852</v>
      </c>
      <c r="E98" s="387">
        <v>47</v>
      </c>
      <c r="F98" s="386">
        <f t="shared" si="57"/>
        <v>93.667366400767705</v>
      </c>
      <c r="G98" s="386">
        <f t="shared" si="52"/>
        <v>22.564468565944939</v>
      </c>
      <c r="H98" s="388">
        <f t="shared" si="53"/>
        <v>116.23183496671264</v>
      </c>
      <c r="I98" s="390"/>
      <c r="J98" s="399">
        <v>852</v>
      </c>
      <c r="K98" s="387"/>
      <c r="L98" s="386">
        <f t="shared" si="54"/>
        <v>0</v>
      </c>
      <c r="M98" s="386">
        <f t="shared" si="58"/>
        <v>0</v>
      </c>
      <c r="N98" s="388">
        <f t="shared" si="59"/>
        <v>0</v>
      </c>
    </row>
    <row r="99" spans="1:14" s="400" customFormat="1" x14ac:dyDescent="0.25">
      <c r="A99" s="398" t="s">
        <v>655</v>
      </c>
      <c r="B99" s="390">
        <f t="shared" si="60"/>
        <v>0.43183590235710434</v>
      </c>
      <c r="C99" s="516">
        <v>72</v>
      </c>
      <c r="D99" s="399">
        <v>852</v>
      </c>
      <c r="E99" s="387">
        <v>47</v>
      </c>
      <c r="F99" s="386">
        <f t="shared" si="57"/>
        <v>172.92436873987884</v>
      </c>
      <c r="G99" s="386">
        <f t="shared" si="52"/>
        <v>41.657480429436816</v>
      </c>
      <c r="H99" s="388">
        <f t="shared" si="53"/>
        <v>214.58184916931566</v>
      </c>
      <c r="I99" s="390"/>
      <c r="J99" s="399">
        <v>852</v>
      </c>
      <c r="K99" s="387"/>
      <c r="L99" s="386">
        <f t="shared" si="54"/>
        <v>0</v>
      </c>
      <c r="M99" s="386">
        <f t="shared" si="58"/>
        <v>0</v>
      </c>
      <c r="N99" s="388">
        <f t="shared" si="59"/>
        <v>0</v>
      </c>
    </row>
    <row r="100" spans="1:14" s="400" customFormat="1" x14ac:dyDescent="0.25">
      <c r="A100" s="398" t="s">
        <v>655</v>
      </c>
      <c r="B100" s="390">
        <f t="shared" si="60"/>
        <v>0.14394530078570145</v>
      </c>
      <c r="C100" s="516">
        <v>24</v>
      </c>
      <c r="D100" s="399">
        <v>852</v>
      </c>
      <c r="E100" s="387">
        <v>47</v>
      </c>
      <c r="F100" s="386">
        <f t="shared" si="57"/>
        <v>57.641456246626284</v>
      </c>
      <c r="G100" s="386">
        <f t="shared" si="52"/>
        <v>13.885826809812272</v>
      </c>
      <c r="H100" s="388">
        <f t="shared" si="53"/>
        <v>71.527283056438563</v>
      </c>
      <c r="I100" s="390"/>
      <c r="J100" s="399">
        <v>852</v>
      </c>
      <c r="K100" s="387"/>
      <c r="L100" s="386">
        <f t="shared" si="54"/>
        <v>0</v>
      </c>
      <c r="M100" s="386">
        <f t="shared" si="58"/>
        <v>0</v>
      </c>
      <c r="N100" s="388">
        <f t="shared" si="59"/>
        <v>0</v>
      </c>
    </row>
    <row r="101" spans="1:14" s="400" customFormat="1" x14ac:dyDescent="0.25">
      <c r="A101" s="398" t="s">
        <v>655</v>
      </c>
      <c r="B101" s="390">
        <f t="shared" si="60"/>
        <v>0.14394530078570145</v>
      </c>
      <c r="C101" s="516">
        <v>24</v>
      </c>
      <c r="D101" s="399">
        <v>852</v>
      </c>
      <c r="E101" s="387">
        <v>47</v>
      </c>
      <c r="F101" s="386">
        <f t="shared" si="57"/>
        <v>57.641456246626284</v>
      </c>
      <c r="G101" s="386">
        <f t="shared" si="52"/>
        <v>13.885826809812272</v>
      </c>
      <c r="H101" s="388">
        <f t="shared" si="53"/>
        <v>71.527283056438563</v>
      </c>
      <c r="I101" s="390"/>
      <c r="J101" s="399">
        <v>852</v>
      </c>
      <c r="K101" s="387"/>
      <c r="L101" s="386">
        <f t="shared" si="54"/>
        <v>0</v>
      </c>
      <c r="M101" s="386">
        <f t="shared" si="58"/>
        <v>0</v>
      </c>
      <c r="N101" s="388">
        <f t="shared" si="59"/>
        <v>0</v>
      </c>
    </row>
    <row r="102" spans="1:14" s="400" customFormat="1" x14ac:dyDescent="0.25">
      <c r="A102" s="398" t="s">
        <v>655</v>
      </c>
      <c r="B102" s="390">
        <f t="shared" si="60"/>
        <v>0.14394530078570145</v>
      </c>
      <c r="C102" s="516">
        <v>24</v>
      </c>
      <c r="D102" s="399">
        <v>852</v>
      </c>
      <c r="E102" s="387">
        <v>47</v>
      </c>
      <c r="F102" s="386">
        <f t="shared" si="57"/>
        <v>57.641456246626284</v>
      </c>
      <c r="G102" s="386">
        <f t="shared" si="52"/>
        <v>13.885826809812272</v>
      </c>
      <c r="H102" s="388">
        <f t="shared" si="53"/>
        <v>71.527283056438563</v>
      </c>
      <c r="I102" s="390"/>
      <c r="J102" s="399">
        <v>852</v>
      </c>
      <c r="K102" s="387"/>
      <c r="L102" s="386">
        <f t="shared" si="54"/>
        <v>0</v>
      </c>
      <c r="M102" s="386">
        <f t="shared" si="58"/>
        <v>0</v>
      </c>
      <c r="N102" s="388">
        <f t="shared" si="59"/>
        <v>0</v>
      </c>
    </row>
    <row r="103" spans="1:14" s="400" customFormat="1" x14ac:dyDescent="0.25">
      <c r="A103" s="398" t="s">
        <v>655</v>
      </c>
      <c r="B103" s="390">
        <f t="shared" si="60"/>
        <v>0.14394530078570145</v>
      </c>
      <c r="C103" s="516">
        <v>24</v>
      </c>
      <c r="D103" s="399">
        <v>812</v>
      </c>
      <c r="E103" s="387">
        <v>47</v>
      </c>
      <c r="F103" s="386">
        <f>B103*D103*E103%-0.005</f>
        <v>54.930284591855099</v>
      </c>
      <c r="G103" s="386">
        <f t="shared" si="52"/>
        <v>13.232705558177894</v>
      </c>
      <c r="H103" s="388">
        <f t="shared" si="53"/>
        <v>68.162990150032996</v>
      </c>
      <c r="I103" s="390"/>
      <c r="J103" s="399">
        <v>812</v>
      </c>
      <c r="K103" s="387"/>
      <c r="L103" s="386">
        <f t="shared" si="54"/>
        <v>0</v>
      </c>
      <c r="M103" s="386">
        <f t="shared" si="58"/>
        <v>0</v>
      </c>
      <c r="N103" s="388">
        <f t="shared" si="59"/>
        <v>0</v>
      </c>
    </row>
    <row r="104" spans="1:14" s="400" customFormat="1" x14ac:dyDescent="0.25">
      <c r="A104" s="398" t="s">
        <v>655</v>
      </c>
      <c r="B104" s="390">
        <f t="shared" si="60"/>
        <v>0.57578120314280579</v>
      </c>
      <c r="C104" s="516">
        <v>96</v>
      </c>
      <c r="D104" s="399">
        <v>852</v>
      </c>
      <c r="E104" s="387">
        <v>47</v>
      </c>
      <c r="F104" s="386">
        <f>B104*D104*E104%-0.005</f>
        <v>230.56082498650514</v>
      </c>
      <c r="G104" s="386">
        <f t="shared" si="52"/>
        <v>55.542102739249088</v>
      </c>
      <c r="H104" s="388">
        <f t="shared" si="53"/>
        <v>286.10292772575423</v>
      </c>
      <c r="I104" s="390"/>
      <c r="J104" s="399">
        <v>852</v>
      </c>
      <c r="K104" s="387"/>
      <c r="L104" s="386">
        <f t="shared" si="54"/>
        <v>0</v>
      </c>
      <c r="M104" s="386">
        <f t="shared" si="58"/>
        <v>0</v>
      </c>
      <c r="N104" s="388">
        <f t="shared" si="59"/>
        <v>0</v>
      </c>
    </row>
    <row r="105" spans="1:14" s="400" customFormat="1" x14ac:dyDescent="0.25">
      <c r="A105" s="398" t="s">
        <v>655</v>
      </c>
      <c r="B105" s="390">
        <f t="shared" si="60"/>
        <v>0.14394530078570145</v>
      </c>
      <c r="C105" s="516">
        <v>24</v>
      </c>
      <c r="D105" s="399">
        <v>852</v>
      </c>
      <c r="E105" s="387">
        <v>47</v>
      </c>
      <c r="F105" s="386">
        <f t="shared" si="57"/>
        <v>57.641456246626284</v>
      </c>
      <c r="G105" s="386">
        <f t="shared" si="52"/>
        <v>13.885826809812272</v>
      </c>
      <c r="H105" s="388">
        <f t="shared" si="53"/>
        <v>71.527283056438563</v>
      </c>
      <c r="I105" s="390"/>
      <c r="J105" s="399">
        <v>852</v>
      </c>
      <c r="K105" s="387"/>
      <c r="L105" s="386">
        <f t="shared" si="54"/>
        <v>0</v>
      </c>
      <c r="M105" s="386">
        <f t="shared" si="58"/>
        <v>0</v>
      </c>
      <c r="N105" s="388">
        <f t="shared" si="59"/>
        <v>0</v>
      </c>
    </row>
    <row r="106" spans="1:14" s="400" customFormat="1" x14ac:dyDescent="0.25">
      <c r="A106" s="398"/>
      <c r="B106" s="390"/>
      <c r="C106" s="516"/>
      <c r="D106" s="399"/>
      <c r="E106" s="387"/>
      <c r="F106" s="386"/>
      <c r="G106" s="386"/>
      <c r="H106" s="388"/>
      <c r="I106" s="390"/>
      <c r="J106" s="399"/>
      <c r="K106" s="387"/>
      <c r="L106" s="386">
        <f t="shared" si="54"/>
        <v>0</v>
      </c>
      <c r="M106" s="386"/>
      <c r="N106" s="388"/>
    </row>
    <row r="107" spans="1:14" ht="105.75" customHeight="1" x14ac:dyDescent="0.25">
      <c r="A107" s="384" t="s">
        <v>13</v>
      </c>
      <c r="B107" s="390"/>
      <c r="C107" s="516"/>
      <c r="D107" s="399"/>
      <c r="E107" s="387"/>
      <c r="F107" s="386"/>
      <c r="G107" s="386"/>
      <c r="H107" s="388"/>
      <c r="I107" s="390"/>
      <c r="J107" s="399"/>
      <c r="K107" s="387"/>
      <c r="L107" s="386">
        <f t="shared" si="54"/>
        <v>0</v>
      </c>
      <c r="M107" s="386"/>
      <c r="N107" s="388"/>
    </row>
    <row r="108" spans="1:14" x14ac:dyDescent="0.25">
      <c r="A108" s="389" t="s">
        <v>656</v>
      </c>
      <c r="B108" s="390">
        <f>C108/166.67</f>
        <v>0.14399712005759885</v>
      </c>
      <c r="C108" s="516">
        <v>24</v>
      </c>
      <c r="D108" s="399">
        <v>640</v>
      </c>
      <c r="E108" s="387">
        <v>47</v>
      </c>
      <c r="F108" s="386">
        <f>B108*D108*E108%+0.005</f>
        <v>43.31933371332574</v>
      </c>
      <c r="G108" s="386">
        <f t="shared" ref="G108:G116" si="61">F108*24.09%</f>
        <v>10.435627491540171</v>
      </c>
      <c r="H108" s="388">
        <f t="shared" ref="H108:H116" si="62">F108+G108</f>
        <v>53.754961204865907</v>
      </c>
      <c r="I108" s="390"/>
      <c r="J108" s="399">
        <v>640</v>
      </c>
      <c r="K108" s="387"/>
      <c r="L108" s="386">
        <f t="shared" si="54"/>
        <v>0</v>
      </c>
      <c r="M108" s="386">
        <f t="shared" ref="M108:M116" si="63">L108*24.09%</f>
        <v>0</v>
      </c>
      <c r="N108" s="388">
        <f t="shared" ref="N108:N116" si="64">L108+M108</f>
        <v>0</v>
      </c>
    </row>
    <row r="109" spans="1:14" x14ac:dyDescent="0.25">
      <c r="A109" s="389" t="s">
        <v>656</v>
      </c>
      <c r="B109" s="390">
        <f t="shared" ref="B109:B116" si="65">C109/166.67</f>
        <v>0.2879942401151977</v>
      </c>
      <c r="C109" s="516">
        <v>48</v>
      </c>
      <c r="D109" s="399">
        <v>640</v>
      </c>
      <c r="E109" s="387">
        <v>47</v>
      </c>
      <c r="F109" s="386">
        <f>B109*D109*E109%</f>
        <v>86.628667426651475</v>
      </c>
      <c r="G109" s="386">
        <f t="shared" si="61"/>
        <v>20.868845983080341</v>
      </c>
      <c r="H109" s="388">
        <f t="shared" si="62"/>
        <v>107.49751340973182</v>
      </c>
      <c r="I109" s="390"/>
      <c r="J109" s="399">
        <v>640</v>
      </c>
      <c r="K109" s="387"/>
      <c r="L109" s="386">
        <f t="shared" si="54"/>
        <v>0</v>
      </c>
      <c r="M109" s="386">
        <f t="shared" si="63"/>
        <v>0</v>
      </c>
      <c r="N109" s="388">
        <f t="shared" si="64"/>
        <v>0</v>
      </c>
    </row>
    <row r="110" spans="1:14" x14ac:dyDescent="0.25">
      <c r="A110" s="389" t="s">
        <v>656</v>
      </c>
      <c r="B110" s="390">
        <f t="shared" si="65"/>
        <v>0.14399712005759885</v>
      </c>
      <c r="C110" s="516">
        <v>24</v>
      </c>
      <c r="D110" s="399">
        <v>640</v>
      </c>
      <c r="E110" s="387">
        <v>47</v>
      </c>
      <c r="F110" s="386">
        <f>B110*D110*E110%+0.005</f>
        <v>43.31933371332574</v>
      </c>
      <c r="G110" s="386">
        <f t="shared" si="61"/>
        <v>10.435627491540171</v>
      </c>
      <c r="H110" s="388">
        <f t="shared" si="62"/>
        <v>53.754961204865907</v>
      </c>
      <c r="I110" s="390"/>
      <c r="J110" s="399">
        <v>640</v>
      </c>
      <c r="K110" s="387"/>
      <c r="L110" s="386">
        <f t="shared" si="54"/>
        <v>0</v>
      </c>
      <c r="M110" s="386">
        <f t="shared" si="63"/>
        <v>0</v>
      </c>
      <c r="N110" s="388">
        <f t="shared" si="64"/>
        <v>0</v>
      </c>
    </row>
    <row r="111" spans="1:14" x14ac:dyDescent="0.25">
      <c r="A111" s="389" t="s">
        <v>656</v>
      </c>
      <c r="B111" s="390">
        <f>C111/166.76</f>
        <v>0.28783881026625091</v>
      </c>
      <c r="C111" s="516">
        <v>48</v>
      </c>
      <c r="D111" s="399">
        <v>612</v>
      </c>
      <c r="E111" s="387">
        <v>47</v>
      </c>
      <c r="F111" s="386">
        <f>B111*D111*E111%+0.003</f>
        <v>82.796955384984415</v>
      </c>
      <c r="G111" s="386">
        <f t="shared" si="61"/>
        <v>19.945786552242744</v>
      </c>
      <c r="H111" s="388">
        <f t="shared" si="62"/>
        <v>102.74274193722715</v>
      </c>
      <c r="I111" s="390"/>
      <c r="J111" s="399">
        <v>612</v>
      </c>
      <c r="K111" s="387"/>
      <c r="L111" s="386">
        <f t="shared" si="54"/>
        <v>0</v>
      </c>
      <c r="M111" s="386">
        <f t="shared" si="63"/>
        <v>0</v>
      </c>
      <c r="N111" s="388">
        <f t="shared" si="64"/>
        <v>0</v>
      </c>
    </row>
    <row r="112" spans="1:14" x14ac:dyDescent="0.25">
      <c r="A112" s="389" t="s">
        <v>656</v>
      </c>
      <c r="B112" s="390">
        <f t="shared" si="65"/>
        <v>0.2879942401151977</v>
      </c>
      <c r="C112" s="516">
        <v>48</v>
      </c>
      <c r="D112" s="399">
        <v>640</v>
      </c>
      <c r="E112" s="387">
        <v>47</v>
      </c>
      <c r="F112" s="386">
        <f t="shared" ref="F112:F115" si="66">B112*D112*E112%</f>
        <v>86.628667426651475</v>
      </c>
      <c r="G112" s="386">
        <f t="shared" si="61"/>
        <v>20.868845983080341</v>
      </c>
      <c r="H112" s="388">
        <f t="shared" si="62"/>
        <v>107.49751340973182</v>
      </c>
      <c r="I112" s="390"/>
      <c r="J112" s="399">
        <v>640</v>
      </c>
      <c r="K112" s="387"/>
      <c r="L112" s="386">
        <f t="shared" si="54"/>
        <v>0</v>
      </c>
      <c r="M112" s="386">
        <f t="shared" si="63"/>
        <v>0</v>
      </c>
      <c r="N112" s="388">
        <f t="shared" si="64"/>
        <v>0</v>
      </c>
    </row>
    <row r="113" spans="1:15" x14ac:dyDescent="0.25">
      <c r="A113" s="389" t="s">
        <v>656</v>
      </c>
      <c r="B113" s="390">
        <f t="shared" si="65"/>
        <v>0.2879942401151977</v>
      </c>
      <c r="C113" s="516">
        <v>48</v>
      </c>
      <c r="D113" s="399">
        <v>640</v>
      </c>
      <c r="E113" s="387">
        <v>47</v>
      </c>
      <c r="F113" s="386">
        <f t="shared" si="66"/>
        <v>86.628667426651475</v>
      </c>
      <c r="G113" s="386">
        <f t="shared" si="61"/>
        <v>20.868845983080341</v>
      </c>
      <c r="H113" s="388">
        <f t="shared" si="62"/>
        <v>107.49751340973182</v>
      </c>
      <c r="I113" s="390"/>
      <c r="J113" s="399">
        <v>640</v>
      </c>
      <c r="K113" s="387"/>
      <c r="L113" s="386">
        <f t="shared" si="54"/>
        <v>0</v>
      </c>
      <c r="M113" s="386">
        <f t="shared" si="63"/>
        <v>0</v>
      </c>
      <c r="N113" s="388">
        <f t="shared" si="64"/>
        <v>0</v>
      </c>
    </row>
    <row r="114" spans="1:15" x14ac:dyDescent="0.25">
      <c r="A114" s="389" t="s">
        <v>656</v>
      </c>
      <c r="B114" s="390">
        <f t="shared" si="65"/>
        <v>0.2879942401151977</v>
      </c>
      <c r="C114" s="516">
        <v>48</v>
      </c>
      <c r="D114" s="399">
        <v>640</v>
      </c>
      <c r="E114" s="387">
        <v>47</v>
      </c>
      <c r="F114" s="386">
        <f t="shared" si="66"/>
        <v>86.628667426651475</v>
      </c>
      <c r="G114" s="386">
        <f t="shared" si="61"/>
        <v>20.868845983080341</v>
      </c>
      <c r="H114" s="388">
        <f t="shared" si="62"/>
        <v>107.49751340973182</v>
      </c>
      <c r="I114" s="390"/>
      <c r="J114" s="399">
        <v>640</v>
      </c>
      <c r="K114" s="387"/>
      <c r="L114" s="386">
        <f t="shared" si="54"/>
        <v>0</v>
      </c>
      <c r="M114" s="386">
        <f t="shared" si="63"/>
        <v>0</v>
      </c>
      <c r="N114" s="388">
        <f t="shared" si="64"/>
        <v>0</v>
      </c>
    </row>
    <row r="115" spans="1:15" x14ac:dyDescent="0.25">
      <c r="A115" s="389" t="s">
        <v>656</v>
      </c>
      <c r="B115" s="390">
        <f t="shared" si="65"/>
        <v>0.23399532009359814</v>
      </c>
      <c r="C115" s="516">
        <v>39</v>
      </c>
      <c r="D115" s="399">
        <v>640</v>
      </c>
      <c r="E115" s="387">
        <v>47</v>
      </c>
      <c r="F115" s="386">
        <f t="shared" si="66"/>
        <v>70.385792284154306</v>
      </c>
      <c r="G115" s="386">
        <f t="shared" si="61"/>
        <v>16.955937361252772</v>
      </c>
      <c r="H115" s="388">
        <f t="shared" si="62"/>
        <v>87.341729645407071</v>
      </c>
      <c r="I115" s="390"/>
      <c r="J115" s="399">
        <v>640</v>
      </c>
      <c r="K115" s="387"/>
      <c r="L115" s="386">
        <f t="shared" si="54"/>
        <v>0</v>
      </c>
      <c r="M115" s="386">
        <f t="shared" si="63"/>
        <v>0</v>
      </c>
      <c r="N115" s="388">
        <f t="shared" si="64"/>
        <v>0</v>
      </c>
    </row>
    <row r="116" spans="1:15" x14ac:dyDescent="0.25">
      <c r="A116" s="389" t="s">
        <v>656</v>
      </c>
      <c r="B116" s="390">
        <f t="shared" si="65"/>
        <v>0.4319913601727966</v>
      </c>
      <c r="C116" s="516">
        <v>72</v>
      </c>
      <c r="D116" s="399">
        <v>640</v>
      </c>
      <c r="E116" s="387">
        <v>47</v>
      </c>
      <c r="F116" s="386">
        <f>B116*D116*E116%+0.004</f>
        <v>129.9470011399772</v>
      </c>
      <c r="G116" s="386">
        <f t="shared" si="61"/>
        <v>31.30423257462051</v>
      </c>
      <c r="H116" s="388">
        <f t="shared" si="62"/>
        <v>161.2512337145977</v>
      </c>
      <c r="I116" s="390"/>
      <c r="J116" s="399">
        <v>640</v>
      </c>
      <c r="K116" s="387"/>
      <c r="L116" s="386">
        <f t="shared" si="54"/>
        <v>0</v>
      </c>
      <c r="M116" s="386">
        <f t="shared" si="63"/>
        <v>0</v>
      </c>
      <c r="N116" s="388">
        <f t="shared" si="64"/>
        <v>0</v>
      </c>
    </row>
    <row r="117" spans="1:15" ht="63" customHeight="1" x14ac:dyDescent="0.25">
      <c r="A117" s="384" t="s">
        <v>11</v>
      </c>
      <c r="B117" s="390"/>
      <c r="C117" s="516"/>
      <c r="D117" s="399"/>
      <c r="E117" s="387"/>
      <c r="F117" s="386"/>
      <c r="G117" s="386"/>
      <c r="H117" s="388"/>
      <c r="I117" s="390"/>
      <c r="J117" s="399"/>
      <c r="K117" s="387"/>
      <c r="L117" s="386"/>
      <c r="M117" s="386"/>
      <c r="N117" s="388"/>
    </row>
    <row r="118" spans="1:15" x14ac:dyDescent="0.25">
      <c r="A118" s="384" t="s">
        <v>1</v>
      </c>
      <c r="B118" s="390"/>
      <c r="C118" s="516"/>
      <c r="D118" s="399"/>
      <c r="E118" s="387"/>
      <c r="F118" s="386"/>
      <c r="G118" s="386"/>
      <c r="H118" s="388"/>
      <c r="I118" s="390"/>
      <c r="J118" s="399"/>
      <c r="K118" s="387"/>
      <c r="L118" s="386"/>
      <c r="M118" s="386"/>
      <c r="N118" s="388"/>
    </row>
    <row r="119" spans="1:15" ht="16.5" thickBot="1" x14ac:dyDescent="0.3">
      <c r="A119" s="384" t="s">
        <v>1</v>
      </c>
      <c r="B119" s="401"/>
      <c r="C119" s="508"/>
      <c r="D119" s="402"/>
      <c r="E119" s="403"/>
      <c r="F119" s="402"/>
      <c r="G119" s="386"/>
      <c r="H119" s="388"/>
      <c r="I119" s="401"/>
      <c r="J119" s="402"/>
      <c r="K119" s="403"/>
      <c r="L119" s="402"/>
      <c r="M119" s="386"/>
      <c r="N119" s="388"/>
    </row>
    <row r="120" spans="1:15" ht="61.5" customHeight="1" x14ac:dyDescent="0.25">
      <c r="A120" s="382" t="s">
        <v>657</v>
      </c>
      <c r="B120" s="396">
        <f>SUM(B121:B146)</f>
        <v>6.0098115394943017</v>
      </c>
      <c r="C120" s="396"/>
      <c r="D120" s="396"/>
      <c r="E120" s="396"/>
      <c r="F120" s="396">
        <f t="shared" ref="F120:H120" si="67">SUM(F121:F146)</f>
        <v>2514.7178884198815</v>
      </c>
      <c r="G120" s="396">
        <f t="shared" si="67"/>
        <v>605.79553932034946</v>
      </c>
      <c r="H120" s="396">
        <f t="shared" si="67"/>
        <v>3120.5134277402312</v>
      </c>
      <c r="I120" s="396">
        <f>SUM(I121:I146)</f>
        <v>14.58791821669282</v>
      </c>
      <c r="J120" s="396"/>
      <c r="K120" s="396"/>
      <c r="L120" s="397">
        <f>SUM(L121:L146)</f>
        <v>2871.8230249601161</v>
      </c>
      <c r="M120" s="396">
        <f>SUM(M121:M146)</f>
        <v>691.822166712892</v>
      </c>
      <c r="N120" s="396">
        <f>SUM(N121:N146)</f>
        <v>3563.645191673007</v>
      </c>
    </row>
    <row r="121" spans="1:15" ht="31.5" x14ac:dyDescent="0.25">
      <c r="A121" s="384" t="s">
        <v>14</v>
      </c>
      <c r="B121" s="385"/>
      <c r="C121" s="507"/>
      <c r="D121" s="386"/>
      <c r="E121" s="387"/>
      <c r="F121" s="386"/>
      <c r="G121" s="386"/>
      <c r="H121" s="388"/>
      <c r="I121" s="385"/>
      <c r="J121" s="386"/>
      <c r="K121" s="387"/>
      <c r="L121" s="386"/>
      <c r="M121" s="386"/>
      <c r="N121" s="388"/>
      <c r="O121" s="404"/>
    </row>
    <row r="122" spans="1:15" x14ac:dyDescent="0.25">
      <c r="A122" s="405" t="s">
        <v>658</v>
      </c>
      <c r="B122" s="390">
        <f>C122/154</f>
        <v>0.54545454545454541</v>
      </c>
      <c r="C122" s="507">
        <v>84</v>
      </c>
      <c r="D122" s="386">
        <v>1500</v>
      </c>
      <c r="E122" s="387">
        <v>47</v>
      </c>
      <c r="F122" s="386">
        <f>B122*D122*E122%</f>
        <v>384.5454545454545</v>
      </c>
      <c r="G122" s="386">
        <f t="shared" ref="G122" si="68">F122*24.09%</f>
        <v>92.636999999999986</v>
      </c>
      <c r="H122" s="388">
        <f t="shared" ref="H122" si="69">F122+G122</f>
        <v>477.1824545454545</v>
      </c>
      <c r="I122" s="390">
        <f>104/138</f>
        <v>0.75362318840579712</v>
      </c>
      <c r="J122" s="386">
        <v>1500</v>
      </c>
      <c r="K122" s="387">
        <v>20</v>
      </c>
      <c r="L122" s="386">
        <f t="shared" ref="L122:L134" si="70">I122*J122*K122%</f>
        <v>226.08695652173915</v>
      </c>
      <c r="M122" s="386">
        <f t="shared" ref="M122:M123" si="71">L122*24.09%</f>
        <v>54.464347826086964</v>
      </c>
      <c r="N122" s="388">
        <f t="shared" ref="N122:N123" si="72">L122+M122</f>
        <v>280.55130434782609</v>
      </c>
    </row>
    <row r="123" spans="1:15" x14ac:dyDescent="0.25">
      <c r="A123" s="542" t="s">
        <v>659</v>
      </c>
      <c r="B123" s="390">
        <v>0.22727272727272727</v>
      </c>
      <c r="D123" s="507">
        <v>1567</v>
      </c>
      <c r="E123" s="386">
        <v>30</v>
      </c>
      <c r="F123" s="387">
        <v>106.84090909090908</v>
      </c>
      <c r="G123" s="386">
        <v>25.737974999999999</v>
      </c>
      <c r="H123" s="386">
        <v>132.57888409090907</v>
      </c>
      <c r="I123" s="390">
        <v>1</v>
      </c>
      <c r="J123" s="386">
        <v>1567</v>
      </c>
      <c r="K123" s="387">
        <v>20</v>
      </c>
      <c r="L123" s="386">
        <f t="shared" si="70"/>
        <v>313.40000000000003</v>
      </c>
      <c r="M123" s="386">
        <f t="shared" si="71"/>
        <v>75.498060000000009</v>
      </c>
      <c r="N123" s="388">
        <f t="shared" si="72"/>
        <v>388.89806000000004</v>
      </c>
    </row>
    <row r="124" spans="1:15" ht="47.25" x14ac:dyDescent="0.25">
      <c r="A124" s="384" t="s">
        <v>12</v>
      </c>
      <c r="B124" s="385"/>
      <c r="C124" s="507"/>
      <c r="D124" s="386"/>
      <c r="E124" s="387"/>
      <c r="F124" s="386"/>
      <c r="G124" s="386"/>
      <c r="H124" s="388"/>
      <c r="I124" s="385"/>
      <c r="J124" s="386"/>
      <c r="K124" s="387"/>
      <c r="L124" s="386"/>
      <c r="M124" s="386"/>
      <c r="N124" s="388"/>
    </row>
    <row r="125" spans="1:15" x14ac:dyDescent="0.25">
      <c r="A125" s="546" t="s">
        <v>660</v>
      </c>
      <c r="B125" s="390">
        <f>C125/176</f>
        <v>0.15909090909090909</v>
      </c>
      <c r="C125" s="507">
        <v>28</v>
      </c>
      <c r="D125" s="386">
        <v>955</v>
      </c>
      <c r="E125" s="387">
        <v>47</v>
      </c>
      <c r="F125" s="386">
        <f t="shared" ref="F125" si="73">B125*D125*E125%</f>
        <v>71.407954545454544</v>
      </c>
      <c r="G125" s="386">
        <f t="shared" ref="G125" si="74">F125*24.09%</f>
        <v>17.202176250000001</v>
      </c>
      <c r="H125" s="388">
        <f t="shared" ref="H125" si="75">F125+G125</f>
        <v>88.610130795454552</v>
      </c>
      <c r="I125" s="390">
        <f>51.5/158</f>
        <v>0.32594936708860761</v>
      </c>
      <c r="J125" s="386">
        <v>955</v>
      </c>
      <c r="K125" s="387">
        <v>20</v>
      </c>
      <c r="L125" s="386">
        <f t="shared" si="70"/>
        <v>62.256329113924053</v>
      </c>
      <c r="M125" s="386">
        <f t="shared" ref="M125:M142" si="76">L125*24.09%</f>
        <v>14.997549683544305</v>
      </c>
      <c r="N125" s="388">
        <f t="shared" ref="N125:N142" si="77">L125+M125</f>
        <v>77.25387879746836</v>
      </c>
    </row>
    <row r="126" spans="1:15" x14ac:dyDescent="0.25">
      <c r="A126" s="544" t="s">
        <v>661</v>
      </c>
      <c r="B126" s="390">
        <v>0.11363636363636363</v>
      </c>
      <c r="C126" s="507"/>
      <c r="D126" s="386">
        <v>1123</v>
      </c>
      <c r="E126" s="387">
        <v>30</v>
      </c>
      <c r="F126" s="386">
        <v>38.284090909090907</v>
      </c>
      <c r="G126" s="386">
        <v>9.2226374999999994</v>
      </c>
      <c r="H126" s="388">
        <v>47.506728409090904</v>
      </c>
      <c r="I126" s="390">
        <f>80/158</f>
        <v>0.50632911392405067</v>
      </c>
      <c r="J126" s="386">
        <v>1123</v>
      </c>
      <c r="K126" s="387">
        <v>20</v>
      </c>
      <c r="L126" s="386">
        <f t="shared" si="70"/>
        <v>113.72151898734178</v>
      </c>
      <c r="M126" s="386">
        <f t="shared" si="76"/>
        <v>27.395513924050636</v>
      </c>
      <c r="N126" s="388">
        <f t="shared" si="77"/>
        <v>141.11703291139241</v>
      </c>
    </row>
    <row r="127" spans="1:15" x14ac:dyDescent="0.25">
      <c r="A127" s="544" t="s">
        <v>662</v>
      </c>
      <c r="B127" s="390">
        <v>0.22727272727272727</v>
      </c>
      <c r="C127" s="507"/>
      <c r="D127" s="386">
        <v>1107</v>
      </c>
      <c r="E127" s="387">
        <v>30</v>
      </c>
      <c r="F127" s="386">
        <v>75.47727272727272</v>
      </c>
      <c r="G127" s="386">
        <v>18.182474999999997</v>
      </c>
      <c r="H127" s="388">
        <v>93.659747727272716</v>
      </c>
      <c r="I127" s="390">
        <v>1</v>
      </c>
      <c r="J127" s="386">
        <v>1107</v>
      </c>
      <c r="K127" s="387">
        <v>20</v>
      </c>
      <c r="L127" s="386">
        <f t="shared" si="70"/>
        <v>221.4</v>
      </c>
      <c r="M127" s="386">
        <f t="shared" si="76"/>
        <v>53.335260000000005</v>
      </c>
      <c r="N127" s="388">
        <f t="shared" si="77"/>
        <v>274.73526000000004</v>
      </c>
    </row>
    <row r="128" spans="1:15" x14ac:dyDescent="0.25">
      <c r="A128" s="544" t="s">
        <v>663</v>
      </c>
      <c r="B128" s="390">
        <v>0.13636363636363635</v>
      </c>
      <c r="C128" s="507"/>
      <c r="D128" s="386">
        <v>955</v>
      </c>
      <c r="E128" s="387">
        <v>30</v>
      </c>
      <c r="F128" s="386">
        <v>39.068181818181813</v>
      </c>
      <c r="G128" s="386">
        <v>9.4115249999999993</v>
      </c>
      <c r="H128" s="388">
        <v>48.47970681818181</v>
      </c>
      <c r="I128" s="390">
        <f>39/158</f>
        <v>0.24683544303797469</v>
      </c>
      <c r="J128" s="386">
        <v>955</v>
      </c>
      <c r="K128" s="387">
        <v>20</v>
      </c>
      <c r="L128" s="386">
        <f t="shared" si="70"/>
        <v>47.14556962025317</v>
      </c>
      <c r="M128" s="386">
        <f t="shared" si="76"/>
        <v>11.357367721518989</v>
      </c>
      <c r="N128" s="388">
        <f t="shared" si="77"/>
        <v>58.50293734177216</v>
      </c>
    </row>
    <row r="129" spans="1:14" x14ac:dyDescent="0.25">
      <c r="A129" s="544" t="s">
        <v>663</v>
      </c>
      <c r="B129" s="390">
        <v>0.28788196839295888</v>
      </c>
      <c r="C129" s="507"/>
      <c r="D129" s="386">
        <v>812</v>
      </c>
      <c r="E129" s="387">
        <v>30</v>
      </c>
      <c r="F129" s="386">
        <v>70.128047500524772</v>
      </c>
      <c r="G129" s="386">
        <v>16.893846642876419</v>
      </c>
      <c r="H129" s="388">
        <v>87.021894143401198</v>
      </c>
      <c r="I129" s="390">
        <f>192/166.735</f>
        <v>1.1515278735718355</v>
      </c>
      <c r="J129" s="386">
        <v>812</v>
      </c>
      <c r="K129" s="387">
        <v>20</v>
      </c>
      <c r="L129" s="386">
        <f t="shared" si="70"/>
        <v>187.0081266680661</v>
      </c>
      <c r="M129" s="386">
        <f t="shared" si="76"/>
        <v>45.050257714337121</v>
      </c>
      <c r="N129" s="388">
        <f t="shared" si="77"/>
        <v>232.05838438240323</v>
      </c>
    </row>
    <row r="130" spans="1:14" x14ac:dyDescent="0.25">
      <c r="A130" s="544" t="s">
        <v>663</v>
      </c>
      <c r="B130" s="390">
        <v>0.14394098419647944</v>
      </c>
      <c r="C130" s="507"/>
      <c r="D130" s="386">
        <v>812</v>
      </c>
      <c r="E130" s="387">
        <v>30</v>
      </c>
      <c r="F130" s="386">
        <v>35.064023750262386</v>
      </c>
      <c r="G130" s="386">
        <v>8.4469233214382093</v>
      </c>
      <c r="H130" s="388">
        <v>43.510947071700599</v>
      </c>
      <c r="I130" s="390">
        <f>72/166.735</f>
        <v>0.43182295258943831</v>
      </c>
      <c r="J130" s="386">
        <v>812</v>
      </c>
      <c r="K130" s="387">
        <v>20</v>
      </c>
      <c r="L130" s="386">
        <f t="shared" si="70"/>
        <v>70.128047500524787</v>
      </c>
      <c r="M130" s="386">
        <f t="shared" si="76"/>
        <v>16.893846642876422</v>
      </c>
      <c r="N130" s="388">
        <f t="shared" si="77"/>
        <v>87.021894143401212</v>
      </c>
    </row>
    <row r="131" spans="1:14" x14ac:dyDescent="0.25">
      <c r="A131" s="544" t="s">
        <v>663</v>
      </c>
      <c r="B131" s="390">
        <v>0.28788196839295888</v>
      </c>
      <c r="C131" s="507"/>
      <c r="D131" s="386">
        <v>812</v>
      </c>
      <c r="E131" s="387">
        <v>30</v>
      </c>
      <c r="F131" s="386">
        <v>70.128047500524772</v>
      </c>
      <c r="G131" s="386">
        <v>16.893846642876419</v>
      </c>
      <c r="H131" s="388">
        <v>87.021894143401198</v>
      </c>
      <c r="I131" s="390">
        <f>144/166.735</f>
        <v>0.86364590517887663</v>
      </c>
      <c r="J131" s="386">
        <v>812</v>
      </c>
      <c r="K131" s="387">
        <v>20</v>
      </c>
      <c r="L131" s="386">
        <f t="shared" si="70"/>
        <v>140.25609500104957</v>
      </c>
      <c r="M131" s="386">
        <f t="shared" si="76"/>
        <v>33.787693285752844</v>
      </c>
      <c r="N131" s="388">
        <f t="shared" si="77"/>
        <v>174.04378828680242</v>
      </c>
    </row>
    <row r="132" spans="1:14" x14ac:dyDescent="0.25">
      <c r="A132" s="544" t="s">
        <v>663</v>
      </c>
      <c r="B132" s="390">
        <v>0.28788196839295888</v>
      </c>
      <c r="C132" s="507"/>
      <c r="D132" s="386">
        <v>812</v>
      </c>
      <c r="E132" s="387">
        <v>30</v>
      </c>
      <c r="F132" s="386">
        <v>70.128047500524772</v>
      </c>
      <c r="G132" s="386">
        <v>16.893846642876419</v>
      </c>
      <c r="H132" s="388">
        <v>87.021894143401198</v>
      </c>
      <c r="I132" s="390">
        <f>24/166.735</f>
        <v>0.14394098419647944</v>
      </c>
      <c r="J132" s="386">
        <v>812</v>
      </c>
      <c r="K132" s="387">
        <v>20</v>
      </c>
      <c r="L132" s="386">
        <f t="shared" si="70"/>
        <v>23.376015833508262</v>
      </c>
      <c r="M132" s="386">
        <f t="shared" si="76"/>
        <v>5.6312822142921402</v>
      </c>
      <c r="N132" s="388">
        <f t="shared" si="77"/>
        <v>29.007298047800404</v>
      </c>
    </row>
    <row r="133" spans="1:14" x14ac:dyDescent="0.25">
      <c r="A133" s="406" t="s">
        <v>663</v>
      </c>
      <c r="B133" s="390"/>
      <c r="C133" s="507"/>
      <c r="D133" s="386"/>
      <c r="E133" s="387"/>
      <c r="F133" s="386"/>
      <c r="G133" s="386"/>
      <c r="H133" s="388"/>
      <c r="I133" s="390">
        <f>120/166.735</f>
        <v>0.71970492098239713</v>
      </c>
      <c r="J133" s="386">
        <v>812</v>
      </c>
      <c r="K133" s="387">
        <v>20</v>
      </c>
      <c r="L133" s="386">
        <f t="shared" si="70"/>
        <v>116.8800791675413</v>
      </c>
      <c r="M133" s="386">
        <f t="shared" si="76"/>
        <v>28.156411071460699</v>
      </c>
      <c r="N133" s="388">
        <f t="shared" si="77"/>
        <v>145.03649023900201</v>
      </c>
    </row>
    <row r="134" spans="1:14" x14ac:dyDescent="0.25">
      <c r="A134" s="406" t="s">
        <v>663</v>
      </c>
      <c r="B134" s="390"/>
      <c r="C134" s="507"/>
      <c r="D134" s="386"/>
      <c r="E134" s="387"/>
      <c r="F134" s="386"/>
      <c r="G134" s="386"/>
      <c r="H134" s="388"/>
      <c r="I134" s="390">
        <f>168/166.735</f>
        <v>1.0075868893753561</v>
      </c>
      <c r="J134" s="386">
        <v>812</v>
      </c>
      <c r="K134" s="387">
        <v>20</v>
      </c>
      <c r="L134" s="386">
        <f t="shared" si="70"/>
        <v>163.63211083455784</v>
      </c>
      <c r="M134" s="386">
        <f t="shared" si="76"/>
        <v>39.418975500044986</v>
      </c>
      <c r="N134" s="388">
        <f t="shared" si="77"/>
        <v>203.05108633460281</v>
      </c>
    </row>
    <row r="135" spans="1:14" x14ac:dyDescent="0.25">
      <c r="A135" s="406"/>
      <c r="B135" s="390"/>
      <c r="C135" s="507"/>
      <c r="D135" s="386"/>
      <c r="E135" s="387"/>
      <c r="F135" s="386"/>
      <c r="G135" s="386"/>
      <c r="H135" s="388"/>
      <c r="I135" s="390"/>
      <c r="J135" s="386"/>
      <c r="K135" s="387"/>
      <c r="L135" s="386"/>
      <c r="M135" s="386"/>
      <c r="N135" s="388"/>
    </row>
    <row r="136" spans="1:14" x14ac:dyDescent="0.25">
      <c r="A136" s="406" t="s">
        <v>664</v>
      </c>
      <c r="B136" s="390">
        <f>C136/154</f>
        <v>0.54545454545454541</v>
      </c>
      <c r="C136" s="507">
        <v>84</v>
      </c>
      <c r="D136" s="386">
        <v>1003</v>
      </c>
      <c r="E136" s="387">
        <v>47</v>
      </c>
      <c r="F136" s="386">
        <f>B136*D136*E136%</f>
        <v>257.13272727272721</v>
      </c>
      <c r="G136" s="386">
        <f t="shared" ref="G136:G142" si="78">F136*24.09%</f>
        <v>61.943273999999988</v>
      </c>
      <c r="H136" s="388">
        <f t="shared" ref="H136:H142" si="79">F136+G136</f>
        <v>319.07600127272718</v>
      </c>
      <c r="I136" s="390">
        <f>138/138</f>
        <v>1</v>
      </c>
      <c r="J136" s="386">
        <v>1003</v>
      </c>
      <c r="K136" s="387">
        <v>20</v>
      </c>
      <c r="L136" s="386">
        <f t="shared" ref="L136:L142" si="80">I136*J136*K136%</f>
        <v>200.60000000000002</v>
      </c>
      <c r="M136" s="386">
        <f t="shared" si="76"/>
        <v>48.324540000000006</v>
      </c>
      <c r="N136" s="388">
        <f t="shared" si="77"/>
        <v>248.92454000000004</v>
      </c>
    </row>
    <row r="137" spans="1:14" x14ac:dyDescent="0.25">
      <c r="A137" s="406" t="s">
        <v>664</v>
      </c>
      <c r="B137" s="390">
        <f t="shared" ref="B137" si="81">C137/154</f>
        <v>0.31168831168831168</v>
      </c>
      <c r="C137" s="507">
        <v>48</v>
      </c>
      <c r="D137" s="386">
        <v>963</v>
      </c>
      <c r="E137" s="387">
        <v>47</v>
      </c>
      <c r="F137" s="386">
        <f>B137*D137*E137%</f>
        <v>141.07324675324674</v>
      </c>
      <c r="G137" s="386">
        <f t="shared" si="78"/>
        <v>33.984545142857137</v>
      </c>
      <c r="H137" s="388">
        <f t="shared" si="79"/>
        <v>175.05779189610388</v>
      </c>
      <c r="I137" s="390">
        <f>69/138</f>
        <v>0.5</v>
      </c>
      <c r="J137" s="386">
        <v>963</v>
      </c>
      <c r="K137" s="387">
        <v>20</v>
      </c>
      <c r="L137" s="386">
        <f t="shared" si="80"/>
        <v>96.300000000000011</v>
      </c>
      <c r="M137" s="386">
        <f t="shared" si="76"/>
        <v>23.198670000000003</v>
      </c>
      <c r="N137" s="388">
        <f t="shared" si="77"/>
        <v>119.49867000000002</v>
      </c>
    </row>
    <row r="138" spans="1:14" x14ac:dyDescent="0.25">
      <c r="A138" s="406" t="s">
        <v>664</v>
      </c>
      <c r="B138" s="390">
        <f>C138/145.9</f>
        <v>0.32899246058944481</v>
      </c>
      <c r="C138" s="507">
        <v>48</v>
      </c>
      <c r="D138" s="386">
        <v>925</v>
      </c>
      <c r="E138" s="387">
        <v>47</v>
      </c>
      <c r="F138" s="386">
        <f>B138*D138*E138%+0.004</f>
        <v>143.03347224126114</v>
      </c>
      <c r="G138" s="386">
        <f t="shared" si="78"/>
        <v>34.45676346291981</v>
      </c>
      <c r="H138" s="388">
        <f t="shared" si="79"/>
        <v>177.49023570418095</v>
      </c>
      <c r="I138" s="390">
        <f>96/145.899</f>
        <v>0.65798943104476382</v>
      </c>
      <c r="J138" s="386">
        <v>925</v>
      </c>
      <c r="K138" s="387">
        <v>20</v>
      </c>
      <c r="L138" s="386">
        <f t="shared" si="80"/>
        <v>121.72804474328132</v>
      </c>
      <c r="M138" s="386">
        <f t="shared" si="76"/>
        <v>29.324285978656469</v>
      </c>
      <c r="N138" s="388">
        <f t="shared" si="77"/>
        <v>151.05233072193778</v>
      </c>
    </row>
    <row r="139" spans="1:14" x14ac:dyDescent="0.25">
      <c r="A139" s="406" t="s">
        <v>664</v>
      </c>
      <c r="B139" s="390">
        <f>C139/145.8</f>
        <v>0.32921810699588477</v>
      </c>
      <c r="C139" s="507">
        <v>48</v>
      </c>
      <c r="D139" s="386">
        <v>885</v>
      </c>
      <c r="E139" s="387">
        <v>47</v>
      </c>
      <c r="F139" s="386">
        <f>B139*D139*E139%+0.004</f>
        <v>136.94227160493824</v>
      </c>
      <c r="G139" s="386">
        <f t="shared" si="78"/>
        <v>32.98939322962962</v>
      </c>
      <c r="H139" s="388">
        <f t="shared" si="79"/>
        <v>169.93166483456787</v>
      </c>
      <c r="I139" s="390">
        <f>144/145.799</f>
        <v>0.98766109506923916</v>
      </c>
      <c r="J139" s="386">
        <v>885</v>
      </c>
      <c r="K139" s="387">
        <v>20</v>
      </c>
      <c r="L139" s="386">
        <f t="shared" si="80"/>
        <v>174.81601382725535</v>
      </c>
      <c r="M139" s="386">
        <f t="shared" si="76"/>
        <v>42.113177730985811</v>
      </c>
      <c r="N139" s="388">
        <f t="shared" si="77"/>
        <v>216.92919155824114</v>
      </c>
    </row>
    <row r="140" spans="1:14" x14ac:dyDescent="0.25">
      <c r="A140" s="406" t="s">
        <v>664</v>
      </c>
      <c r="B140" s="390">
        <f t="shared" ref="B140:B142" si="82">C140/145.8</f>
        <v>0.82304526748971185</v>
      </c>
      <c r="C140" s="507">
        <v>120</v>
      </c>
      <c r="D140" s="386">
        <v>885</v>
      </c>
      <c r="E140" s="387">
        <v>47</v>
      </c>
      <c r="F140" s="386">
        <f>B140*D140*E140%+0.001</f>
        <v>342.34667901234565</v>
      </c>
      <c r="G140" s="386">
        <f t="shared" si="78"/>
        <v>82.471314974074062</v>
      </c>
      <c r="H140" s="388">
        <f t="shared" si="79"/>
        <v>424.81799398641971</v>
      </c>
      <c r="I140" s="390">
        <f>168/145.799</f>
        <v>1.1522712775807791</v>
      </c>
      <c r="J140" s="386">
        <v>885</v>
      </c>
      <c r="K140" s="387">
        <v>20</v>
      </c>
      <c r="L140" s="386">
        <f t="shared" si="80"/>
        <v>203.9520161317979</v>
      </c>
      <c r="M140" s="386">
        <f t="shared" si="76"/>
        <v>49.132040686150113</v>
      </c>
      <c r="N140" s="388">
        <f t="shared" si="77"/>
        <v>253.08405681794801</v>
      </c>
    </row>
    <row r="141" spans="1:14" x14ac:dyDescent="0.25">
      <c r="A141" s="406" t="s">
        <v>664</v>
      </c>
      <c r="B141" s="390">
        <f>C141/145.9</f>
        <v>0.59629883481836876</v>
      </c>
      <c r="C141" s="507">
        <v>87</v>
      </c>
      <c r="D141" s="386">
        <v>925</v>
      </c>
      <c r="E141" s="387">
        <v>47</v>
      </c>
      <c r="F141" s="386">
        <f t="shared" ref="F141:F142" si="83">B141*D141*E141%</f>
        <v>259.24091843728581</v>
      </c>
      <c r="G141" s="386">
        <f t="shared" si="78"/>
        <v>62.45113725154215</v>
      </c>
      <c r="H141" s="388">
        <f t="shared" si="79"/>
        <v>321.69205568882796</v>
      </c>
      <c r="I141" s="390">
        <f>192/145.899</f>
        <v>1.3159788620895276</v>
      </c>
      <c r="J141" s="386">
        <v>925</v>
      </c>
      <c r="K141" s="387">
        <v>20</v>
      </c>
      <c r="L141" s="386">
        <f t="shared" si="80"/>
        <v>243.45608948656263</v>
      </c>
      <c r="M141" s="386">
        <f t="shared" si="76"/>
        <v>58.648571957312939</v>
      </c>
      <c r="N141" s="388">
        <f t="shared" si="77"/>
        <v>302.10466144387556</v>
      </c>
    </row>
    <row r="142" spans="1:14" x14ac:dyDescent="0.25">
      <c r="A142" s="406" t="s">
        <v>664</v>
      </c>
      <c r="B142" s="390">
        <f t="shared" si="82"/>
        <v>0.65843621399176955</v>
      </c>
      <c r="C142" s="507">
        <v>96</v>
      </c>
      <c r="D142" s="386">
        <v>885</v>
      </c>
      <c r="E142" s="387">
        <v>47</v>
      </c>
      <c r="F142" s="386">
        <f t="shared" si="83"/>
        <v>273.8765432098765</v>
      </c>
      <c r="G142" s="386">
        <f t="shared" si="78"/>
        <v>65.976859259259257</v>
      </c>
      <c r="H142" s="388">
        <f t="shared" si="79"/>
        <v>339.85340246913574</v>
      </c>
      <c r="I142" s="390">
        <f>120/145.799</f>
        <v>0.82305091255769924</v>
      </c>
      <c r="J142" s="386">
        <v>885</v>
      </c>
      <c r="K142" s="387">
        <v>20</v>
      </c>
      <c r="L142" s="386">
        <f t="shared" si="80"/>
        <v>145.68001152271276</v>
      </c>
      <c r="M142" s="386">
        <f t="shared" si="76"/>
        <v>35.094314775821502</v>
      </c>
      <c r="N142" s="388">
        <f t="shared" si="77"/>
        <v>180.77432629853428</v>
      </c>
    </row>
    <row r="143" spans="1:14" ht="47.25" x14ac:dyDescent="0.25">
      <c r="A143" s="384" t="s">
        <v>13</v>
      </c>
      <c r="B143" s="385"/>
      <c r="C143" s="507"/>
      <c r="D143" s="386"/>
      <c r="E143" s="387"/>
      <c r="F143" s="386"/>
      <c r="G143" s="386"/>
      <c r="H143" s="388"/>
      <c r="I143" s="385"/>
      <c r="J143" s="386"/>
      <c r="K143" s="387"/>
      <c r="L143" s="386"/>
      <c r="M143" s="386"/>
      <c r="N143" s="388"/>
    </row>
    <row r="144" spans="1:14" x14ac:dyDescent="0.25">
      <c r="A144" s="389"/>
      <c r="B144" s="385"/>
      <c r="C144" s="507"/>
      <c r="D144" s="386"/>
      <c r="E144" s="387"/>
      <c r="F144" s="386"/>
      <c r="G144" s="386"/>
      <c r="H144" s="388"/>
      <c r="I144" s="385"/>
      <c r="J144" s="386"/>
      <c r="K144" s="387"/>
      <c r="L144" s="386"/>
      <c r="M144" s="386"/>
      <c r="N144" s="388"/>
    </row>
    <row r="145" spans="1:14" ht="31.5" x14ac:dyDescent="0.25">
      <c r="A145" s="384" t="s">
        <v>11</v>
      </c>
      <c r="B145" s="385"/>
      <c r="C145" s="507"/>
      <c r="D145" s="386"/>
      <c r="E145" s="387"/>
      <c r="F145" s="386"/>
      <c r="G145" s="386"/>
      <c r="H145" s="388"/>
      <c r="I145" s="385"/>
      <c r="J145" s="386"/>
      <c r="K145" s="387"/>
      <c r="L145" s="386"/>
      <c r="M145" s="386"/>
      <c r="N145" s="388"/>
    </row>
    <row r="146" spans="1:14" x14ac:dyDescent="0.25">
      <c r="A146" s="384" t="s">
        <v>1</v>
      </c>
      <c r="B146" s="517"/>
      <c r="C146" s="517"/>
      <c r="D146" s="517"/>
      <c r="E146" s="517"/>
      <c r="F146" s="517"/>
      <c r="G146" s="517"/>
      <c r="H146" s="517"/>
      <c r="I146" s="385"/>
      <c r="J146" s="386"/>
      <c r="K146" s="386"/>
      <c r="L146" s="386"/>
      <c r="M146" s="386"/>
      <c r="N146" s="388"/>
    </row>
    <row r="147" spans="1:14" x14ac:dyDescent="0.25">
      <c r="A147" s="382" t="s">
        <v>159</v>
      </c>
      <c r="B147" s="396">
        <f>SUM(B148:B184)</f>
        <v>10.163414535091672</v>
      </c>
      <c r="C147" s="396"/>
      <c r="D147" s="396"/>
      <c r="E147" s="396"/>
      <c r="F147" s="396">
        <f t="shared" ref="F147:G147" si="84">SUM(F148:F184)</f>
        <v>2284.4201582123874</v>
      </c>
      <c r="G147" s="396">
        <f t="shared" si="84"/>
        <v>550.3168161133641</v>
      </c>
      <c r="H147" s="396">
        <f>SUM(H148:H184)</f>
        <v>2834.7369743257514</v>
      </c>
      <c r="I147" s="396">
        <f>SUM(I148:I185)</f>
        <v>20.988221453949528</v>
      </c>
      <c r="J147" s="396"/>
      <c r="K147" s="396"/>
      <c r="L147" s="396">
        <f t="shared" ref="L147:N147" si="85">SUM(L148:L185)</f>
        <v>3437.2178332304488</v>
      </c>
      <c r="M147" s="396">
        <f t="shared" si="85"/>
        <v>828.02577602521512</v>
      </c>
      <c r="N147" s="396">
        <f t="shared" si="85"/>
        <v>4265.2436092556645</v>
      </c>
    </row>
    <row r="148" spans="1:14" ht="31.5" x14ac:dyDescent="0.25">
      <c r="A148" s="384" t="s">
        <v>14</v>
      </c>
      <c r="B148" s="385"/>
      <c r="C148" s="507"/>
      <c r="D148" s="386"/>
      <c r="E148" s="387"/>
      <c r="F148" s="386"/>
      <c r="G148" s="386"/>
      <c r="H148" s="388"/>
      <c r="I148" s="385"/>
      <c r="J148" s="386"/>
      <c r="K148" s="387"/>
      <c r="L148" s="386"/>
      <c r="M148" s="386"/>
      <c r="N148" s="388"/>
    </row>
    <row r="149" spans="1:14" x14ac:dyDescent="0.25">
      <c r="A149" s="389" t="s">
        <v>640</v>
      </c>
      <c r="B149" s="390"/>
      <c r="C149" s="507"/>
      <c r="D149" s="386"/>
      <c r="E149" s="387"/>
      <c r="F149" s="386"/>
      <c r="G149" s="386"/>
      <c r="H149" s="388"/>
      <c r="I149" s="390">
        <v>1</v>
      </c>
      <c r="J149" s="386">
        <v>1358</v>
      </c>
      <c r="K149" s="387">
        <v>20</v>
      </c>
      <c r="L149" s="386">
        <f>I149*J149*K149%</f>
        <v>271.60000000000002</v>
      </c>
      <c r="M149" s="386">
        <f t="shared" ref="M149:M150" si="86">L149*24.09%</f>
        <v>65.428440000000009</v>
      </c>
      <c r="N149" s="388">
        <f t="shared" ref="N149:N150" si="87">L149+M149</f>
        <v>337.02844000000005</v>
      </c>
    </row>
    <row r="150" spans="1:14" x14ac:dyDescent="0.25">
      <c r="A150" s="545" t="s">
        <v>640</v>
      </c>
      <c r="B150" s="390">
        <f>46/176</f>
        <v>0.26136363636363635</v>
      </c>
      <c r="C150" s="507"/>
      <c r="D150" s="386">
        <v>1358</v>
      </c>
      <c r="E150" s="387">
        <v>30</v>
      </c>
      <c r="F150" s="386">
        <v>106.47954545454546</v>
      </c>
      <c r="G150" s="386">
        <v>25.6509225</v>
      </c>
      <c r="H150" s="388">
        <v>132.13046795454545</v>
      </c>
      <c r="I150" s="390">
        <v>1</v>
      </c>
      <c r="J150" s="386">
        <v>1358</v>
      </c>
      <c r="K150" s="387">
        <v>20</v>
      </c>
      <c r="L150" s="386">
        <f>I150*J150*K150%</f>
        <v>271.60000000000002</v>
      </c>
      <c r="M150" s="386">
        <f t="shared" si="86"/>
        <v>65.428440000000009</v>
      </c>
      <c r="N150" s="388">
        <f t="shared" si="87"/>
        <v>337.02844000000005</v>
      </c>
    </row>
    <row r="151" spans="1:14" ht="47.25" x14ac:dyDescent="0.25">
      <c r="A151" s="384" t="s">
        <v>12</v>
      </c>
      <c r="B151" s="385"/>
      <c r="C151" s="507"/>
      <c r="D151" s="386"/>
      <c r="E151" s="387"/>
      <c r="F151" s="386"/>
      <c r="G151" s="386"/>
      <c r="H151" s="388"/>
      <c r="I151" s="385"/>
      <c r="J151" s="386"/>
      <c r="K151" s="387"/>
      <c r="L151" s="386"/>
      <c r="M151" s="386"/>
      <c r="N151" s="388"/>
    </row>
    <row r="152" spans="1:14" x14ac:dyDescent="0.25">
      <c r="A152" s="546" t="s">
        <v>96</v>
      </c>
      <c r="B152" s="390">
        <f>40/176</f>
        <v>0.22727272727272727</v>
      </c>
      <c r="C152" s="507"/>
      <c r="D152" s="386">
        <v>1253</v>
      </c>
      <c r="E152" s="387">
        <v>30</v>
      </c>
      <c r="F152" s="386">
        <v>85.431818181818173</v>
      </c>
      <c r="G152" s="386">
        <v>20.580524999999998</v>
      </c>
      <c r="H152" s="388">
        <v>106.01234318181817</v>
      </c>
      <c r="I152" s="390">
        <v>1</v>
      </c>
      <c r="J152" s="386">
        <v>1253</v>
      </c>
      <c r="K152" s="387">
        <v>20</v>
      </c>
      <c r="L152" s="386">
        <f>I152*J152*K152%</f>
        <v>250.60000000000002</v>
      </c>
      <c r="M152" s="386">
        <f t="shared" ref="M152:M168" si="88">L152*24.09%</f>
        <v>60.369540000000008</v>
      </c>
      <c r="N152" s="388">
        <f t="shared" ref="N152:N168" si="89">L152+M152</f>
        <v>310.96954000000005</v>
      </c>
    </row>
    <row r="153" spans="1:14" ht="45" x14ac:dyDescent="0.25">
      <c r="A153" s="544" t="s">
        <v>665</v>
      </c>
      <c r="B153" s="390">
        <f>24/166.73</f>
        <v>0.14394530078570145</v>
      </c>
      <c r="C153" s="507"/>
      <c r="D153" s="386">
        <v>852</v>
      </c>
      <c r="E153" s="387">
        <v>30</v>
      </c>
      <c r="F153" s="386">
        <v>36.792418880825288</v>
      </c>
      <c r="G153" s="386">
        <v>8.8632937083908114</v>
      </c>
      <c r="H153" s="388">
        <v>45.655712589216101</v>
      </c>
      <c r="I153" s="390">
        <f>48/166.73</f>
        <v>0.28789060157140289</v>
      </c>
      <c r="J153" s="386">
        <v>852</v>
      </c>
      <c r="K153" s="387">
        <v>20</v>
      </c>
      <c r="L153" s="386">
        <f>I153*J153*K153%</f>
        <v>49.056558507767051</v>
      </c>
      <c r="M153" s="386">
        <f t="shared" si="88"/>
        <v>11.817724944521082</v>
      </c>
      <c r="N153" s="388">
        <f t="shared" si="89"/>
        <v>60.874283452288132</v>
      </c>
    </row>
    <row r="154" spans="1:14" ht="45" x14ac:dyDescent="0.25">
      <c r="A154" s="544" t="s">
        <v>665</v>
      </c>
      <c r="B154" s="390">
        <f>72/166.73</f>
        <v>0.43183590235710434</v>
      </c>
      <c r="C154" s="507"/>
      <c r="D154" s="386">
        <v>852</v>
      </c>
      <c r="E154" s="387">
        <v>30</v>
      </c>
      <c r="F154" s="386">
        <v>110.37725664247587</v>
      </c>
      <c r="G154" s="386">
        <v>26.589881125172436</v>
      </c>
      <c r="H154" s="388">
        <v>136.9671377676483</v>
      </c>
      <c r="I154" s="390">
        <f>177/166.73</f>
        <v>1.0615965932945481</v>
      </c>
      <c r="J154" s="386">
        <v>852</v>
      </c>
      <c r="K154" s="387">
        <v>20</v>
      </c>
      <c r="L154" s="386">
        <f>I154*J154*K154%-0.01</f>
        <v>180.88605949739102</v>
      </c>
      <c r="M154" s="386">
        <f t="shared" si="88"/>
        <v>43.575451732921493</v>
      </c>
      <c r="N154" s="388">
        <f t="shared" si="89"/>
        <v>224.46151123031251</v>
      </c>
    </row>
    <row r="155" spans="1:14" ht="45" x14ac:dyDescent="0.25">
      <c r="A155" s="544" t="s">
        <v>665</v>
      </c>
      <c r="B155" s="390">
        <f>24/166.73</f>
        <v>0.14394530078570145</v>
      </c>
      <c r="C155" s="507"/>
      <c r="D155" s="386">
        <v>852</v>
      </c>
      <c r="E155" s="387">
        <v>30</v>
      </c>
      <c r="F155" s="386">
        <v>36.792418880825288</v>
      </c>
      <c r="G155" s="386">
        <v>8.8632937083908114</v>
      </c>
      <c r="H155" s="388">
        <v>45.655712589216101</v>
      </c>
      <c r="I155" s="390">
        <f t="shared" ref="I155" si="90">48/166.73</f>
        <v>0.28789060157140289</v>
      </c>
      <c r="J155" s="386">
        <v>852</v>
      </c>
      <c r="K155" s="387">
        <v>20</v>
      </c>
      <c r="L155" s="386">
        <f>I155*J155*K155%</f>
        <v>49.056558507767051</v>
      </c>
      <c r="M155" s="386">
        <f t="shared" si="88"/>
        <v>11.817724944521082</v>
      </c>
      <c r="N155" s="388">
        <f t="shared" si="89"/>
        <v>60.874283452288132</v>
      </c>
    </row>
    <row r="156" spans="1:14" ht="45" x14ac:dyDescent="0.25">
      <c r="A156" s="544" t="s">
        <v>665</v>
      </c>
      <c r="B156" s="390">
        <f>24/166.73</f>
        <v>0.14394530078570145</v>
      </c>
      <c r="C156" s="507"/>
      <c r="D156" s="386">
        <v>852</v>
      </c>
      <c r="E156" s="387">
        <v>30</v>
      </c>
      <c r="F156" s="386">
        <v>36.792418880825288</v>
      </c>
      <c r="G156" s="386">
        <v>8.8632937083908114</v>
      </c>
      <c r="H156" s="388">
        <v>45.655712589216101</v>
      </c>
      <c r="I156" s="390">
        <f>183/166.73</f>
        <v>1.0975829184909736</v>
      </c>
      <c r="J156" s="386">
        <v>852</v>
      </c>
      <c r="K156" s="387">
        <v>20</v>
      </c>
      <c r="L156" s="386">
        <f>I156*J156*K156%</f>
        <v>187.02812931086191</v>
      </c>
      <c r="M156" s="386">
        <f t="shared" si="88"/>
        <v>45.055076350986639</v>
      </c>
      <c r="N156" s="388">
        <f t="shared" si="89"/>
        <v>232.08320566184855</v>
      </c>
    </row>
    <row r="157" spans="1:14" ht="45" x14ac:dyDescent="0.25">
      <c r="A157" s="544" t="s">
        <v>665</v>
      </c>
      <c r="B157" s="390">
        <f>63/166.73</f>
        <v>0.37785641456246627</v>
      </c>
      <c r="C157" s="507"/>
      <c r="D157" s="386">
        <v>852</v>
      </c>
      <c r="E157" s="387">
        <v>30</v>
      </c>
      <c r="F157" s="386">
        <v>96.580099562166382</v>
      </c>
      <c r="G157" s="386">
        <v>23.266145984525881</v>
      </c>
      <c r="H157" s="388">
        <v>119.84624554669226</v>
      </c>
      <c r="I157" s="390">
        <f>96/166.73</f>
        <v>0.57578120314280579</v>
      </c>
      <c r="J157" s="386">
        <v>852</v>
      </c>
      <c r="K157" s="387">
        <v>20</v>
      </c>
      <c r="L157" s="386">
        <f>I157*J157*K157%</f>
        <v>98.113117015534101</v>
      </c>
      <c r="M157" s="386">
        <f t="shared" si="88"/>
        <v>23.635449889042164</v>
      </c>
      <c r="N157" s="388">
        <f t="shared" si="89"/>
        <v>121.74856690457626</v>
      </c>
    </row>
    <row r="158" spans="1:14" ht="45" x14ac:dyDescent="0.25">
      <c r="A158" s="544" t="s">
        <v>665</v>
      </c>
      <c r="B158" s="390">
        <f>192/166.74</f>
        <v>1.1514933429291112</v>
      </c>
      <c r="C158" s="507"/>
      <c r="D158" s="386">
        <v>772</v>
      </c>
      <c r="E158" s="387">
        <v>30</v>
      </c>
      <c r="F158" s="386">
        <v>266.68585822238214</v>
      </c>
      <c r="G158" s="386">
        <v>64.244623245771862</v>
      </c>
      <c r="H158" s="388">
        <v>330.93048146815397</v>
      </c>
      <c r="I158" s="390">
        <f>72/166.73</f>
        <v>0.43183590235710434</v>
      </c>
      <c r="J158" s="386">
        <v>852</v>
      </c>
      <c r="K158" s="387">
        <v>20</v>
      </c>
      <c r="L158" s="386">
        <f>I158*J158*K158%</f>
        <v>73.584837761650576</v>
      </c>
      <c r="M158" s="386">
        <f t="shared" si="88"/>
        <v>17.726587416781623</v>
      </c>
      <c r="N158" s="388">
        <f t="shared" si="89"/>
        <v>91.311425178432202</v>
      </c>
    </row>
    <row r="159" spans="1:14" ht="45" x14ac:dyDescent="0.25">
      <c r="A159" s="544" t="s">
        <v>665</v>
      </c>
      <c r="B159" s="390">
        <f>48/166.74</f>
        <v>0.2878733357322778</v>
      </c>
      <c r="C159" s="507"/>
      <c r="D159" s="386">
        <v>852</v>
      </c>
      <c r="E159" s="387">
        <v>30</v>
      </c>
      <c r="F159" s="386">
        <v>73.580424613170194</v>
      </c>
      <c r="G159" s="386">
        <v>17.725524289312698</v>
      </c>
      <c r="H159" s="388">
        <v>91.305948902482896</v>
      </c>
      <c r="I159" s="390">
        <f>39/166.73</f>
        <v>0.23391111377676485</v>
      </c>
      <c r="J159" s="386">
        <v>772</v>
      </c>
      <c r="K159" s="387">
        <v>20</v>
      </c>
      <c r="L159" s="386">
        <f>I159*J159*K159%-0.01</f>
        <v>36.105875967132491</v>
      </c>
      <c r="M159" s="386">
        <f t="shared" si="88"/>
        <v>8.6979055204822178</v>
      </c>
      <c r="N159" s="388">
        <f t="shared" si="89"/>
        <v>44.803781487614707</v>
      </c>
    </row>
    <row r="160" spans="1:14" ht="45" x14ac:dyDescent="0.25">
      <c r="A160" s="544" t="s">
        <v>665</v>
      </c>
      <c r="B160" s="390">
        <f>24/166.74</f>
        <v>0.1439366678661389</v>
      </c>
      <c r="C160" s="507"/>
      <c r="D160" s="386">
        <v>812</v>
      </c>
      <c r="E160" s="387">
        <v>30</v>
      </c>
      <c r="F160" s="386">
        <v>35.062972292191439</v>
      </c>
      <c r="G160" s="386">
        <v>8.4466700251889186</v>
      </c>
      <c r="H160" s="388">
        <v>43.509642317380354</v>
      </c>
      <c r="I160" s="390">
        <f>96/166.73</f>
        <v>0.57578120314280579</v>
      </c>
      <c r="J160" s="386">
        <v>852</v>
      </c>
      <c r="K160" s="387">
        <v>20</v>
      </c>
      <c r="L160" s="386">
        <f>I160*J160*K160%</f>
        <v>98.113117015534101</v>
      </c>
      <c r="M160" s="386">
        <f t="shared" si="88"/>
        <v>23.635449889042164</v>
      </c>
      <c r="N160" s="388">
        <f t="shared" si="89"/>
        <v>121.74856690457626</v>
      </c>
    </row>
    <row r="161" spans="1:14" ht="45" x14ac:dyDescent="0.25">
      <c r="A161" s="544" t="s">
        <v>665</v>
      </c>
      <c r="B161" s="390">
        <f>24/166.74</f>
        <v>0.1439366678661389</v>
      </c>
      <c r="C161" s="507"/>
      <c r="D161" s="386">
        <v>852</v>
      </c>
      <c r="E161" s="387">
        <v>30</v>
      </c>
      <c r="F161" s="386">
        <v>36.790212306585097</v>
      </c>
      <c r="G161" s="386">
        <v>8.8627621446563492</v>
      </c>
      <c r="H161" s="388">
        <v>45.652974451241448</v>
      </c>
      <c r="I161" s="390">
        <f>72/166.73</f>
        <v>0.43183590235710434</v>
      </c>
      <c r="J161" s="386">
        <v>812</v>
      </c>
      <c r="K161" s="387">
        <v>20</v>
      </c>
      <c r="L161" s="386">
        <f t="shared" ref="L161:L168" si="91">I161*J161*K161%</f>
        <v>70.130150542793743</v>
      </c>
      <c r="M161" s="386">
        <f t="shared" si="88"/>
        <v>16.894353265759012</v>
      </c>
      <c r="N161" s="388">
        <f t="shared" si="89"/>
        <v>87.024503808552751</v>
      </c>
    </row>
    <row r="162" spans="1:14" ht="45" x14ac:dyDescent="0.25">
      <c r="A162" s="544" t="s">
        <v>665</v>
      </c>
      <c r="B162" s="390">
        <f>72/166.74</f>
        <v>0.43181000359841665</v>
      </c>
      <c r="C162" s="507"/>
      <c r="D162" s="386">
        <v>812</v>
      </c>
      <c r="E162" s="387">
        <v>30</v>
      </c>
      <c r="F162" s="386">
        <v>105.1889168765743</v>
      </c>
      <c r="G162" s="386">
        <v>25.340010075566749</v>
      </c>
      <c r="H162" s="388">
        <v>130.52892695214103</v>
      </c>
      <c r="I162" s="390">
        <f>48/166.73</f>
        <v>0.28789060157140289</v>
      </c>
      <c r="J162" s="386">
        <v>812</v>
      </c>
      <c r="K162" s="387">
        <v>20</v>
      </c>
      <c r="L162" s="386">
        <f t="shared" si="91"/>
        <v>46.753433695195838</v>
      </c>
      <c r="M162" s="386">
        <f t="shared" si="88"/>
        <v>11.262902177172677</v>
      </c>
      <c r="N162" s="388">
        <f t="shared" si="89"/>
        <v>58.016335872368515</v>
      </c>
    </row>
    <row r="163" spans="1:14" ht="45" x14ac:dyDescent="0.25">
      <c r="A163" s="544" t="s">
        <v>665</v>
      </c>
      <c r="B163" s="390">
        <f>48/166.74</f>
        <v>0.2878733357322778</v>
      </c>
      <c r="C163" s="507"/>
      <c r="D163" s="386">
        <v>852</v>
      </c>
      <c r="E163" s="387">
        <v>30</v>
      </c>
      <c r="F163" s="386">
        <v>73.580424613170194</v>
      </c>
      <c r="G163" s="386">
        <v>17.725524289312698</v>
      </c>
      <c r="H163" s="388">
        <v>91.305948902482896</v>
      </c>
      <c r="I163" s="390">
        <f t="shared" ref="I163" si="92">96/166.73</f>
        <v>0.57578120314280579</v>
      </c>
      <c r="J163" s="386">
        <v>852</v>
      </c>
      <c r="K163" s="387">
        <v>20</v>
      </c>
      <c r="L163" s="386">
        <f t="shared" si="91"/>
        <v>98.113117015534101</v>
      </c>
      <c r="M163" s="386">
        <f t="shared" si="88"/>
        <v>23.635449889042164</v>
      </c>
      <c r="N163" s="388">
        <f t="shared" si="89"/>
        <v>121.74856690457626</v>
      </c>
    </row>
    <row r="164" spans="1:14" ht="45" x14ac:dyDescent="0.25">
      <c r="A164" s="544" t="s">
        <v>665</v>
      </c>
      <c r="B164" s="390">
        <f>9/166.74</f>
        <v>5.3976250449802081E-2</v>
      </c>
      <c r="C164" s="507"/>
      <c r="D164" s="386">
        <v>812</v>
      </c>
      <c r="E164" s="387">
        <v>30</v>
      </c>
      <c r="F164" s="386">
        <v>13.148614609571787</v>
      </c>
      <c r="G164" s="386">
        <v>3.1675012594458436</v>
      </c>
      <c r="H164" s="388">
        <v>16.316115869017629</v>
      </c>
      <c r="I164" s="390">
        <f>72/166.73</f>
        <v>0.43183590235710434</v>
      </c>
      <c r="J164" s="386">
        <v>812</v>
      </c>
      <c r="K164" s="387">
        <v>20</v>
      </c>
      <c r="L164" s="386">
        <f t="shared" si="91"/>
        <v>70.130150542793743</v>
      </c>
      <c r="M164" s="386">
        <f t="shared" si="88"/>
        <v>16.894353265759012</v>
      </c>
      <c r="N164" s="388">
        <f t="shared" si="89"/>
        <v>87.024503808552751</v>
      </c>
    </row>
    <row r="165" spans="1:14" ht="45" x14ac:dyDescent="0.25">
      <c r="A165" s="544" t="s">
        <v>665</v>
      </c>
      <c r="B165" s="390">
        <f>96/166.73</f>
        <v>0.57578120314280579</v>
      </c>
      <c r="C165" s="507"/>
      <c r="D165" s="386">
        <v>812</v>
      </c>
      <c r="E165" s="387">
        <v>30</v>
      </c>
      <c r="F165" s="386">
        <v>140.26030108558749</v>
      </c>
      <c r="G165" s="386">
        <v>33.788706531518024</v>
      </c>
      <c r="H165" s="388">
        <v>174.0490076171055</v>
      </c>
      <c r="I165" s="390">
        <f>72/166.73</f>
        <v>0.43183590235710434</v>
      </c>
      <c r="J165" s="386">
        <v>852</v>
      </c>
      <c r="K165" s="387">
        <v>20</v>
      </c>
      <c r="L165" s="386">
        <f t="shared" si="91"/>
        <v>73.584837761650576</v>
      </c>
      <c r="M165" s="386">
        <f t="shared" si="88"/>
        <v>17.726587416781623</v>
      </c>
      <c r="N165" s="388">
        <f t="shared" si="89"/>
        <v>91.311425178432202</v>
      </c>
    </row>
    <row r="166" spans="1:14" ht="45" x14ac:dyDescent="0.25">
      <c r="A166" s="544" t="s">
        <v>665</v>
      </c>
      <c r="B166" s="390">
        <f>24/166.73</f>
        <v>0.14394530078570145</v>
      </c>
      <c r="C166" s="507"/>
      <c r="D166" s="386">
        <v>852</v>
      </c>
      <c r="E166" s="387">
        <v>30</v>
      </c>
      <c r="F166" s="386">
        <v>36.792418880825288</v>
      </c>
      <c r="G166" s="386">
        <v>8.8632937083908114</v>
      </c>
      <c r="H166" s="388">
        <v>45.655712589216101</v>
      </c>
      <c r="I166" s="390">
        <f>57/166.73</f>
        <v>0.34187008936604091</v>
      </c>
      <c r="J166" s="386">
        <v>812</v>
      </c>
      <c r="K166" s="387">
        <v>20</v>
      </c>
      <c r="L166" s="386">
        <f t="shared" si="91"/>
        <v>55.519702513045047</v>
      </c>
      <c r="M166" s="386">
        <f t="shared" si="88"/>
        <v>13.374696335392551</v>
      </c>
      <c r="N166" s="388">
        <f t="shared" si="89"/>
        <v>68.894398848437604</v>
      </c>
    </row>
    <row r="167" spans="1:14" ht="45" x14ac:dyDescent="0.25">
      <c r="A167" s="406" t="s">
        <v>665</v>
      </c>
      <c r="B167" s="385"/>
      <c r="C167" s="507"/>
      <c r="D167" s="386"/>
      <c r="E167" s="387"/>
      <c r="F167" s="386"/>
      <c r="G167" s="386"/>
      <c r="H167" s="388"/>
      <c r="I167" s="390">
        <f>72/166.73</f>
        <v>0.43183590235710434</v>
      </c>
      <c r="J167" s="386">
        <v>812</v>
      </c>
      <c r="K167" s="387">
        <v>20</v>
      </c>
      <c r="L167" s="386">
        <f t="shared" si="91"/>
        <v>70.130150542793743</v>
      </c>
      <c r="M167" s="386">
        <f t="shared" si="88"/>
        <v>16.894353265759012</v>
      </c>
      <c r="N167" s="388">
        <f t="shared" si="89"/>
        <v>87.024503808552751</v>
      </c>
    </row>
    <row r="168" spans="1:14" ht="45" x14ac:dyDescent="0.25">
      <c r="A168" s="406" t="s">
        <v>665</v>
      </c>
      <c r="B168" s="385"/>
      <c r="C168" s="507"/>
      <c r="D168" s="386"/>
      <c r="E168" s="387"/>
      <c r="F168" s="386"/>
      <c r="G168" s="386"/>
      <c r="H168" s="388"/>
      <c r="I168" s="390">
        <f>120/166.73</f>
        <v>0.71972650392850723</v>
      </c>
      <c r="J168" s="386">
        <v>852</v>
      </c>
      <c r="K168" s="387">
        <v>20</v>
      </c>
      <c r="L168" s="386">
        <f t="shared" si="91"/>
        <v>122.64139626941763</v>
      </c>
      <c r="M168" s="386">
        <f t="shared" si="88"/>
        <v>29.544312361302705</v>
      </c>
      <c r="N168" s="388">
        <f t="shared" si="89"/>
        <v>152.18570863072034</v>
      </c>
    </row>
    <row r="169" spans="1:14" ht="45" x14ac:dyDescent="0.25">
      <c r="A169" s="406" t="s">
        <v>665</v>
      </c>
      <c r="B169" s="385"/>
      <c r="C169" s="507"/>
      <c r="D169" s="386"/>
      <c r="E169" s="387"/>
      <c r="F169" s="386"/>
      <c r="G169" s="386"/>
      <c r="H169" s="388"/>
      <c r="I169" s="390">
        <f>48/166.73</f>
        <v>0.28789060157140289</v>
      </c>
      <c r="J169" s="386">
        <v>852</v>
      </c>
      <c r="K169" s="387">
        <v>20</v>
      </c>
      <c r="L169" s="386">
        <f>I169*J169*K169%</f>
        <v>49.056558507767051</v>
      </c>
      <c r="M169" s="386">
        <f>L169*24.09%</f>
        <v>11.817724944521082</v>
      </c>
      <c r="N169" s="388">
        <f>L169+M169</f>
        <v>60.874283452288132</v>
      </c>
    </row>
    <row r="170" spans="1:14" ht="47.25" x14ac:dyDescent="0.25">
      <c r="A170" s="384" t="s">
        <v>13</v>
      </c>
      <c r="B170" s="385"/>
      <c r="C170" s="507"/>
      <c r="D170" s="386"/>
      <c r="E170" s="387"/>
      <c r="F170" s="386"/>
      <c r="G170" s="386"/>
      <c r="H170" s="388"/>
      <c r="I170" s="390"/>
      <c r="J170" s="386"/>
      <c r="K170" s="387"/>
      <c r="L170" s="386"/>
      <c r="M170" s="386"/>
      <c r="N170" s="388"/>
    </row>
    <row r="171" spans="1:14" ht="45" x14ac:dyDescent="0.25">
      <c r="A171" s="544" t="s">
        <v>666</v>
      </c>
      <c r="B171" s="390">
        <f>192/166.757</f>
        <v>1.1513759542328057</v>
      </c>
      <c r="C171" s="507"/>
      <c r="D171" s="386">
        <v>612</v>
      </c>
      <c r="E171" s="387">
        <v>30</v>
      </c>
      <c r="F171" s="386">
        <v>211.39262519714313</v>
      </c>
      <c r="G171" s="386">
        <v>50.92448340999178</v>
      </c>
      <c r="H171" s="388">
        <v>262.31710860713491</v>
      </c>
      <c r="I171" s="390">
        <f>192/166.757</f>
        <v>1.1513759542328057</v>
      </c>
      <c r="J171" s="386">
        <v>612</v>
      </c>
      <c r="K171" s="387">
        <v>20</v>
      </c>
      <c r="L171" s="386">
        <f t="shared" ref="L171:L176" si="93">I171*J171*K171%</f>
        <v>140.92841679809541</v>
      </c>
      <c r="M171" s="386">
        <f t="shared" ref="M171:M182" si="94">L171*24.09%</f>
        <v>33.949655606661189</v>
      </c>
      <c r="N171" s="388">
        <f t="shared" ref="N171:N182" si="95">L171+M171</f>
        <v>174.87807240475661</v>
      </c>
    </row>
    <row r="172" spans="1:14" ht="45" x14ac:dyDescent="0.25">
      <c r="A172" s="544" t="s">
        <v>666</v>
      </c>
      <c r="B172" s="390">
        <f>24/166.66</f>
        <v>0.14400576023040923</v>
      </c>
      <c r="C172" s="507"/>
      <c r="D172" s="386">
        <v>640</v>
      </c>
      <c r="E172" s="387">
        <v>30</v>
      </c>
      <c r="F172" s="386">
        <v>27.649105964238572</v>
      </c>
      <c r="G172" s="386">
        <v>6.6606696267850722</v>
      </c>
      <c r="H172" s="388">
        <v>34.309775591023644</v>
      </c>
      <c r="I172" s="390">
        <f>120/166.66</f>
        <v>0.72002880115204615</v>
      </c>
      <c r="J172" s="386">
        <v>640</v>
      </c>
      <c r="K172" s="387">
        <v>20</v>
      </c>
      <c r="L172" s="386">
        <f t="shared" si="93"/>
        <v>92.163686547461907</v>
      </c>
      <c r="M172" s="386">
        <f t="shared" si="94"/>
        <v>22.202232089283573</v>
      </c>
      <c r="N172" s="388">
        <f t="shared" si="95"/>
        <v>114.36591863674548</v>
      </c>
    </row>
    <row r="173" spans="1:14" ht="45" x14ac:dyDescent="0.25">
      <c r="A173" s="544" t="s">
        <v>666</v>
      </c>
      <c r="B173" s="390">
        <f>192/166.67</f>
        <v>1.1519769604607908</v>
      </c>
      <c r="C173" s="507"/>
      <c r="D173" s="386">
        <v>640</v>
      </c>
      <c r="E173" s="387">
        <v>30</v>
      </c>
      <c r="F173" s="386">
        <v>221.17957640847183</v>
      </c>
      <c r="G173" s="386">
        <v>53.282159956800868</v>
      </c>
      <c r="H173" s="388">
        <v>274.46173636527271</v>
      </c>
      <c r="I173" s="390">
        <f>168/166.66</f>
        <v>1.0080403216128646</v>
      </c>
      <c r="J173" s="386">
        <v>640</v>
      </c>
      <c r="K173" s="387">
        <v>20</v>
      </c>
      <c r="L173" s="386">
        <f>I173*J173*K173%-0.01</f>
        <v>129.01916116644668</v>
      </c>
      <c r="M173" s="386">
        <f t="shared" si="94"/>
        <v>31.080715924997005</v>
      </c>
      <c r="N173" s="388">
        <f t="shared" si="95"/>
        <v>160.09987709144369</v>
      </c>
    </row>
    <row r="174" spans="1:14" ht="45" x14ac:dyDescent="0.25">
      <c r="A174" s="544" t="s">
        <v>666</v>
      </c>
      <c r="B174" s="390">
        <f>48/166.66</f>
        <v>0.28801152046081846</v>
      </c>
      <c r="C174" s="507"/>
      <c r="D174" s="386">
        <v>640</v>
      </c>
      <c r="E174" s="387">
        <v>30</v>
      </c>
      <c r="F174" s="386">
        <v>55.298211928477144</v>
      </c>
      <c r="G174" s="386">
        <v>13.321339253570144</v>
      </c>
      <c r="H174" s="388">
        <v>68.619551182047289</v>
      </c>
      <c r="I174" s="390">
        <f>120/166.66</f>
        <v>0.72002880115204615</v>
      </c>
      <c r="J174" s="386">
        <v>640</v>
      </c>
      <c r="K174" s="387">
        <v>20</v>
      </c>
      <c r="L174" s="386">
        <f t="shared" si="93"/>
        <v>92.163686547461907</v>
      </c>
      <c r="M174" s="386">
        <f t="shared" si="94"/>
        <v>22.202232089283573</v>
      </c>
      <c r="N174" s="388">
        <f t="shared" si="95"/>
        <v>114.36591863674548</v>
      </c>
    </row>
    <row r="175" spans="1:14" ht="45" x14ac:dyDescent="0.25">
      <c r="A175" s="544" t="s">
        <v>666</v>
      </c>
      <c r="B175" s="390">
        <f>72/166.67</f>
        <v>0.4319913601727966</v>
      </c>
      <c r="C175" s="507"/>
      <c r="D175" s="386">
        <v>640</v>
      </c>
      <c r="E175" s="387">
        <v>30</v>
      </c>
      <c r="F175" s="386">
        <v>82.94234115317694</v>
      </c>
      <c r="G175" s="386">
        <v>19.980809983800324</v>
      </c>
      <c r="H175" s="388">
        <v>102.92315113697727</v>
      </c>
      <c r="I175" s="390">
        <f>96/166.66</f>
        <v>0.57602304092163692</v>
      </c>
      <c r="J175" s="386">
        <v>640</v>
      </c>
      <c r="K175" s="387">
        <v>20</v>
      </c>
      <c r="L175" s="386">
        <f t="shared" si="93"/>
        <v>73.730949237969526</v>
      </c>
      <c r="M175" s="386">
        <f t="shared" si="94"/>
        <v>17.76178567142686</v>
      </c>
      <c r="N175" s="388">
        <f t="shared" si="95"/>
        <v>91.49273490939639</v>
      </c>
    </row>
    <row r="176" spans="1:14" ht="45" x14ac:dyDescent="0.25">
      <c r="A176" s="544" t="s">
        <v>666</v>
      </c>
      <c r="B176" s="390">
        <f>48/166.66</f>
        <v>0.28801152046081846</v>
      </c>
      <c r="C176" s="507"/>
      <c r="D176" s="386">
        <v>640</v>
      </c>
      <c r="E176" s="387">
        <v>30</v>
      </c>
      <c r="F176" s="386">
        <v>55.298211928477144</v>
      </c>
      <c r="G176" s="386">
        <v>13.321339253570144</v>
      </c>
      <c r="H176" s="388">
        <v>68.619551182047289</v>
      </c>
      <c r="I176" s="390">
        <f>120/166.66</f>
        <v>0.72002880115204615</v>
      </c>
      <c r="J176" s="386">
        <v>640</v>
      </c>
      <c r="K176" s="387">
        <v>20</v>
      </c>
      <c r="L176" s="386">
        <f t="shared" si="93"/>
        <v>92.163686547461907</v>
      </c>
      <c r="M176" s="386">
        <f t="shared" si="94"/>
        <v>22.202232089283573</v>
      </c>
      <c r="N176" s="388">
        <f t="shared" si="95"/>
        <v>114.36591863674548</v>
      </c>
    </row>
    <row r="177" spans="1:14" ht="45" x14ac:dyDescent="0.25">
      <c r="A177" s="544" t="s">
        <v>666</v>
      </c>
      <c r="B177" s="390">
        <f>24/166.66</f>
        <v>0.14400576023040923</v>
      </c>
      <c r="C177" s="507"/>
      <c r="D177" s="386">
        <v>640</v>
      </c>
      <c r="E177" s="387">
        <v>30</v>
      </c>
      <c r="F177" s="386">
        <v>27.649105964238572</v>
      </c>
      <c r="G177" s="386">
        <v>6.6606696267850722</v>
      </c>
      <c r="H177" s="388">
        <v>34.309775591023644</v>
      </c>
      <c r="I177" s="390">
        <f>192/166.66</f>
        <v>1.1520460818432738</v>
      </c>
      <c r="J177" s="386">
        <v>640</v>
      </c>
      <c r="K177" s="387">
        <v>20</v>
      </c>
      <c r="L177" s="386">
        <f>I177*J177*K177%</f>
        <v>147.46189847593905</v>
      </c>
      <c r="M177" s="386">
        <f t="shared" si="94"/>
        <v>35.523571342853721</v>
      </c>
      <c r="N177" s="388">
        <f t="shared" si="95"/>
        <v>182.98546981879278</v>
      </c>
    </row>
    <row r="178" spans="1:14" ht="45" x14ac:dyDescent="0.25">
      <c r="A178" s="544" t="s">
        <v>666</v>
      </c>
      <c r="B178" s="390">
        <f>96/166.67</f>
        <v>0.57598848023039539</v>
      </c>
      <c r="C178" s="507"/>
      <c r="D178" s="386">
        <v>640</v>
      </c>
      <c r="E178" s="387">
        <v>30</v>
      </c>
      <c r="F178" s="386">
        <v>110.58978820423592</v>
      </c>
      <c r="G178" s="386">
        <v>26.641079978400434</v>
      </c>
      <c r="H178" s="388">
        <v>137.23086818263636</v>
      </c>
      <c r="I178" s="390">
        <f>81/166.66</f>
        <v>0.4860194407776311</v>
      </c>
      <c r="J178" s="386">
        <v>640</v>
      </c>
      <c r="K178" s="387">
        <v>20</v>
      </c>
      <c r="L178" s="386">
        <f>I178*J178*K178%</f>
        <v>62.210488419536787</v>
      </c>
      <c r="M178" s="386">
        <f t="shared" si="94"/>
        <v>14.986506660266413</v>
      </c>
      <c r="N178" s="388">
        <f t="shared" si="95"/>
        <v>77.196995079803202</v>
      </c>
    </row>
    <row r="179" spans="1:14" ht="45" x14ac:dyDescent="0.25">
      <c r="A179" s="544" t="s">
        <v>666</v>
      </c>
      <c r="B179" s="390">
        <f>39/166.67</f>
        <v>0.23399532009359814</v>
      </c>
      <c r="C179" s="507"/>
      <c r="D179" s="386">
        <v>640</v>
      </c>
      <c r="E179" s="387">
        <v>30</v>
      </c>
      <c r="F179" s="386">
        <v>44.927101457970835</v>
      </c>
      <c r="G179" s="386">
        <v>10.822938741225174</v>
      </c>
      <c r="H179" s="388">
        <v>55.750040199196008</v>
      </c>
      <c r="I179" s="390">
        <f>33/166.66</f>
        <v>0.19800792031681266</v>
      </c>
      <c r="J179" s="386">
        <v>640</v>
      </c>
      <c r="K179" s="387">
        <v>20</v>
      </c>
      <c r="L179" s="386">
        <f>I179*J179*K179%-0.01</f>
        <v>25.335013800552023</v>
      </c>
      <c r="M179" s="386">
        <f t="shared" si="94"/>
        <v>6.1032048245529822</v>
      </c>
      <c r="N179" s="388">
        <f t="shared" si="95"/>
        <v>31.438218625105005</v>
      </c>
    </row>
    <row r="180" spans="1:14" ht="45" x14ac:dyDescent="0.25">
      <c r="A180" s="544" t="s">
        <v>666</v>
      </c>
      <c r="B180" s="390">
        <f>72/166.67</f>
        <v>0.4319913601727966</v>
      </c>
      <c r="C180" s="507"/>
      <c r="D180" s="386">
        <v>640</v>
      </c>
      <c r="E180" s="387">
        <v>30</v>
      </c>
      <c r="F180" s="386">
        <v>82.94234115317694</v>
      </c>
      <c r="G180" s="386">
        <v>19.980809983800324</v>
      </c>
      <c r="H180" s="388">
        <v>102.92315113697727</v>
      </c>
      <c r="I180" s="390">
        <f>168/166.66</f>
        <v>1.0080403216128646</v>
      </c>
      <c r="J180" s="386">
        <v>640</v>
      </c>
      <c r="K180" s="387">
        <v>20</v>
      </c>
      <c r="L180" s="386">
        <f>I180*J180*K180%-0.01</f>
        <v>129.01916116644668</v>
      </c>
      <c r="M180" s="386">
        <f t="shared" si="94"/>
        <v>31.080715924997005</v>
      </c>
      <c r="N180" s="388">
        <f t="shared" si="95"/>
        <v>160.09987709144369</v>
      </c>
    </row>
    <row r="181" spans="1:14" ht="45" x14ac:dyDescent="0.25">
      <c r="A181" s="544" t="s">
        <v>666</v>
      </c>
      <c r="B181" s="390">
        <f>24/166.67</f>
        <v>0.14399712005759885</v>
      </c>
      <c r="C181" s="507"/>
      <c r="D181" s="386">
        <v>640</v>
      </c>
      <c r="E181" s="387">
        <v>30</v>
      </c>
      <c r="F181" s="386">
        <v>27.647447051058979</v>
      </c>
      <c r="G181" s="386">
        <v>6.6602699946001085</v>
      </c>
      <c r="H181" s="388">
        <v>34.307717045659089</v>
      </c>
      <c r="I181" s="390">
        <f>63/166.66</f>
        <v>0.37801512060482417</v>
      </c>
      <c r="J181" s="386">
        <v>640</v>
      </c>
      <c r="K181" s="387">
        <v>20</v>
      </c>
      <c r="L181" s="386">
        <f t="shared" ref="L181" si="96">I181*J181*K181%-0.01</f>
        <v>48.375935437417496</v>
      </c>
      <c r="M181" s="386">
        <f t="shared" si="94"/>
        <v>11.653762846873875</v>
      </c>
      <c r="N181" s="388">
        <f t="shared" si="95"/>
        <v>60.029698284291371</v>
      </c>
    </row>
    <row r="182" spans="1:14" ht="45" x14ac:dyDescent="0.25">
      <c r="A182" s="406" t="s">
        <v>666</v>
      </c>
      <c r="B182" s="385"/>
      <c r="C182" s="507"/>
      <c r="D182" s="386"/>
      <c r="E182" s="387"/>
      <c r="F182" s="386"/>
      <c r="G182" s="386"/>
      <c r="H182" s="388"/>
      <c r="I182" s="390">
        <f>63/166.7575</f>
        <v>0.37779410221429321</v>
      </c>
      <c r="J182" s="386">
        <v>612</v>
      </c>
      <c r="K182" s="387">
        <v>20</v>
      </c>
      <c r="L182" s="386">
        <f>I182*J182*K182%</f>
        <v>46.241998111029488</v>
      </c>
      <c r="M182" s="386">
        <f t="shared" si="94"/>
        <v>11.139697344947004</v>
      </c>
      <c r="N182" s="388">
        <f t="shared" si="95"/>
        <v>57.381695455976491</v>
      </c>
    </row>
    <row r="183" spans="1:14" ht="31.5" x14ac:dyDescent="0.25">
      <c r="A183" s="384" t="s">
        <v>11</v>
      </c>
      <c r="B183" s="385"/>
      <c r="C183" s="507"/>
      <c r="D183" s="386"/>
      <c r="E183" s="387"/>
      <c r="F183" s="386"/>
      <c r="G183" s="386"/>
      <c r="H183" s="388"/>
      <c r="I183" s="390"/>
      <c r="J183" s="386"/>
      <c r="K183" s="387"/>
      <c r="L183" s="386"/>
      <c r="M183" s="386"/>
      <c r="N183" s="388"/>
    </row>
    <row r="184" spans="1:14" ht="47.25" x14ac:dyDescent="0.25">
      <c r="A184" s="547" t="s">
        <v>667</v>
      </c>
      <c r="B184" s="518">
        <f>40/176</f>
        <v>0.22727272727272727</v>
      </c>
      <c r="C184" s="507"/>
      <c r="D184" s="386">
        <v>683</v>
      </c>
      <c r="E184" s="387">
        <v>30</v>
      </c>
      <c r="F184" s="386">
        <v>46.568181818181813</v>
      </c>
      <c r="G184" s="386">
        <v>11.218274999999998</v>
      </c>
      <c r="H184" s="388">
        <v>57.786456818181811</v>
      </c>
      <c r="I184" s="407">
        <v>1</v>
      </c>
      <c r="J184" s="386">
        <v>683</v>
      </c>
      <c r="K184" s="386">
        <v>20</v>
      </c>
      <c r="L184" s="386">
        <f>I184*J184*K184%</f>
        <v>136.6</v>
      </c>
      <c r="M184" s="386">
        <f>L184*24.09%</f>
        <v>32.906939999999999</v>
      </c>
      <c r="N184" s="386">
        <f>L184+M184</f>
        <v>169.50693999999999</v>
      </c>
    </row>
    <row r="185" spans="1:14" x14ac:dyDescent="0.25">
      <c r="A185" s="406"/>
      <c r="B185" s="385"/>
      <c r="C185" s="507"/>
      <c r="D185" s="386"/>
      <c r="E185" s="387"/>
      <c r="F185" s="386"/>
      <c r="G185" s="386"/>
      <c r="H185" s="388"/>
      <c r="I185" s="390"/>
      <c r="J185" s="386"/>
      <c r="K185" s="387"/>
      <c r="L185" s="386"/>
      <c r="M185" s="386"/>
      <c r="N185" s="388"/>
    </row>
    <row r="186" spans="1:14" x14ac:dyDescent="0.25">
      <c r="A186" s="382" t="s">
        <v>668</v>
      </c>
      <c r="B186" s="548">
        <f>SUM(B188:B191)</f>
        <v>0.90909090909090906</v>
      </c>
      <c r="C186" s="548"/>
      <c r="D186" s="548"/>
      <c r="E186" s="548"/>
      <c r="F186" s="548">
        <f t="shared" ref="F186:H186" si="97">SUM(F188:F191)</f>
        <v>512.06931818181818</v>
      </c>
      <c r="G186" s="548">
        <f t="shared" si="97"/>
        <v>123.35749874999999</v>
      </c>
      <c r="H186" s="548">
        <f t="shared" si="97"/>
        <v>635.42681693181817</v>
      </c>
      <c r="I186" s="396">
        <f>SUM(I187:I191)</f>
        <v>4</v>
      </c>
      <c r="J186" s="396"/>
      <c r="K186" s="396"/>
      <c r="L186" s="396">
        <f t="shared" ref="L186:N186" si="98">SUM(L187:L191)</f>
        <v>1318.4</v>
      </c>
      <c r="M186" s="396">
        <f t="shared" si="98"/>
        <v>317.60255999999998</v>
      </c>
      <c r="N186" s="396">
        <f t="shared" si="98"/>
        <v>1636.0025600000004</v>
      </c>
    </row>
    <row r="187" spans="1:14" ht="31.5" x14ac:dyDescent="0.25">
      <c r="A187" s="384" t="s">
        <v>11</v>
      </c>
      <c r="B187" s="385"/>
      <c r="C187" s="507"/>
      <c r="D187" s="386"/>
      <c r="E187" s="387"/>
      <c r="F187" s="386"/>
      <c r="G187" s="386"/>
      <c r="H187" s="388"/>
      <c r="I187" s="385"/>
      <c r="J187" s="386"/>
      <c r="K187" s="387"/>
      <c r="L187" s="386"/>
      <c r="M187" s="386"/>
      <c r="N187" s="388"/>
    </row>
    <row r="188" spans="1:14" x14ac:dyDescent="0.25">
      <c r="A188" s="547" t="s">
        <v>669</v>
      </c>
      <c r="B188" s="386">
        <v>0.22727272727272727</v>
      </c>
      <c r="C188" s="386"/>
      <c r="D188" s="386">
        <v>1736</v>
      </c>
      <c r="E188" s="386">
        <v>30</v>
      </c>
      <c r="F188" s="386">
        <v>118.36363636363635</v>
      </c>
      <c r="G188" s="386">
        <v>28.513799999999996</v>
      </c>
      <c r="H188" s="386">
        <v>146.87743636363635</v>
      </c>
      <c r="I188" s="407">
        <v>1</v>
      </c>
      <c r="J188" s="386">
        <v>1736</v>
      </c>
      <c r="K188" s="386">
        <v>20</v>
      </c>
      <c r="L188" s="386">
        <f>I188*J188*K188%</f>
        <v>347.20000000000005</v>
      </c>
      <c r="M188" s="386">
        <f t="shared" ref="M188:M191" si="99">L188*24.09%</f>
        <v>83.640480000000011</v>
      </c>
      <c r="N188" s="386">
        <f t="shared" ref="N188:N191" si="100">L188+M188</f>
        <v>430.84048000000007</v>
      </c>
    </row>
    <row r="189" spans="1:14" ht="31.5" x14ac:dyDescent="0.25">
      <c r="A189" s="547" t="s">
        <v>670</v>
      </c>
      <c r="B189" s="386">
        <v>0.22727272727272727</v>
      </c>
      <c r="C189" s="386"/>
      <c r="D189" s="386">
        <v>2280.35</v>
      </c>
      <c r="E189" s="386">
        <v>30</v>
      </c>
      <c r="F189" s="386">
        <v>155.47840909090908</v>
      </c>
      <c r="G189" s="386">
        <v>37.45474875</v>
      </c>
      <c r="H189" s="386">
        <v>192.93315784090908</v>
      </c>
      <c r="I189" s="407">
        <v>1</v>
      </c>
      <c r="J189" s="386">
        <v>2270</v>
      </c>
      <c r="K189" s="386">
        <v>12</v>
      </c>
      <c r="L189" s="386">
        <f>I189*J189*K189%</f>
        <v>272.39999999999998</v>
      </c>
      <c r="M189" s="386">
        <f t="shared" si="99"/>
        <v>65.621159999999989</v>
      </c>
      <c r="N189" s="386">
        <f t="shared" si="100"/>
        <v>338.02115999999995</v>
      </c>
    </row>
    <row r="190" spans="1:14" x14ac:dyDescent="0.25">
      <c r="A190" s="547" t="s">
        <v>118</v>
      </c>
      <c r="B190" s="386">
        <v>0.22727272727272727</v>
      </c>
      <c r="C190" s="386"/>
      <c r="D190" s="386">
        <v>1494</v>
      </c>
      <c r="E190" s="386">
        <v>30</v>
      </c>
      <c r="F190" s="386">
        <v>101.86363636363636</v>
      </c>
      <c r="G190" s="386">
        <v>24.53895</v>
      </c>
      <c r="H190" s="386">
        <v>126.40258636363636</v>
      </c>
      <c r="I190" s="407">
        <v>1</v>
      </c>
      <c r="J190" s="386">
        <v>1494</v>
      </c>
      <c r="K190" s="386">
        <v>20</v>
      </c>
      <c r="L190" s="386">
        <f t="shared" ref="L190:L191" si="101">I190*J190*K190%</f>
        <v>298.8</v>
      </c>
      <c r="M190" s="386">
        <f t="shared" si="99"/>
        <v>71.980919999999998</v>
      </c>
      <c r="N190" s="386">
        <f t="shared" si="100"/>
        <v>370.78092000000004</v>
      </c>
    </row>
    <row r="191" spans="1:14" x14ac:dyDescent="0.25">
      <c r="A191" s="547" t="s">
        <v>671</v>
      </c>
      <c r="B191" s="386">
        <v>0.22727272727272727</v>
      </c>
      <c r="C191" s="386"/>
      <c r="D191" s="386">
        <v>2000</v>
      </c>
      <c r="E191" s="386">
        <v>30</v>
      </c>
      <c r="F191" s="386">
        <v>136.36363636363635</v>
      </c>
      <c r="G191" s="386">
        <v>32.849999999999994</v>
      </c>
      <c r="H191" s="386">
        <v>169.21363636363634</v>
      </c>
      <c r="I191" s="407">
        <v>1</v>
      </c>
      <c r="J191" s="386">
        <v>2000</v>
      </c>
      <c r="K191" s="386">
        <v>20</v>
      </c>
      <c r="L191" s="386">
        <f t="shared" si="101"/>
        <v>400</v>
      </c>
      <c r="M191" s="386">
        <f t="shared" si="99"/>
        <v>96.36</v>
      </c>
      <c r="N191" s="386">
        <f t="shared" si="100"/>
        <v>496.36</v>
      </c>
    </row>
    <row r="192" spans="1:14" x14ac:dyDescent="0.25">
      <c r="A192" s="519"/>
      <c r="B192" s="500"/>
      <c r="C192" s="500"/>
      <c r="D192" s="500"/>
      <c r="E192" s="500"/>
      <c r="F192" s="500"/>
      <c r="G192" s="500"/>
      <c r="H192" s="500"/>
      <c r="J192" s="500"/>
      <c r="K192" s="500"/>
      <c r="L192" s="500"/>
      <c r="M192" s="500"/>
      <c r="N192" s="500"/>
    </row>
    <row r="193" spans="1:14" x14ac:dyDescent="0.25">
      <c r="A193" s="382" t="s">
        <v>188</v>
      </c>
      <c r="B193" s="396">
        <f>SUM(B194:B221)</f>
        <v>4.1347839207914188</v>
      </c>
      <c r="C193" s="396"/>
      <c r="D193" s="396"/>
      <c r="E193" s="396"/>
      <c r="F193" s="396">
        <f t="shared" ref="F193:H193" si="102">SUM(F194:F221)</f>
        <v>1096.1269057201362</v>
      </c>
      <c r="G193" s="396">
        <f t="shared" si="102"/>
        <v>264.0569715879808</v>
      </c>
      <c r="H193" s="396">
        <f t="shared" si="102"/>
        <v>1360.1838773081165</v>
      </c>
      <c r="I193" s="396">
        <f>SUM(I194:I221)</f>
        <v>23.166163926269487</v>
      </c>
      <c r="J193" s="396"/>
      <c r="K193" s="396"/>
      <c r="L193" s="396">
        <f t="shared" ref="L193:N193" si="103">SUM(L194:L221)</f>
        <v>3836.076751946518</v>
      </c>
      <c r="M193" s="396">
        <f t="shared" si="103"/>
        <v>924.11088954391641</v>
      </c>
      <c r="N193" s="396">
        <f t="shared" si="103"/>
        <v>4760.1876414904355</v>
      </c>
    </row>
    <row r="194" spans="1:14" ht="31.5" x14ac:dyDescent="0.25">
      <c r="A194" s="384" t="s">
        <v>14</v>
      </c>
      <c r="B194" s="385"/>
      <c r="C194" s="507"/>
      <c r="D194" s="386"/>
      <c r="E194" s="387"/>
      <c r="F194" s="386"/>
      <c r="G194" s="386"/>
      <c r="H194" s="388"/>
      <c r="I194" s="385"/>
      <c r="J194" s="386"/>
      <c r="K194" s="387"/>
      <c r="L194" s="386"/>
      <c r="M194" s="386"/>
      <c r="N194" s="388"/>
    </row>
    <row r="195" spans="1:14" x14ac:dyDescent="0.25">
      <c r="A195" s="546" t="s">
        <v>653</v>
      </c>
      <c r="B195" s="390">
        <v>0.22727272727272727</v>
      </c>
      <c r="C195" s="507"/>
      <c r="D195" s="386">
        <v>1783</v>
      </c>
      <c r="E195" s="387">
        <v>30</v>
      </c>
      <c r="F195" s="386">
        <v>121.5681818181818</v>
      </c>
      <c r="G195" s="386">
        <v>29.285774999999997</v>
      </c>
      <c r="H195" s="388">
        <v>150.85395681818179</v>
      </c>
      <c r="I195" s="390">
        <v>1</v>
      </c>
      <c r="J195" s="386">
        <v>1783</v>
      </c>
      <c r="K195" s="387">
        <v>20</v>
      </c>
      <c r="L195" s="386">
        <f>I195*J195*K195%</f>
        <v>356.6</v>
      </c>
      <c r="M195" s="386">
        <f t="shared" ref="M195:M197" si="104">L195*24.09%</f>
        <v>85.904940000000011</v>
      </c>
      <c r="N195" s="388">
        <f t="shared" ref="N195:N197" si="105">L195+M195</f>
        <v>442.50494000000003</v>
      </c>
    </row>
    <row r="196" spans="1:14" x14ac:dyDescent="0.25">
      <c r="A196" s="542" t="s">
        <v>627</v>
      </c>
      <c r="B196" s="390">
        <v>0.22727272727272727</v>
      </c>
      <c r="C196" s="507"/>
      <c r="D196" s="386">
        <v>1358</v>
      </c>
      <c r="E196" s="387">
        <v>30</v>
      </c>
      <c r="F196" s="386">
        <v>92.590909090909079</v>
      </c>
      <c r="G196" s="386">
        <v>22.305149999999998</v>
      </c>
      <c r="H196" s="388">
        <v>114.89605909090908</v>
      </c>
      <c r="I196" s="390">
        <v>1</v>
      </c>
      <c r="J196" s="386">
        <v>1358</v>
      </c>
      <c r="K196" s="387">
        <v>20</v>
      </c>
      <c r="L196" s="386">
        <f t="shared" ref="L196:L197" si="106">I196*J196*K196%</f>
        <v>271.60000000000002</v>
      </c>
      <c r="M196" s="386">
        <f t="shared" si="104"/>
        <v>65.428440000000009</v>
      </c>
      <c r="N196" s="388">
        <f t="shared" si="105"/>
        <v>337.02844000000005</v>
      </c>
    </row>
    <row r="197" spans="1:14" x14ac:dyDescent="0.25">
      <c r="A197" s="542" t="s">
        <v>672</v>
      </c>
      <c r="B197" s="390">
        <v>0.22727272727272727</v>
      </c>
      <c r="C197" s="507"/>
      <c r="D197" s="386">
        <v>1358</v>
      </c>
      <c r="E197" s="387">
        <v>30</v>
      </c>
      <c r="F197" s="386">
        <v>92.590909090909079</v>
      </c>
      <c r="G197" s="386">
        <v>22.305149999999998</v>
      </c>
      <c r="H197" s="388">
        <v>114.89605909090908</v>
      </c>
      <c r="I197" s="390">
        <v>1</v>
      </c>
      <c r="J197" s="386">
        <v>1358</v>
      </c>
      <c r="K197" s="387">
        <v>20</v>
      </c>
      <c r="L197" s="386">
        <f t="shared" si="106"/>
        <v>271.60000000000002</v>
      </c>
      <c r="M197" s="386">
        <f t="shared" si="104"/>
        <v>65.428440000000009</v>
      </c>
      <c r="N197" s="388">
        <f t="shared" si="105"/>
        <v>337.02844000000005</v>
      </c>
    </row>
    <row r="198" spans="1:14" ht="47.25" x14ac:dyDescent="0.25">
      <c r="A198" s="384" t="s">
        <v>12</v>
      </c>
      <c r="B198" s="385"/>
      <c r="C198" s="507"/>
      <c r="D198" s="386"/>
      <c r="E198" s="387"/>
      <c r="F198" s="386"/>
      <c r="G198" s="386"/>
      <c r="H198" s="388"/>
      <c r="I198" s="385"/>
      <c r="J198" s="386"/>
      <c r="K198" s="387"/>
      <c r="L198" s="386"/>
      <c r="M198" s="386"/>
      <c r="N198" s="388"/>
    </row>
    <row r="199" spans="1:14" x14ac:dyDescent="0.25">
      <c r="A199" s="546" t="s">
        <v>96</v>
      </c>
      <c r="B199" s="390">
        <v>0.22727272727272727</v>
      </c>
      <c r="C199" s="507"/>
      <c r="D199" s="386">
        <v>1188</v>
      </c>
      <c r="E199" s="387">
        <v>30</v>
      </c>
      <c r="F199" s="386">
        <v>81</v>
      </c>
      <c r="G199" s="386">
        <v>19.512900000000002</v>
      </c>
      <c r="H199" s="388">
        <v>100.5129</v>
      </c>
      <c r="I199" s="390">
        <v>1</v>
      </c>
      <c r="J199" s="386">
        <v>1188</v>
      </c>
      <c r="K199" s="387">
        <v>20</v>
      </c>
      <c r="L199" s="386">
        <f t="shared" ref="L199:L209" si="107">I199*J199*K199%</f>
        <v>237.60000000000002</v>
      </c>
      <c r="M199" s="386">
        <f t="shared" ref="M199:M209" si="108">L199*24.09%</f>
        <v>57.237840000000006</v>
      </c>
      <c r="N199" s="388">
        <f t="shared" ref="N199:N209" si="109">L199+M199</f>
        <v>294.83784000000003</v>
      </c>
    </row>
    <row r="200" spans="1:14" x14ac:dyDescent="0.25">
      <c r="A200" s="544" t="s">
        <v>673</v>
      </c>
      <c r="B200" s="390">
        <v>0.43182295258943831</v>
      </c>
      <c r="C200" s="507"/>
      <c r="D200" s="386">
        <v>812</v>
      </c>
      <c r="E200" s="387">
        <v>30</v>
      </c>
      <c r="F200" s="386">
        <v>105.19207125078717</v>
      </c>
      <c r="G200" s="386">
        <v>25.340769964314628</v>
      </c>
      <c r="H200" s="388">
        <v>130.5328412151018</v>
      </c>
      <c r="I200" s="390">
        <f>231/166.735</f>
        <v>1.3854319728911146</v>
      </c>
      <c r="J200" s="386">
        <v>812</v>
      </c>
      <c r="K200" s="387">
        <v>20</v>
      </c>
      <c r="L200" s="386">
        <f t="shared" si="107"/>
        <v>224.99415239751704</v>
      </c>
      <c r="M200" s="386">
        <f t="shared" si="108"/>
        <v>54.201091312561857</v>
      </c>
      <c r="N200" s="388">
        <f t="shared" si="109"/>
        <v>279.1952437100789</v>
      </c>
    </row>
    <row r="201" spans="1:14" x14ac:dyDescent="0.25">
      <c r="A201" s="544" t="s">
        <v>673</v>
      </c>
      <c r="B201" s="390">
        <v>0.14394098419647944</v>
      </c>
      <c r="C201" s="507"/>
      <c r="D201" s="386">
        <v>812</v>
      </c>
      <c r="E201" s="387">
        <v>30</v>
      </c>
      <c r="F201" s="386">
        <v>35.064023750262386</v>
      </c>
      <c r="G201" s="386">
        <v>8.4469233214382093</v>
      </c>
      <c r="H201" s="388">
        <v>43.510947071700599</v>
      </c>
      <c r="I201" s="390">
        <f>120/166.735</f>
        <v>0.71970492098239713</v>
      </c>
      <c r="J201" s="386">
        <v>812</v>
      </c>
      <c r="K201" s="387">
        <v>20</v>
      </c>
      <c r="L201" s="386">
        <f t="shared" si="107"/>
        <v>116.8800791675413</v>
      </c>
      <c r="M201" s="386">
        <f t="shared" si="108"/>
        <v>28.156411071460699</v>
      </c>
      <c r="N201" s="388">
        <f t="shared" si="109"/>
        <v>145.03649023900201</v>
      </c>
    </row>
    <row r="202" spans="1:14" x14ac:dyDescent="0.25">
      <c r="A202" s="544" t="s">
        <v>673</v>
      </c>
      <c r="B202" s="390">
        <v>0.1439375311114976</v>
      </c>
      <c r="C202" s="507"/>
      <c r="D202" s="386">
        <v>772</v>
      </c>
      <c r="E202" s="387">
        <v>30</v>
      </c>
      <c r="F202" s="386">
        <v>33.335932205422843</v>
      </c>
      <c r="G202" s="386">
        <v>8.0306260682863631</v>
      </c>
      <c r="H202" s="388">
        <v>41.366558273709202</v>
      </c>
      <c r="I202" s="390">
        <f>72/166.735</f>
        <v>0.43182295258943831</v>
      </c>
      <c r="J202" s="386">
        <v>812</v>
      </c>
      <c r="K202" s="387">
        <v>20</v>
      </c>
      <c r="L202" s="386">
        <f t="shared" si="107"/>
        <v>70.128047500524787</v>
      </c>
      <c r="M202" s="386">
        <f t="shared" si="108"/>
        <v>16.893846642876422</v>
      </c>
      <c r="N202" s="388">
        <f t="shared" si="109"/>
        <v>87.021894143401212</v>
      </c>
    </row>
    <row r="203" spans="1:14" x14ac:dyDescent="0.25">
      <c r="A203" s="544" t="s">
        <v>673</v>
      </c>
      <c r="B203" s="390">
        <v>0.1439375311114976</v>
      </c>
      <c r="C203" s="507"/>
      <c r="D203" s="386">
        <v>772</v>
      </c>
      <c r="E203" s="387">
        <v>30</v>
      </c>
      <c r="F203" s="386">
        <v>33.335932205422843</v>
      </c>
      <c r="G203" s="386">
        <v>8.0306260682863631</v>
      </c>
      <c r="H203" s="388">
        <v>41.366558273709202</v>
      </c>
      <c r="I203" s="390">
        <f>96/166.735</f>
        <v>0.57576393678591775</v>
      </c>
      <c r="J203" s="386">
        <v>812</v>
      </c>
      <c r="K203" s="387">
        <v>20</v>
      </c>
      <c r="L203" s="386">
        <f t="shared" si="107"/>
        <v>93.504063334033049</v>
      </c>
      <c r="M203" s="386">
        <f t="shared" si="108"/>
        <v>22.525128857168561</v>
      </c>
      <c r="N203" s="388">
        <f t="shared" si="109"/>
        <v>116.02919219120162</v>
      </c>
    </row>
    <row r="204" spans="1:14" x14ac:dyDescent="0.25">
      <c r="A204" s="544" t="s">
        <v>673</v>
      </c>
      <c r="B204" s="390">
        <v>0.2338984880561836</v>
      </c>
      <c r="C204" s="507"/>
      <c r="D204" s="386">
        <v>772</v>
      </c>
      <c r="E204" s="387">
        <v>30</v>
      </c>
      <c r="F204" s="386">
        <v>54.170889833812119</v>
      </c>
      <c r="G204" s="386">
        <v>13.04976736096534</v>
      </c>
      <c r="H204" s="388">
        <v>67.220657194777459</v>
      </c>
      <c r="I204" s="390">
        <f>72/166.735</f>
        <v>0.43182295258943831</v>
      </c>
      <c r="J204" s="386">
        <v>812</v>
      </c>
      <c r="K204" s="387">
        <v>20</v>
      </c>
      <c r="L204" s="386">
        <f t="shared" si="107"/>
        <v>70.128047500524787</v>
      </c>
      <c r="M204" s="386">
        <f t="shared" si="108"/>
        <v>16.893846642876422</v>
      </c>
      <c r="N204" s="388">
        <f t="shared" si="109"/>
        <v>87.021894143401212</v>
      </c>
    </row>
    <row r="205" spans="1:14" x14ac:dyDescent="0.25">
      <c r="A205" s="544" t="s">
        <v>673</v>
      </c>
      <c r="B205" s="390">
        <v>0.14394098419647944</v>
      </c>
      <c r="C205" s="507"/>
      <c r="D205" s="386">
        <v>812</v>
      </c>
      <c r="E205" s="387">
        <v>30</v>
      </c>
      <c r="F205" s="386">
        <v>35.064023750262386</v>
      </c>
      <c r="G205" s="386">
        <v>8.4469233214382093</v>
      </c>
      <c r="H205" s="388">
        <v>43.510947071700599</v>
      </c>
      <c r="I205" s="390">
        <f>192/166.739</f>
        <v>1.1515002488919808</v>
      </c>
      <c r="J205" s="386">
        <v>772</v>
      </c>
      <c r="K205" s="387">
        <v>20</v>
      </c>
      <c r="L205" s="386">
        <f t="shared" si="107"/>
        <v>177.79163842892183</v>
      </c>
      <c r="M205" s="386">
        <f t="shared" si="108"/>
        <v>42.83000569752727</v>
      </c>
      <c r="N205" s="388">
        <f t="shared" si="109"/>
        <v>220.6216441264491</v>
      </c>
    </row>
    <row r="206" spans="1:14" x14ac:dyDescent="0.25">
      <c r="A206" s="544" t="s">
        <v>673</v>
      </c>
      <c r="B206" s="390">
        <v>0.1439375311114976</v>
      </c>
      <c r="C206" s="507"/>
      <c r="D206" s="386">
        <v>772</v>
      </c>
      <c r="E206" s="387">
        <v>30</v>
      </c>
      <c r="F206" s="386">
        <v>33.335932205422843</v>
      </c>
      <c r="G206" s="386">
        <v>8.0306260682863631</v>
      </c>
      <c r="H206" s="388">
        <v>41.366558273709202</v>
      </c>
      <c r="I206" s="390">
        <f>144/166.739</f>
        <v>0.86362518666898569</v>
      </c>
      <c r="J206" s="386">
        <v>772</v>
      </c>
      <c r="K206" s="387">
        <v>20</v>
      </c>
      <c r="L206" s="386">
        <f t="shared" si="107"/>
        <v>133.3437288216914</v>
      </c>
      <c r="M206" s="386">
        <f t="shared" si="108"/>
        <v>32.122504273145459</v>
      </c>
      <c r="N206" s="388">
        <f t="shared" si="109"/>
        <v>165.46623309483687</v>
      </c>
    </row>
    <row r="207" spans="1:14" x14ac:dyDescent="0.25">
      <c r="A207" s="544" t="s">
        <v>673</v>
      </c>
      <c r="B207" s="390">
        <v>0.14394098419647944</v>
      </c>
      <c r="C207" s="507"/>
      <c r="D207" s="386">
        <v>812</v>
      </c>
      <c r="E207" s="387">
        <v>30</v>
      </c>
      <c r="F207" s="386">
        <v>35.064023750262386</v>
      </c>
      <c r="G207" s="386">
        <v>8.4469233214382093</v>
      </c>
      <c r="H207" s="388">
        <v>43.510947071700599</v>
      </c>
      <c r="I207" s="390">
        <f>177/166.739</f>
        <v>1.0615392919472948</v>
      </c>
      <c r="J207" s="386">
        <v>772</v>
      </c>
      <c r="K207" s="387">
        <v>20</v>
      </c>
      <c r="L207" s="386">
        <f t="shared" si="107"/>
        <v>163.90166667666233</v>
      </c>
      <c r="M207" s="386">
        <f t="shared" si="108"/>
        <v>39.483911502407956</v>
      </c>
      <c r="N207" s="388">
        <f t="shared" si="109"/>
        <v>203.38557817907028</v>
      </c>
    </row>
    <row r="208" spans="1:14" x14ac:dyDescent="0.25">
      <c r="A208" s="544" t="s">
        <v>673</v>
      </c>
      <c r="B208" s="390">
        <v>0.28788714823789074</v>
      </c>
      <c r="C208" s="507"/>
      <c r="D208" s="386">
        <v>852</v>
      </c>
      <c r="E208" s="387">
        <v>30</v>
      </c>
      <c r="F208" s="386">
        <v>73.583955089604871</v>
      </c>
      <c r="G208" s="386">
        <v>17.726374781085813</v>
      </c>
      <c r="H208" s="388">
        <v>91.31032987069068</v>
      </c>
      <c r="I208" s="390">
        <f>168/166.739</f>
        <v>1.0075627177804833</v>
      </c>
      <c r="J208" s="386">
        <v>772</v>
      </c>
      <c r="K208" s="387">
        <v>20</v>
      </c>
      <c r="L208" s="386">
        <f t="shared" si="107"/>
        <v>155.56768362530664</v>
      </c>
      <c r="M208" s="386">
        <f t="shared" si="108"/>
        <v>37.476254985336368</v>
      </c>
      <c r="N208" s="388">
        <f t="shared" si="109"/>
        <v>193.04393861064301</v>
      </c>
    </row>
    <row r="209" spans="1:14" x14ac:dyDescent="0.25">
      <c r="A209" s="406" t="s">
        <v>673</v>
      </c>
      <c r="B209" s="390"/>
      <c r="C209" s="507"/>
      <c r="D209" s="386"/>
      <c r="E209" s="387"/>
      <c r="F209" s="386"/>
      <c r="G209" s="386"/>
      <c r="H209" s="388"/>
      <c r="I209" s="390">
        <f>168/166.732</f>
        <v>1.0076050188326175</v>
      </c>
      <c r="J209" s="386">
        <v>852</v>
      </c>
      <c r="K209" s="387">
        <v>20</v>
      </c>
      <c r="L209" s="386">
        <f t="shared" si="107"/>
        <v>171.69589520907803</v>
      </c>
      <c r="M209" s="386">
        <f t="shared" si="108"/>
        <v>41.361541155866895</v>
      </c>
      <c r="N209" s="388">
        <f t="shared" si="109"/>
        <v>213.05743636494492</v>
      </c>
    </row>
    <row r="210" spans="1:14" x14ac:dyDescent="0.25">
      <c r="A210" s="406"/>
      <c r="B210" s="390"/>
      <c r="C210" s="507"/>
      <c r="D210" s="386"/>
      <c r="E210" s="387"/>
      <c r="F210" s="386"/>
      <c r="G210" s="386"/>
      <c r="H210" s="388"/>
      <c r="I210" s="390"/>
      <c r="J210" s="386"/>
      <c r="K210" s="387"/>
      <c r="L210" s="386"/>
      <c r="M210" s="386"/>
      <c r="N210" s="388"/>
    </row>
    <row r="211" spans="1:14" ht="47.25" x14ac:dyDescent="0.25">
      <c r="A211" s="384" t="s">
        <v>13</v>
      </c>
      <c r="B211" s="385"/>
      <c r="C211" s="507"/>
      <c r="D211" s="386">
        <v>175.98870056497174</v>
      </c>
      <c r="E211" s="387"/>
      <c r="F211" s="386"/>
      <c r="G211" s="386"/>
      <c r="H211" s="388"/>
      <c r="I211" s="390"/>
      <c r="J211" s="386"/>
      <c r="K211" s="387"/>
      <c r="L211" s="386"/>
      <c r="M211" s="386"/>
      <c r="N211" s="388"/>
    </row>
    <row r="212" spans="1:14" x14ac:dyDescent="0.25">
      <c r="A212" s="545" t="s">
        <v>136</v>
      </c>
      <c r="B212" s="390">
        <v>0.22727272727272727</v>
      </c>
      <c r="C212" s="507"/>
      <c r="D212" s="386">
        <v>623</v>
      </c>
      <c r="E212" s="387">
        <v>30</v>
      </c>
      <c r="F212" s="386">
        <v>42.477272727272727</v>
      </c>
      <c r="G212" s="386">
        <v>10.232775</v>
      </c>
      <c r="H212" s="388">
        <v>52.710047727272723</v>
      </c>
      <c r="I212" s="390">
        <v>1</v>
      </c>
      <c r="J212" s="386">
        <v>577</v>
      </c>
      <c r="K212" s="387">
        <v>20</v>
      </c>
      <c r="L212" s="386">
        <f t="shared" ref="L212:L218" si="110">I212*J212*K212%</f>
        <v>115.4</v>
      </c>
      <c r="M212" s="386">
        <f t="shared" ref="M212:M218" si="111">L212*24.09%</f>
        <v>27.799860000000002</v>
      </c>
      <c r="N212" s="388">
        <f t="shared" ref="N212:N218" si="112">L212+M212</f>
        <v>143.19986</v>
      </c>
    </row>
    <row r="213" spans="1:14" x14ac:dyDescent="0.25">
      <c r="A213" s="545" t="s">
        <v>136</v>
      </c>
      <c r="B213" s="390">
        <v>0.14399997120000577</v>
      </c>
      <c r="C213" s="507"/>
      <c r="D213" s="386">
        <v>640</v>
      </c>
      <c r="E213" s="387">
        <v>30</v>
      </c>
      <c r="F213" s="386">
        <v>27.647994470401105</v>
      </c>
      <c r="G213" s="386">
        <v>6.6604018679196262</v>
      </c>
      <c r="H213" s="388">
        <v>34.308396338320733</v>
      </c>
      <c r="I213" s="390">
        <f>144/166.757</f>
        <v>0.86353196567460433</v>
      </c>
      <c r="J213" s="386">
        <v>612</v>
      </c>
      <c r="K213" s="387">
        <v>20</v>
      </c>
      <c r="L213" s="386">
        <f t="shared" si="110"/>
        <v>105.69631259857158</v>
      </c>
      <c r="M213" s="386">
        <f t="shared" si="111"/>
        <v>25.462241704995893</v>
      </c>
      <c r="N213" s="388">
        <f t="shared" si="112"/>
        <v>131.15855430356748</v>
      </c>
    </row>
    <row r="214" spans="1:14" x14ac:dyDescent="0.25">
      <c r="A214" s="545" t="s">
        <v>136</v>
      </c>
      <c r="B214" s="390">
        <v>0.28799994240001153</v>
      </c>
      <c r="C214" s="507"/>
      <c r="D214" s="386">
        <v>640</v>
      </c>
      <c r="E214" s="387">
        <v>30</v>
      </c>
      <c r="F214" s="386">
        <v>55.295988940802211</v>
      </c>
      <c r="G214" s="386">
        <v>13.320803735839252</v>
      </c>
      <c r="H214" s="388">
        <v>68.616792676641467</v>
      </c>
      <c r="I214" s="390">
        <f>288/166.757</f>
        <v>1.7270639313492087</v>
      </c>
      <c r="J214" s="386">
        <v>612</v>
      </c>
      <c r="K214" s="387">
        <v>20</v>
      </c>
      <c r="L214" s="386">
        <f t="shared" si="110"/>
        <v>211.39262519714316</v>
      </c>
      <c r="M214" s="386">
        <f t="shared" si="111"/>
        <v>50.924483409991787</v>
      </c>
      <c r="N214" s="388">
        <f t="shared" si="112"/>
        <v>262.31710860713497</v>
      </c>
    </row>
    <row r="215" spans="1:14" x14ac:dyDescent="0.25">
      <c r="A215" s="545" t="s">
        <v>136</v>
      </c>
      <c r="B215" s="390">
        <v>0.28799994240001153</v>
      </c>
      <c r="C215" s="507"/>
      <c r="D215" s="386">
        <v>640</v>
      </c>
      <c r="E215" s="387">
        <v>30</v>
      </c>
      <c r="F215" s="386">
        <v>55.295988940802211</v>
      </c>
      <c r="G215" s="386">
        <v>13.320803735839252</v>
      </c>
      <c r="H215" s="388">
        <v>68.616792676641467</v>
      </c>
      <c r="I215" s="390">
        <f>255/166.757</f>
        <v>1.5291711892154451</v>
      </c>
      <c r="J215" s="386">
        <v>612</v>
      </c>
      <c r="K215" s="387">
        <v>20</v>
      </c>
      <c r="L215" s="386">
        <f t="shared" si="110"/>
        <v>187.1705535599705</v>
      </c>
      <c r="M215" s="386">
        <f t="shared" si="111"/>
        <v>45.089386352596897</v>
      </c>
      <c r="N215" s="388">
        <f t="shared" si="112"/>
        <v>232.2599399125674</v>
      </c>
    </row>
    <row r="216" spans="1:14" x14ac:dyDescent="0.25">
      <c r="A216" s="545" t="s">
        <v>136</v>
      </c>
      <c r="B216" s="390">
        <v>0.14392156274830217</v>
      </c>
      <c r="C216" s="507"/>
      <c r="D216" s="386">
        <v>612</v>
      </c>
      <c r="E216" s="387">
        <v>30</v>
      </c>
      <c r="F216" s="386">
        <v>26.423998920588279</v>
      </c>
      <c r="G216" s="386">
        <v>6.3655413399697167</v>
      </c>
      <c r="H216" s="388">
        <v>32.789540260557999</v>
      </c>
      <c r="I216" s="390">
        <f>264/166.666</f>
        <v>1.5840063360253442</v>
      </c>
      <c r="J216" s="386">
        <v>640</v>
      </c>
      <c r="K216" s="387">
        <v>20</v>
      </c>
      <c r="L216" s="386">
        <f t="shared" si="110"/>
        <v>202.75281101124406</v>
      </c>
      <c r="M216" s="386">
        <f t="shared" si="111"/>
        <v>48.843152172608697</v>
      </c>
      <c r="N216" s="388">
        <f t="shared" si="112"/>
        <v>251.59596318385275</v>
      </c>
    </row>
    <row r="217" spans="1:14" x14ac:dyDescent="0.25">
      <c r="A217" s="545" t="s">
        <v>136</v>
      </c>
      <c r="B217" s="390">
        <v>8.9982003599280144E-2</v>
      </c>
      <c r="C217" s="507"/>
      <c r="D217" s="386">
        <v>612</v>
      </c>
      <c r="E217" s="387">
        <v>30</v>
      </c>
      <c r="F217" s="386">
        <v>16.520695860827832</v>
      </c>
      <c r="G217" s="386">
        <v>3.9798356328734248</v>
      </c>
      <c r="H217" s="388">
        <v>20.500531493701256</v>
      </c>
      <c r="I217" s="390">
        <f>216/166.666</f>
        <v>1.2960051840207361</v>
      </c>
      <c r="J217" s="386">
        <v>640</v>
      </c>
      <c r="K217" s="387">
        <v>20</v>
      </c>
      <c r="L217" s="386">
        <f t="shared" si="110"/>
        <v>165.88866355465422</v>
      </c>
      <c r="M217" s="386">
        <f t="shared" si="111"/>
        <v>39.962579050316201</v>
      </c>
      <c r="N217" s="388">
        <f t="shared" si="112"/>
        <v>205.85124260497042</v>
      </c>
    </row>
    <row r="218" spans="1:14" x14ac:dyDescent="0.25">
      <c r="A218" s="389" t="s">
        <v>136</v>
      </c>
      <c r="B218" s="390"/>
      <c r="C218" s="507"/>
      <c r="D218" s="386"/>
      <c r="E218" s="387"/>
      <c r="F218" s="386"/>
      <c r="G218" s="386"/>
      <c r="H218" s="388"/>
      <c r="I218" s="390">
        <f>255/166.666</f>
        <v>1.5300061200244801</v>
      </c>
      <c r="J218" s="386">
        <v>640</v>
      </c>
      <c r="K218" s="387">
        <v>20</v>
      </c>
      <c r="L218" s="386">
        <f t="shared" si="110"/>
        <v>195.84078336313348</v>
      </c>
      <c r="M218" s="386">
        <f t="shared" si="111"/>
        <v>47.17804471217886</v>
      </c>
      <c r="N218" s="388">
        <f t="shared" si="112"/>
        <v>243.01882807531234</v>
      </c>
    </row>
    <row r="219" spans="1:14" x14ac:dyDescent="0.25">
      <c r="A219" s="389"/>
      <c r="B219" s="390"/>
      <c r="C219" s="507"/>
      <c r="D219" s="386"/>
      <c r="E219" s="387"/>
      <c r="F219" s="386"/>
      <c r="G219" s="386"/>
      <c r="H219" s="388"/>
      <c r="I219" s="390"/>
      <c r="J219" s="386"/>
      <c r="K219" s="387"/>
      <c r="L219" s="386"/>
      <c r="M219" s="386"/>
      <c r="N219" s="388"/>
    </row>
    <row r="220" spans="1:14" ht="31.5" x14ac:dyDescent="0.25">
      <c r="A220" s="384" t="s">
        <v>11</v>
      </c>
      <c r="B220" s="390"/>
      <c r="C220" s="507"/>
      <c r="D220" s="386"/>
      <c r="E220" s="387"/>
      <c r="F220" s="386"/>
      <c r="G220" s="386"/>
      <c r="H220" s="388"/>
      <c r="I220" s="385"/>
      <c r="J220" s="386"/>
      <c r="K220" s="387"/>
      <c r="L220" s="386"/>
      <c r="M220" s="386"/>
      <c r="N220" s="388"/>
    </row>
    <row r="221" spans="1:14" x14ac:dyDescent="0.25">
      <c r="A221" s="547" t="s">
        <v>674</v>
      </c>
      <c r="B221" s="390">
        <v>0.22727272727272727</v>
      </c>
      <c r="C221" s="507"/>
      <c r="D221" s="386">
        <v>683</v>
      </c>
      <c r="E221" s="387">
        <v>30</v>
      </c>
      <c r="F221" s="386">
        <v>46.568181818181813</v>
      </c>
      <c r="G221" s="386">
        <v>11.218274999999998</v>
      </c>
      <c r="H221" s="388">
        <v>57.786456818181811</v>
      </c>
      <c r="I221" s="407">
        <v>1</v>
      </c>
      <c r="J221" s="386">
        <v>683</v>
      </c>
      <c r="K221" s="386">
        <v>20</v>
      </c>
      <c r="L221" s="386">
        <f>I221*J221*K221%</f>
        <v>136.6</v>
      </c>
      <c r="M221" s="386">
        <f>L221*24.09%</f>
        <v>32.906939999999999</v>
      </c>
      <c r="N221" s="386">
        <f>L221+M221</f>
        <v>169.50693999999999</v>
      </c>
    </row>
    <row r="223" spans="1:14" x14ac:dyDescent="0.25">
      <c r="A223" s="901" t="s">
        <v>33</v>
      </c>
      <c r="B223" s="901"/>
      <c r="C223" s="901"/>
      <c r="D223" s="901"/>
      <c r="E223" s="901"/>
      <c r="F223" s="901"/>
      <c r="G223" s="901"/>
      <c r="H223" s="901"/>
      <c r="I223" s="501"/>
      <c r="J223" s="501"/>
      <c r="K223" s="501"/>
      <c r="L223" s="501"/>
      <c r="M223" s="501"/>
      <c r="N223" s="501"/>
    </row>
    <row r="224" spans="1:14" x14ac:dyDescent="0.25">
      <c r="A224" s="543" t="s">
        <v>948</v>
      </c>
      <c r="B224" s="543"/>
      <c r="C224" s="543"/>
      <c r="D224" s="543"/>
    </row>
    <row r="227" spans="1:1" ht="16.5" x14ac:dyDescent="0.25">
      <c r="A227" s="26"/>
    </row>
    <row r="228" spans="1:1" ht="16.5" x14ac:dyDescent="0.25">
      <c r="A228" s="26"/>
    </row>
    <row r="229" spans="1:1" ht="16.5" x14ac:dyDescent="0.25">
      <c r="A229" s="26"/>
    </row>
    <row r="230" spans="1:1" ht="16.5" x14ac:dyDescent="0.25">
      <c r="A230" s="26"/>
    </row>
  </sheetData>
  <mergeCells count="5">
    <mergeCell ref="A2:H2"/>
    <mergeCell ref="A6:A7"/>
    <mergeCell ref="B6:H6"/>
    <mergeCell ref="A223:H223"/>
    <mergeCell ref="I6:N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374"/>
  <sheetViews>
    <sheetView topLeftCell="A4" zoomScale="70" zoomScaleNormal="70" workbookViewId="0">
      <selection activeCell="F143" sqref="F143"/>
    </sheetView>
  </sheetViews>
  <sheetFormatPr defaultRowHeight="16.5" x14ac:dyDescent="0.25"/>
  <cols>
    <col min="1" max="1" width="66.7109375" style="2" bestFit="1" customWidth="1"/>
    <col min="2" max="2" width="14" style="2" customWidth="1"/>
    <col min="3" max="3" width="16" style="2" customWidth="1"/>
    <col min="4" max="7" width="14" style="2" customWidth="1"/>
    <col min="8" max="9" width="14" style="297" customWidth="1"/>
    <col min="10" max="10" width="14" style="2" customWidth="1"/>
    <col min="11" max="13" width="14" style="297" customWidth="1"/>
    <col min="14" max="19" width="14" style="2" hidden="1" customWidth="1"/>
    <col min="20" max="20" width="15.85546875" style="2" customWidth="1"/>
    <col min="21" max="16384" width="9.140625" style="2"/>
  </cols>
  <sheetData>
    <row r="2" spans="1:19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27"/>
      <c r="O2" s="27"/>
      <c r="P2" s="27"/>
      <c r="Q2" s="27"/>
      <c r="R2" s="27"/>
      <c r="S2" s="27"/>
    </row>
    <row r="4" spans="1:19" x14ac:dyDescent="0.25">
      <c r="A4" s="2" t="s">
        <v>592</v>
      </c>
    </row>
    <row r="5" spans="1:19" ht="17.25" thickBot="1" x14ac:dyDescent="0.3"/>
    <row r="6" spans="1:19" ht="24" customHeight="1" x14ac:dyDescent="0.25">
      <c r="A6" s="905"/>
      <c r="B6" s="858" t="s">
        <v>2</v>
      </c>
      <c r="C6" s="858"/>
      <c r="D6" s="858"/>
      <c r="E6" s="858"/>
      <c r="F6" s="858"/>
      <c r="G6" s="859"/>
      <c r="H6" s="857" t="s">
        <v>169</v>
      </c>
      <c r="I6" s="858"/>
      <c r="J6" s="858"/>
      <c r="K6" s="858"/>
      <c r="L6" s="858"/>
      <c r="M6" s="859"/>
      <c r="N6" s="857" t="s">
        <v>5</v>
      </c>
      <c r="O6" s="858"/>
      <c r="P6" s="858"/>
      <c r="Q6" s="858"/>
      <c r="R6" s="858"/>
      <c r="S6" s="859"/>
    </row>
    <row r="7" spans="1:19" ht="104.25" customHeight="1" x14ac:dyDescent="0.25">
      <c r="A7" s="905"/>
      <c r="B7" s="161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298" t="s">
        <v>28</v>
      </c>
      <c r="I7" s="293" t="s">
        <v>10</v>
      </c>
      <c r="J7" s="4" t="s">
        <v>6</v>
      </c>
      <c r="K7" s="293" t="s">
        <v>7</v>
      </c>
      <c r="L7" s="293" t="s">
        <v>8</v>
      </c>
      <c r="M7" s="299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19" ht="13.5" customHeight="1" x14ac:dyDescent="0.25">
      <c r="A8" s="300"/>
      <c r="B8" s="162"/>
      <c r="C8" s="8"/>
      <c r="D8" s="8"/>
      <c r="E8" s="8"/>
      <c r="F8" s="8"/>
      <c r="G8" s="9"/>
      <c r="H8" s="301"/>
      <c r="I8" s="302"/>
      <c r="J8" s="8"/>
      <c r="K8" s="303"/>
      <c r="L8" s="303"/>
      <c r="M8" s="304"/>
      <c r="N8" s="7"/>
      <c r="O8" s="8"/>
      <c r="P8" s="8"/>
      <c r="Q8" s="8"/>
      <c r="R8" s="8"/>
      <c r="S8" s="9"/>
    </row>
    <row r="9" spans="1:19" s="1" customFormat="1" ht="26.25" customHeight="1" x14ac:dyDescent="0.25">
      <c r="A9" s="305" t="s">
        <v>0</v>
      </c>
      <c r="B9" s="306"/>
      <c r="C9" s="12"/>
      <c r="D9" s="12"/>
      <c r="E9" s="12"/>
      <c r="F9" s="12"/>
      <c r="G9" s="13"/>
      <c r="H9" s="307">
        <v>117.42721518987342</v>
      </c>
      <c r="I9" s="308"/>
      <c r="J9" s="12"/>
      <c r="K9" s="308">
        <f>K10+K30+K43+K60+K73+K97+K123+K138+K151+K180+K193+K205+K263+K283+K327+K357</f>
        <v>19882.670000000002</v>
      </c>
      <c r="L9" s="308">
        <f t="shared" ref="L9:M9" si="0">L10+L30+L43+L60+L73+L97+L123+L138+L151+L180+L193+L205+L263+L283+L327+L357</f>
        <v>4789.7352029999993</v>
      </c>
      <c r="M9" s="308">
        <f t="shared" si="0"/>
        <v>24672.405203000002</v>
      </c>
      <c r="N9" s="11"/>
      <c r="O9" s="12"/>
      <c r="P9" s="12"/>
      <c r="Q9" s="12"/>
      <c r="R9" s="12"/>
      <c r="S9" s="13"/>
    </row>
    <row r="10" spans="1:19" s="1" customFormat="1" ht="21.75" customHeight="1" x14ac:dyDescent="0.25">
      <c r="A10" s="309" t="s">
        <v>593</v>
      </c>
      <c r="B10" s="167"/>
      <c r="C10" s="16"/>
      <c r="D10" s="16"/>
      <c r="E10" s="16"/>
      <c r="F10" s="16"/>
      <c r="G10" s="17"/>
      <c r="H10" s="310">
        <f>H11+H14+H24+H27</f>
        <v>7.7784810126582276</v>
      </c>
      <c r="I10" s="311"/>
      <c r="J10" s="16"/>
      <c r="K10" s="312">
        <f>K11+K14+K24+K27</f>
        <v>1680.99</v>
      </c>
      <c r="L10" s="312">
        <f t="shared" ref="L10:M10" si="1">L11+L14+L24+L27</f>
        <v>404.950491</v>
      </c>
      <c r="M10" s="313">
        <f t="shared" si="1"/>
        <v>2085.9404909999998</v>
      </c>
      <c r="N10" s="15"/>
      <c r="O10" s="16"/>
      <c r="P10" s="16"/>
      <c r="Q10" s="16"/>
      <c r="R10" s="16"/>
      <c r="S10" s="17"/>
    </row>
    <row r="11" spans="1:19" ht="37.5" customHeight="1" x14ac:dyDescent="0.25">
      <c r="A11" s="314" t="s">
        <v>14</v>
      </c>
      <c r="B11" s="171"/>
      <c r="C11" s="20"/>
      <c r="D11" s="20"/>
      <c r="E11" s="20"/>
      <c r="F11" s="20"/>
      <c r="G11" s="21"/>
      <c r="H11" s="133"/>
      <c r="I11" s="315"/>
      <c r="J11" s="20"/>
      <c r="K11" s="136"/>
      <c r="L11" s="136"/>
      <c r="M11" s="138"/>
      <c r="N11" s="19"/>
      <c r="O11" s="20"/>
      <c r="P11" s="20"/>
      <c r="Q11" s="20"/>
      <c r="R11" s="20"/>
      <c r="S11" s="21"/>
    </row>
    <row r="12" spans="1:19" ht="18.75" customHeight="1" x14ac:dyDescent="0.25">
      <c r="A12" s="316"/>
      <c r="B12" s="171"/>
      <c r="C12" s="20"/>
      <c r="D12" s="20"/>
      <c r="E12" s="20"/>
      <c r="F12" s="20"/>
      <c r="G12" s="21"/>
      <c r="H12" s="133"/>
      <c r="I12" s="315"/>
      <c r="J12" s="20"/>
      <c r="K12" s="136"/>
      <c r="L12" s="136"/>
      <c r="M12" s="138"/>
      <c r="N12" s="19"/>
      <c r="O12" s="20"/>
      <c r="P12" s="20"/>
      <c r="Q12" s="20"/>
      <c r="R12" s="20"/>
      <c r="S12" s="21"/>
    </row>
    <row r="13" spans="1:19" ht="19.5" customHeight="1" x14ac:dyDescent="0.25">
      <c r="A13" s="314" t="s">
        <v>1</v>
      </c>
      <c r="B13" s="171"/>
      <c r="C13" s="20"/>
      <c r="D13" s="20"/>
      <c r="E13" s="20"/>
      <c r="F13" s="20"/>
      <c r="G13" s="21"/>
      <c r="H13" s="133"/>
      <c r="I13" s="315"/>
      <c r="J13" s="20"/>
      <c r="K13" s="136"/>
      <c r="L13" s="136"/>
      <c r="M13" s="138"/>
      <c r="N13" s="19"/>
      <c r="O13" s="20"/>
      <c r="P13" s="20"/>
      <c r="Q13" s="20"/>
      <c r="R13" s="20"/>
      <c r="S13" s="21"/>
    </row>
    <row r="14" spans="1:19" ht="49.5" customHeight="1" x14ac:dyDescent="0.25">
      <c r="A14" s="314" t="s">
        <v>12</v>
      </c>
      <c r="B14" s="317"/>
      <c r="C14" s="30"/>
      <c r="D14" s="30"/>
      <c r="E14" s="30"/>
      <c r="F14" s="30"/>
      <c r="G14" s="31"/>
      <c r="H14" s="318">
        <f>SUM(H15:H23)</f>
        <v>5.7784810126582276</v>
      </c>
      <c r="I14" s="319"/>
      <c r="J14" s="30"/>
      <c r="K14" s="320">
        <f>SUM(K15:K23)</f>
        <v>1036.99</v>
      </c>
      <c r="L14" s="320">
        <f>SUM(L15:L23)</f>
        <v>249.810891</v>
      </c>
      <c r="M14" s="321">
        <f>SUM(M15:M23)</f>
        <v>1286.8008909999999</v>
      </c>
      <c r="N14" s="19"/>
      <c r="O14" s="20"/>
      <c r="P14" s="20"/>
      <c r="Q14" s="20"/>
      <c r="R14" s="20"/>
      <c r="S14" s="21"/>
    </row>
    <row r="15" spans="1:19" ht="18.75" customHeight="1" x14ac:dyDescent="0.3">
      <c r="A15" s="316" t="s">
        <v>199</v>
      </c>
      <c r="B15" s="171"/>
      <c r="C15" s="20"/>
      <c r="D15" s="322"/>
      <c r="E15" s="20"/>
      <c r="F15" s="20"/>
      <c r="G15" s="21"/>
      <c r="H15" s="323">
        <v>0.27848101265822783</v>
      </c>
      <c r="I15" s="315">
        <v>371.3</v>
      </c>
      <c r="J15" s="324">
        <v>20</v>
      </c>
      <c r="K15" s="136">
        <v>20.68</v>
      </c>
      <c r="L15" s="136">
        <f>K15*0.2409</f>
        <v>4.9818119999999997</v>
      </c>
      <c r="M15" s="138">
        <f>K15+L15</f>
        <v>25.661811999999998</v>
      </c>
      <c r="N15" s="19"/>
      <c r="O15" s="20"/>
      <c r="P15" s="20"/>
      <c r="Q15" s="20"/>
      <c r="R15" s="20"/>
      <c r="S15" s="21"/>
    </row>
    <row r="16" spans="1:19" ht="18.75" customHeight="1" x14ac:dyDescent="0.3">
      <c r="A16" s="316" t="s">
        <v>594</v>
      </c>
      <c r="B16" s="171"/>
      <c r="C16" s="20"/>
      <c r="D16" s="322"/>
      <c r="E16" s="20"/>
      <c r="F16" s="20"/>
      <c r="G16" s="21"/>
      <c r="H16" s="323">
        <v>0.98734177215189878</v>
      </c>
      <c r="I16" s="315">
        <v>742.6</v>
      </c>
      <c r="J16" s="324">
        <v>20</v>
      </c>
      <c r="K16" s="136">
        <v>146.63999999999999</v>
      </c>
      <c r="L16" s="136">
        <f t="shared" ref="L16:L21" si="2">K16*0.2409</f>
        <v>35.325575999999998</v>
      </c>
      <c r="M16" s="138">
        <f t="shared" ref="M16:M21" si="3">K16+L16</f>
        <v>181.965576</v>
      </c>
      <c r="N16" s="19"/>
      <c r="O16" s="20"/>
      <c r="P16" s="20"/>
      <c r="Q16" s="20"/>
      <c r="R16" s="20"/>
      <c r="S16" s="21"/>
    </row>
    <row r="17" spans="1:19" ht="18.75" customHeight="1" x14ac:dyDescent="0.3">
      <c r="A17" s="316" t="s">
        <v>594</v>
      </c>
      <c r="B17" s="171"/>
      <c r="C17" s="20"/>
      <c r="D17" s="322"/>
      <c r="E17" s="20"/>
      <c r="F17" s="20"/>
      <c r="G17" s="21"/>
      <c r="H17" s="323">
        <v>1.0063291139240507</v>
      </c>
      <c r="I17" s="315">
        <v>900.59999999999991</v>
      </c>
      <c r="J17" s="324">
        <v>20</v>
      </c>
      <c r="K17" s="136">
        <v>181.26</v>
      </c>
      <c r="L17" s="136">
        <f t="shared" si="2"/>
        <v>43.665534000000001</v>
      </c>
      <c r="M17" s="138">
        <f t="shared" si="3"/>
        <v>224.925534</v>
      </c>
      <c r="N17" s="19"/>
      <c r="O17" s="20"/>
      <c r="P17" s="20"/>
      <c r="Q17" s="20"/>
      <c r="R17" s="20"/>
      <c r="S17" s="21"/>
    </row>
    <row r="18" spans="1:19" ht="18.75" customHeight="1" x14ac:dyDescent="0.3">
      <c r="A18" s="316" t="s">
        <v>594</v>
      </c>
      <c r="B18" s="171"/>
      <c r="C18" s="20"/>
      <c r="D18" s="322"/>
      <c r="E18" s="20"/>
      <c r="F18" s="20"/>
      <c r="G18" s="21"/>
      <c r="H18" s="323">
        <v>0.54430379746835444</v>
      </c>
      <c r="I18" s="315">
        <v>900.59999999999991</v>
      </c>
      <c r="J18" s="324">
        <v>20</v>
      </c>
      <c r="K18" s="136">
        <v>98.04</v>
      </c>
      <c r="L18" s="136">
        <f t="shared" si="2"/>
        <v>23.617836</v>
      </c>
      <c r="M18" s="138">
        <f t="shared" si="3"/>
        <v>121.657836</v>
      </c>
      <c r="N18" s="19"/>
      <c r="O18" s="20"/>
      <c r="P18" s="20"/>
      <c r="Q18" s="20"/>
      <c r="R18" s="20"/>
      <c r="S18" s="21"/>
    </row>
    <row r="19" spans="1:19" ht="18.75" customHeight="1" x14ac:dyDescent="0.3">
      <c r="A19" s="316" t="s">
        <v>595</v>
      </c>
      <c r="B19" s="171"/>
      <c r="C19" s="20"/>
      <c r="D19" s="322"/>
      <c r="E19" s="20"/>
      <c r="F19" s="20"/>
      <c r="G19" s="21"/>
      <c r="H19" s="323">
        <v>0.94936708860759489</v>
      </c>
      <c r="I19" s="315">
        <v>1199.9994666666666</v>
      </c>
      <c r="J19" s="324">
        <v>20</v>
      </c>
      <c r="K19" s="136">
        <v>227.85</v>
      </c>
      <c r="L19" s="136">
        <f t="shared" si="2"/>
        <v>54.889065000000002</v>
      </c>
      <c r="M19" s="138">
        <f t="shared" si="3"/>
        <v>282.73906499999998</v>
      </c>
      <c r="N19" s="19"/>
      <c r="O19" s="20"/>
      <c r="P19" s="20"/>
      <c r="Q19" s="20"/>
      <c r="R19" s="20"/>
      <c r="S19" s="21"/>
    </row>
    <row r="20" spans="1:19" ht="18.75" customHeight="1" x14ac:dyDescent="0.3">
      <c r="A20" s="316" t="s">
        <v>596</v>
      </c>
      <c r="B20" s="171"/>
      <c r="C20" s="20"/>
      <c r="D20" s="322"/>
      <c r="E20" s="20"/>
      <c r="F20" s="20"/>
      <c r="G20" s="21"/>
      <c r="H20" s="323">
        <v>1.0126582278481013</v>
      </c>
      <c r="I20" s="315">
        <v>900.6</v>
      </c>
      <c r="J20" s="324">
        <v>20</v>
      </c>
      <c r="K20" s="136">
        <v>182.4</v>
      </c>
      <c r="L20" s="136">
        <f t="shared" si="2"/>
        <v>43.940159999999999</v>
      </c>
      <c r="M20" s="138">
        <f t="shared" si="3"/>
        <v>226.34016</v>
      </c>
      <c r="N20" s="19"/>
      <c r="O20" s="20"/>
      <c r="P20" s="20"/>
      <c r="Q20" s="20"/>
      <c r="R20" s="20"/>
      <c r="S20" s="21"/>
    </row>
    <row r="21" spans="1:19" ht="18.75" customHeight="1" x14ac:dyDescent="0.3">
      <c r="A21" s="316" t="s">
        <v>596</v>
      </c>
      <c r="B21" s="171"/>
      <c r="C21" s="20"/>
      <c r="D21" s="322"/>
      <c r="E21" s="20"/>
      <c r="F21" s="20"/>
      <c r="G21" s="21"/>
      <c r="H21" s="323">
        <v>1</v>
      </c>
      <c r="I21" s="315">
        <v>900.60000000000014</v>
      </c>
      <c r="J21" s="324">
        <v>20</v>
      </c>
      <c r="K21" s="136">
        <v>180.12</v>
      </c>
      <c r="L21" s="136">
        <f t="shared" si="2"/>
        <v>43.390908000000003</v>
      </c>
      <c r="M21" s="138">
        <f t="shared" si="3"/>
        <v>223.510908</v>
      </c>
      <c r="N21" s="19"/>
      <c r="O21" s="20"/>
      <c r="P21" s="20"/>
      <c r="Q21" s="20"/>
      <c r="R21" s="20"/>
      <c r="S21" s="21"/>
    </row>
    <row r="22" spans="1:19" x14ac:dyDescent="0.25">
      <c r="A22" s="314" t="s">
        <v>1</v>
      </c>
      <c r="B22" s="171"/>
      <c r="C22" s="20"/>
      <c r="D22" s="20"/>
      <c r="E22" s="20"/>
      <c r="F22" s="20"/>
      <c r="G22" s="21"/>
      <c r="H22" s="133"/>
      <c r="I22" s="315"/>
      <c r="J22" s="20"/>
      <c r="K22" s="136"/>
      <c r="L22" s="136"/>
      <c r="M22" s="138"/>
      <c r="N22" s="19"/>
      <c r="O22" s="20"/>
      <c r="P22" s="20"/>
      <c r="Q22" s="20"/>
      <c r="R22" s="20"/>
      <c r="S22" s="21"/>
    </row>
    <row r="23" spans="1:19" x14ac:dyDescent="0.25">
      <c r="A23" s="314" t="s">
        <v>1</v>
      </c>
      <c r="B23" s="171"/>
      <c r="C23" s="20"/>
      <c r="D23" s="20"/>
      <c r="E23" s="20"/>
      <c r="F23" s="20"/>
      <c r="G23" s="21"/>
      <c r="H23" s="133"/>
      <c r="I23" s="315"/>
      <c r="J23" s="20"/>
      <c r="K23" s="136"/>
      <c r="L23" s="136"/>
      <c r="M23" s="138"/>
      <c r="N23" s="19"/>
      <c r="O23" s="20"/>
      <c r="P23" s="20"/>
      <c r="Q23" s="20"/>
      <c r="R23" s="20"/>
      <c r="S23" s="21"/>
    </row>
    <row r="24" spans="1:19" ht="57" customHeight="1" x14ac:dyDescent="0.25">
      <c r="A24" s="314" t="s">
        <v>13</v>
      </c>
      <c r="B24" s="171"/>
      <c r="C24" s="20"/>
      <c r="D24" s="20"/>
      <c r="E24" s="20"/>
      <c r="F24" s="20"/>
      <c r="G24" s="21"/>
      <c r="H24" s="133"/>
      <c r="I24" s="315"/>
      <c r="J24" s="20"/>
      <c r="K24" s="136"/>
      <c r="L24" s="136"/>
      <c r="M24" s="138"/>
      <c r="N24" s="19"/>
      <c r="O24" s="20"/>
      <c r="P24" s="20"/>
      <c r="Q24" s="20"/>
      <c r="R24" s="20"/>
      <c r="S24" s="21"/>
    </row>
    <row r="25" spans="1:19" x14ac:dyDescent="0.25">
      <c r="A25" s="314" t="s">
        <v>1</v>
      </c>
      <c r="B25" s="171"/>
      <c r="C25" s="20"/>
      <c r="D25" s="20"/>
      <c r="E25" s="20"/>
      <c r="F25" s="20"/>
      <c r="G25" s="21"/>
      <c r="H25" s="133"/>
      <c r="I25" s="315"/>
      <c r="J25" s="20"/>
      <c r="K25" s="136"/>
      <c r="L25" s="136"/>
      <c r="M25" s="138"/>
      <c r="N25" s="19"/>
      <c r="O25" s="20"/>
      <c r="P25" s="20"/>
      <c r="Q25" s="20"/>
      <c r="R25" s="20"/>
      <c r="S25" s="21"/>
    </row>
    <row r="26" spans="1:19" x14ac:dyDescent="0.25">
      <c r="A26" s="314" t="s">
        <v>1</v>
      </c>
      <c r="B26" s="171"/>
      <c r="C26" s="20"/>
      <c r="D26" s="20"/>
      <c r="E26" s="20"/>
      <c r="F26" s="20"/>
      <c r="G26" s="21"/>
      <c r="H26" s="133"/>
      <c r="I26" s="315"/>
      <c r="J26" s="20"/>
      <c r="K26" s="136"/>
      <c r="L26" s="136"/>
      <c r="M26" s="138"/>
      <c r="N26" s="19"/>
      <c r="O26" s="20"/>
      <c r="P26" s="20"/>
      <c r="Q26" s="20"/>
      <c r="R26" s="20"/>
      <c r="S26" s="21"/>
    </row>
    <row r="27" spans="1:19" ht="36" customHeight="1" x14ac:dyDescent="0.25">
      <c r="A27" s="314" t="s">
        <v>11</v>
      </c>
      <c r="B27" s="317"/>
      <c r="C27" s="30"/>
      <c r="D27" s="30"/>
      <c r="E27" s="30"/>
      <c r="F27" s="30"/>
      <c r="G27" s="31"/>
      <c r="H27" s="319">
        <f>SUM(H28:H29)</f>
        <v>2</v>
      </c>
      <c r="I27" s="319"/>
      <c r="J27" s="30"/>
      <c r="K27" s="320">
        <f>SUM(K28:K29)</f>
        <v>644</v>
      </c>
      <c r="L27" s="320">
        <f t="shared" ref="L27:M27" si="4">SUM(L28:L29)</f>
        <v>155.1396</v>
      </c>
      <c r="M27" s="321">
        <f t="shared" si="4"/>
        <v>799.13959999999997</v>
      </c>
      <c r="N27" s="19"/>
      <c r="O27" s="20"/>
      <c r="P27" s="20"/>
      <c r="Q27" s="20"/>
      <c r="R27" s="20"/>
      <c r="S27" s="21"/>
    </row>
    <row r="28" spans="1:19" ht="17.25" x14ac:dyDescent="0.3">
      <c r="A28" s="316" t="s">
        <v>597</v>
      </c>
      <c r="B28" s="171"/>
      <c r="C28" s="20"/>
      <c r="D28" s="322"/>
      <c r="E28" s="20"/>
      <c r="F28" s="20"/>
      <c r="G28" s="21"/>
      <c r="H28" s="133">
        <v>1</v>
      </c>
      <c r="I28" s="315">
        <v>1870</v>
      </c>
      <c r="J28" s="324">
        <v>20</v>
      </c>
      <c r="K28" s="136">
        <v>374</v>
      </c>
      <c r="L28" s="136">
        <f t="shared" ref="L28:L29" si="5">K28*0.2409</f>
        <v>90.096599999999995</v>
      </c>
      <c r="M28" s="138">
        <f t="shared" ref="M28:M29" si="6">K28+L28</f>
        <v>464.09659999999997</v>
      </c>
      <c r="N28" s="19"/>
      <c r="O28" s="20"/>
      <c r="P28" s="20"/>
      <c r="Q28" s="20"/>
      <c r="R28" s="20"/>
      <c r="S28" s="21"/>
    </row>
    <row r="29" spans="1:19" ht="17.25" x14ac:dyDescent="0.3">
      <c r="A29" s="316" t="s">
        <v>598</v>
      </c>
      <c r="B29" s="171"/>
      <c r="C29" s="20"/>
      <c r="D29" s="322"/>
      <c r="E29" s="20"/>
      <c r="F29" s="20"/>
      <c r="G29" s="21"/>
      <c r="H29" s="133">
        <v>1</v>
      </c>
      <c r="I29" s="315">
        <v>1350</v>
      </c>
      <c r="J29" s="324">
        <v>20</v>
      </c>
      <c r="K29" s="136">
        <v>270</v>
      </c>
      <c r="L29" s="136">
        <f t="shared" si="5"/>
        <v>65.043000000000006</v>
      </c>
      <c r="M29" s="138">
        <f t="shared" si="6"/>
        <v>335.04300000000001</v>
      </c>
      <c r="N29" s="19"/>
      <c r="O29" s="20"/>
      <c r="P29" s="20"/>
      <c r="Q29" s="20"/>
      <c r="R29" s="20"/>
      <c r="S29" s="21"/>
    </row>
    <row r="30" spans="1:19" s="1" customFormat="1" ht="24" customHeight="1" x14ac:dyDescent="0.25">
      <c r="A30" s="309" t="s">
        <v>599</v>
      </c>
      <c r="B30" s="167"/>
      <c r="C30" s="16"/>
      <c r="D30" s="16"/>
      <c r="E30" s="16"/>
      <c r="F30" s="16"/>
      <c r="G30" s="17"/>
      <c r="H30" s="311">
        <f>H31+H34+H37+H40</f>
        <v>1</v>
      </c>
      <c r="I30" s="311"/>
      <c r="J30" s="16"/>
      <c r="K30" s="312">
        <f>K31+K34+K37+K40</f>
        <v>330</v>
      </c>
      <c r="L30" s="312">
        <f t="shared" ref="L30:M30" si="7">L31+L34+L37+L40</f>
        <v>79.497</v>
      </c>
      <c r="M30" s="313">
        <f t="shared" si="7"/>
        <v>409.49700000000001</v>
      </c>
      <c r="N30" s="15"/>
      <c r="O30" s="16"/>
      <c r="P30" s="16"/>
      <c r="Q30" s="16"/>
      <c r="R30" s="16"/>
      <c r="S30" s="17"/>
    </row>
    <row r="31" spans="1:19" ht="37.5" customHeight="1" x14ac:dyDescent="0.25">
      <c r="A31" s="314" t="s">
        <v>14</v>
      </c>
      <c r="B31" s="171"/>
      <c r="C31" s="20"/>
      <c r="D31" s="211"/>
      <c r="E31" s="211"/>
      <c r="F31" s="20"/>
      <c r="G31" s="21"/>
      <c r="H31" s="133"/>
      <c r="I31" s="315"/>
      <c r="J31" s="211"/>
      <c r="K31" s="210"/>
      <c r="L31" s="136"/>
      <c r="M31" s="138"/>
      <c r="N31" s="19"/>
      <c r="O31" s="20"/>
      <c r="P31" s="20"/>
      <c r="Q31" s="20"/>
      <c r="R31" s="20"/>
      <c r="S31" s="21"/>
    </row>
    <row r="32" spans="1:19" ht="18.75" customHeight="1" x14ac:dyDescent="0.25">
      <c r="A32" s="314" t="s">
        <v>1</v>
      </c>
      <c r="B32" s="171"/>
      <c r="C32" s="20"/>
      <c r="D32" s="211"/>
      <c r="E32" s="211"/>
      <c r="F32" s="20"/>
      <c r="G32" s="21"/>
      <c r="H32" s="133"/>
      <c r="I32" s="315"/>
      <c r="J32" s="211"/>
      <c r="K32" s="210"/>
      <c r="L32" s="136"/>
      <c r="M32" s="138"/>
      <c r="N32" s="19"/>
      <c r="O32" s="20"/>
      <c r="P32" s="20"/>
      <c r="Q32" s="20"/>
      <c r="R32" s="20"/>
      <c r="S32" s="21"/>
    </row>
    <row r="33" spans="1:19" ht="19.5" customHeight="1" x14ac:dyDescent="0.25">
      <c r="A33" s="314" t="s">
        <v>1</v>
      </c>
      <c r="B33" s="171"/>
      <c r="C33" s="20"/>
      <c r="D33" s="211"/>
      <c r="E33" s="211"/>
      <c r="F33" s="20"/>
      <c r="G33" s="21"/>
      <c r="H33" s="133"/>
      <c r="I33" s="315"/>
      <c r="J33" s="211"/>
      <c r="K33" s="210"/>
      <c r="L33" s="136"/>
      <c r="M33" s="138"/>
      <c r="N33" s="19"/>
      <c r="O33" s="20"/>
      <c r="P33" s="20"/>
      <c r="Q33" s="20"/>
      <c r="R33" s="20"/>
      <c r="S33" s="21"/>
    </row>
    <row r="34" spans="1:19" ht="49.5" customHeight="1" x14ac:dyDescent="0.25">
      <c r="A34" s="314" t="s">
        <v>12</v>
      </c>
      <c r="B34" s="317"/>
      <c r="C34" s="325"/>
      <c r="D34" s="325"/>
      <c r="E34" s="325"/>
      <c r="F34" s="325"/>
      <c r="G34" s="326"/>
      <c r="H34" s="319">
        <f>SUM(H35:H35)</f>
        <v>1</v>
      </c>
      <c r="I34" s="319"/>
      <c r="J34" s="325"/>
      <c r="K34" s="327">
        <f>SUM(K35:K35)</f>
        <v>330</v>
      </c>
      <c r="L34" s="327">
        <f t="shared" ref="L34:M34" si="8">SUM(L35:L35)</f>
        <v>79.497</v>
      </c>
      <c r="M34" s="328">
        <f t="shared" si="8"/>
        <v>409.49700000000001</v>
      </c>
      <c r="N34" s="19"/>
      <c r="O34" s="20"/>
      <c r="P34" s="20"/>
      <c r="Q34" s="20"/>
      <c r="R34" s="20"/>
      <c r="S34" s="21"/>
    </row>
    <row r="35" spans="1:19" ht="17.25" x14ac:dyDescent="0.3">
      <c r="A35" s="316" t="s">
        <v>96</v>
      </c>
      <c r="B35" s="171"/>
      <c r="C35" s="329"/>
      <c r="D35" s="330"/>
      <c r="E35" s="331"/>
      <c r="F35" s="20"/>
      <c r="G35" s="21"/>
      <c r="H35" s="133">
        <v>1</v>
      </c>
      <c r="I35" s="251">
        <v>1650</v>
      </c>
      <c r="J35" s="324">
        <v>20</v>
      </c>
      <c r="K35" s="331">
        <v>330</v>
      </c>
      <c r="L35" s="136">
        <f t="shared" ref="L35" si="9">K35*0.2409</f>
        <v>79.497</v>
      </c>
      <c r="M35" s="138">
        <f t="shared" ref="M35" si="10">K35+L35</f>
        <v>409.49700000000001</v>
      </c>
      <c r="N35" s="19"/>
      <c r="O35" s="20"/>
      <c r="P35" s="20"/>
      <c r="Q35" s="20"/>
      <c r="R35" s="20"/>
      <c r="S35" s="21"/>
    </row>
    <row r="36" spans="1:19" x14ac:dyDescent="0.25">
      <c r="A36" s="314" t="s">
        <v>1</v>
      </c>
      <c r="B36" s="171"/>
      <c r="C36" s="20"/>
      <c r="D36" s="211"/>
      <c r="E36" s="211"/>
      <c r="F36" s="20"/>
      <c r="G36" s="21"/>
      <c r="H36" s="133"/>
      <c r="I36" s="315"/>
      <c r="J36" s="211"/>
      <c r="K36" s="210"/>
      <c r="L36" s="136"/>
      <c r="M36" s="138"/>
      <c r="N36" s="19"/>
      <c r="O36" s="20"/>
      <c r="P36" s="20"/>
      <c r="Q36" s="20"/>
      <c r="R36" s="20"/>
      <c r="S36" s="21"/>
    </row>
    <row r="37" spans="1:19" ht="64.5" customHeight="1" x14ac:dyDescent="0.25">
      <c r="A37" s="314" t="s">
        <v>13</v>
      </c>
      <c r="B37" s="171"/>
      <c r="C37" s="20"/>
      <c r="D37" s="211"/>
      <c r="E37" s="211"/>
      <c r="F37" s="20"/>
      <c r="G37" s="21"/>
      <c r="H37" s="133"/>
      <c r="I37" s="315"/>
      <c r="J37" s="211"/>
      <c r="K37" s="210"/>
      <c r="L37" s="136"/>
      <c r="M37" s="138"/>
      <c r="N37" s="19"/>
      <c r="O37" s="20"/>
      <c r="P37" s="20"/>
      <c r="Q37" s="20"/>
      <c r="R37" s="20"/>
      <c r="S37" s="21"/>
    </row>
    <row r="38" spans="1:19" x14ac:dyDescent="0.25">
      <c r="A38" s="314" t="s">
        <v>1</v>
      </c>
      <c r="B38" s="171"/>
      <c r="C38" s="20"/>
      <c r="D38" s="211"/>
      <c r="E38" s="211"/>
      <c r="F38" s="20"/>
      <c r="G38" s="21"/>
      <c r="H38" s="133"/>
      <c r="I38" s="315"/>
      <c r="J38" s="211"/>
      <c r="K38" s="210"/>
      <c r="L38" s="136"/>
      <c r="M38" s="138"/>
      <c r="N38" s="19"/>
      <c r="O38" s="20"/>
      <c r="P38" s="20"/>
      <c r="Q38" s="20"/>
      <c r="R38" s="20"/>
      <c r="S38" s="21"/>
    </row>
    <row r="39" spans="1:19" x14ac:dyDescent="0.25">
      <c r="A39" s="314" t="s">
        <v>1</v>
      </c>
      <c r="B39" s="171"/>
      <c r="C39" s="20"/>
      <c r="D39" s="211"/>
      <c r="E39" s="211"/>
      <c r="F39" s="20"/>
      <c r="G39" s="21"/>
      <c r="H39" s="133"/>
      <c r="I39" s="315"/>
      <c r="J39" s="211"/>
      <c r="K39" s="210"/>
      <c r="L39" s="136"/>
      <c r="M39" s="138"/>
      <c r="N39" s="19"/>
      <c r="O39" s="20"/>
      <c r="P39" s="20"/>
      <c r="Q39" s="20"/>
      <c r="R39" s="20"/>
      <c r="S39" s="21"/>
    </row>
    <row r="40" spans="1:19" ht="37.5" customHeight="1" x14ac:dyDescent="0.25">
      <c r="A40" s="314" t="s">
        <v>11</v>
      </c>
      <c r="B40" s="171"/>
      <c r="C40" s="20"/>
      <c r="D40" s="211"/>
      <c r="E40" s="211"/>
      <c r="F40" s="20"/>
      <c r="G40" s="21"/>
      <c r="H40" s="133"/>
      <c r="I40" s="315"/>
      <c r="J40" s="211"/>
      <c r="K40" s="210"/>
      <c r="L40" s="136"/>
      <c r="M40" s="138"/>
      <c r="N40" s="19"/>
      <c r="O40" s="20"/>
      <c r="P40" s="20"/>
      <c r="Q40" s="20"/>
      <c r="R40" s="20"/>
      <c r="S40" s="21"/>
    </row>
    <row r="41" spans="1:19" x14ac:dyDescent="0.25">
      <c r="A41" s="314" t="s">
        <v>1</v>
      </c>
      <c r="B41" s="171"/>
      <c r="C41" s="20"/>
      <c r="D41" s="211"/>
      <c r="E41" s="211"/>
      <c r="F41" s="20"/>
      <c r="G41" s="21"/>
      <c r="H41" s="133"/>
      <c r="I41" s="315"/>
      <c r="J41" s="211"/>
      <c r="K41" s="210"/>
      <c r="L41" s="136"/>
      <c r="M41" s="138"/>
      <c r="N41" s="19"/>
      <c r="O41" s="20"/>
      <c r="P41" s="20"/>
      <c r="Q41" s="20"/>
      <c r="R41" s="20"/>
      <c r="S41" s="21"/>
    </row>
    <row r="42" spans="1:19" ht="17.25" thickBot="1" x14ac:dyDescent="0.3">
      <c r="A42" s="314" t="s">
        <v>1</v>
      </c>
      <c r="B42" s="184"/>
      <c r="C42" s="23"/>
      <c r="D42" s="225"/>
      <c r="E42" s="225"/>
      <c r="F42" s="23"/>
      <c r="G42" s="24"/>
      <c r="H42" s="141"/>
      <c r="I42" s="332"/>
      <c r="J42" s="225"/>
      <c r="K42" s="333"/>
      <c r="L42" s="142"/>
      <c r="M42" s="143"/>
      <c r="N42" s="22"/>
      <c r="O42" s="23"/>
      <c r="P42" s="23"/>
      <c r="Q42" s="23"/>
      <c r="R42" s="23"/>
      <c r="S42" s="24"/>
    </row>
    <row r="43" spans="1:19" s="1" customFormat="1" ht="24" customHeight="1" x14ac:dyDescent="0.25">
      <c r="A43" s="309" t="s">
        <v>324</v>
      </c>
      <c r="B43" s="167"/>
      <c r="C43" s="16"/>
      <c r="D43" s="16"/>
      <c r="E43" s="16"/>
      <c r="F43" s="16"/>
      <c r="G43" s="16"/>
      <c r="H43" s="311">
        <f>H44+H47+H50+H53</f>
        <v>3.5</v>
      </c>
      <c r="I43" s="311"/>
      <c r="J43" s="16"/>
      <c r="K43" s="312">
        <f>K44+K47+K50+K53</f>
        <v>746</v>
      </c>
      <c r="L43" s="312">
        <f t="shared" ref="L43:M43" si="11">L44+L47+L50+L53</f>
        <v>179.7114</v>
      </c>
      <c r="M43" s="312">
        <f t="shared" si="11"/>
        <v>925.7113999999998</v>
      </c>
      <c r="N43" s="15"/>
      <c r="O43" s="16"/>
      <c r="P43" s="16"/>
      <c r="Q43" s="16"/>
      <c r="R43" s="16"/>
      <c r="S43" s="17"/>
    </row>
    <row r="44" spans="1:19" ht="37.5" customHeight="1" x14ac:dyDescent="0.25">
      <c r="A44" s="314" t="s">
        <v>14</v>
      </c>
      <c r="B44" s="171"/>
      <c r="C44" s="20"/>
      <c r="D44" s="211"/>
      <c r="E44" s="211"/>
      <c r="F44" s="20"/>
      <c r="G44" s="21"/>
      <c r="H44" s="133"/>
      <c r="I44" s="315"/>
      <c r="J44" s="211"/>
      <c r="K44" s="210"/>
      <c r="L44" s="136"/>
      <c r="M44" s="138"/>
      <c r="N44" s="19"/>
      <c r="O44" s="20"/>
      <c r="P44" s="20"/>
      <c r="Q44" s="20"/>
      <c r="R44" s="20"/>
      <c r="S44" s="21"/>
    </row>
    <row r="45" spans="1:19" ht="18.75" customHeight="1" x14ac:dyDescent="0.25">
      <c r="A45" s="314" t="s">
        <v>1</v>
      </c>
      <c r="B45" s="171"/>
      <c r="C45" s="20"/>
      <c r="D45" s="211"/>
      <c r="E45" s="211"/>
      <c r="F45" s="20"/>
      <c r="G45" s="21"/>
      <c r="H45" s="133"/>
      <c r="I45" s="315"/>
      <c r="J45" s="211"/>
      <c r="K45" s="210"/>
      <c r="L45" s="136"/>
      <c r="M45" s="138"/>
      <c r="N45" s="19"/>
      <c r="O45" s="20"/>
      <c r="P45" s="20"/>
      <c r="Q45" s="20"/>
      <c r="R45" s="20"/>
      <c r="S45" s="21"/>
    </row>
    <row r="46" spans="1:19" ht="19.5" customHeight="1" x14ac:dyDescent="0.25">
      <c r="A46" s="314" t="s">
        <v>1</v>
      </c>
      <c r="B46" s="171"/>
      <c r="C46" s="20"/>
      <c r="D46" s="211"/>
      <c r="E46" s="211"/>
      <c r="F46" s="20"/>
      <c r="G46" s="21"/>
      <c r="H46" s="133"/>
      <c r="I46" s="315"/>
      <c r="J46" s="211"/>
      <c r="K46" s="210"/>
      <c r="L46" s="136"/>
      <c r="M46" s="138"/>
      <c r="N46" s="19"/>
      <c r="O46" s="20"/>
      <c r="P46" s="20"/>
      <c r="Q46" s="20"/>
      <c r="R46" s="20"/>
      <c r="S46" s="21"/>
    </row>
    <row r="47" spans="1:19" ht="49.5" customHeight="1" x14ac:dyDescent="0.25">
      <c r="A47" s="314" t="s">
        <v>12</v>
      </c>
      <c r="B47" s="171"/>
      <c r="C47" s="20"/>
      <c r="D47" s="211"/>
      <c r="E47" s="211"/>
      <c r="F47" s="20"/>
      <c r="G47" s="21"/>
      <c r="H47" s="133"/>
      <c r="I47" s="315"/>
      <c r="J47" s="211"/>
      <c r="K47" s="210"/>
      <c r="L47" s="136"/>
      <c r="M47" s="138"/>
      <c r="N47" s="19"/>
      <c r="O47" s="20"/>
      <c r="P47" s="20"/>
      <c r="Q47" s="20"/>
      <c r="R47" s="20"/>
      <c r="S47" s="21"/>
    </row>
    <row r="48" spans="1:19" x14ac:dyDescent="0.25">
      <c r="A48" s="314" t="s">
        <v>1</v>
      </c>
      <c r="B48" s="171"/>
      <c r="C48" s="20"/>
      <c r="D48" s="211"/>
      <c r="E48" s="211"/>
      <c r="F48" s="20"/>
      <c r="G48" s="21"/>
      <c r="H48" s="133"/>
      <c r="I48" s="315"/>
      <c r="J48" s="211"/>
      <c r="K48" s="210"/>
      <c r="L48" s="136"/>
      <c r="M48" s="138"/>
      <c r="N48" s="19"/>
      <c r="O48" s="20"/>
      <c r="P48" s="20"/>
      <c r="Q48" s="20"/>
      <c r="R48" s="20"/>
      <c r="S48" s="21"/>
    </row>
    <row r="49" spans="1:19" x14ac:dyDescent="0.25">
      <c r="A49" s="314" t="s">
        <v>1</v>
      </c>
      <c r="B49" s="171"/>
      <c r="C49" s="20"/>
      <c r="D49" s="211"/>
      <c r="E49" s="211"/>
      <c r="F49" s="20"/>
      <c r="G49" s="21"/>
      <c r="H49" s="133"/>
      <c r="I49" s="315"/>
      <c r="J49" s="211"/>
      <c r="K49" s="210"/>
      <c r="L49" s="136"/>
      <c r="M49" s="138"/>
      <c r="N49" s="19"/>
      <c r="O49" s="20"/>
      <c r="P49" s="20"/>
      <c r="Q49" s="20"/>
      <c r="R49" s="20"/>
      <c r="S49" s="21"/>
    </row>
    <row r="50" spans="1:19" ht="64.5" customHeight="1" x14ac:dyDescent="0.25">
      <c r="A50" s="314" t="s">
        <v>13</v>
      </c>
      <c r="B50" s="171"/>
      <c r="C50" s="20"/>
      <c r="D50" s="211"/>
      <c r="E50" s="211"/>
      <c r="F50" s="20"/>
      <c r="G50" s="21"/>
      <c r="H50" s="133"/>
      <c r="I50" s="315"/>
      <c r="J50" s="211"/>
      <c r="K50" s="210"/>
      <c r="L50" s="136"/>
      <c r="M50" s="138"/>
      <c r="N50" s="19"/>
      <c r="O50" s="20"/>
      <c r="P50" s="20"/>
      <c r="Q50" s="20"/>
      <c r="R50" s="20"/>
      <c r="S50" s="21"/>
    </row>
    <row r="51" spans="1:19" x14ac:dyDescent="0.25">
      <c r="A51" s="314" t="s">
        <v>1</v>
      </c>
      <c r="B51" s="171"/>
      <c r="C51" s="20"/>
      <c r="D51" s="211"/>
      <c r="E51" s="211"/>
      <c r="F51" s="20"/>
      <c r="G51" s="21"/>
      <c r="H51" s="133"/>
      <c r="I51" s="315"/>
      <c r="J51" s="211"/>
      <c r="K51" s="210"/>
      <c r="L51" s="136"/>
      <c r="M51" s="138"/>
      <c r="N51" s="19"/>
      <c r="O51" s="20"/>
      <c r="P51" s="20"/>
      <c r="Q51" s="20"/>
      <c r="R51" s="20"/>
      <c r="S51" s="21"/>
    </row>
    <row r="52" spans="1:19" x14ac:dyDescent="0.25">
      <c r="A52" s="314" t="s">
        <v>1</v>
      </c>
      <c r="B52" s="171"/>
      <c r="C52" s="20"/>
      <c r="D52" s="211"/>
      <c r="E52" s="211"/>
      <c r="F52" s="20"/>
      <c r="G52" s="21"/>
      <c r="H52" s="133"/>
      <c r="I52" s="315"/>
      <c r="J52" s="211"/>
      <c r="K52" s="210"/>
      <c r="L52" s="136"/>
      <c r="M52" s="138"/>
      <c r="N52" s="19"/>
      <c r="O52" s="20"/>
      <c r="P52" s="20"/>
      <c r="Q52" s="20"/>
      <c r="R52" s="20"/>
      <c r="S52" s="21"/>
    </row>
    <row r="53" spans="1:19" ht="37.5" customHeight="1" x14ac:dyDescent="0.25">
      <c r="A53" s="314" t="s">
        <v>11</v>
      </c>
      <c r="B53" s="317"/>
      <c r="C53" s="325"/>
      <c r="D53" s="325"/>
      <c r="E53" s="325"/>
      <c r="F53" s="325"/>
      <c r="G53" s="325"/>
      <c r="H53" s="319">
        <f>SUM(H54:H59)</f>
        <v>3.5</v>
      </c>
      <c r="I53" s="319"/>
      <c r="J53" s="325"/>
      <c r="K53" s="327">
        <f>SUM(K54:K59)</f>
        <v>746</v>
      </c>
      <c r="L53" s="327">
        <f t="shared" ref="L53:M53" si="12">SUM(L54:L59)</f>
        <v>179.7114</v>
      </c>
      <c r="M53" s="327">
        <f t="shared" si="12"/>
        <v>925.7113999999998</v>
      </c>
      <c r="N53" s="19"/>
      <c r="O53" s="20"/>
      <c r="P53" s="20"/>
      <c r="Q53" s="20"/>
      <c r="R53" s="20"/>
      <c r="S53" s="21"/>
    </row>
    <row r="54" spans="1:19" ht="17.25" customHeight="1" x14ac:dyDescent="0.3">
      <c r="A54" s="316" t="s">
        <v>600</v>
      </c>
      <c r="B54" s="171"/>
      <c r="C54" s="20"/>
      <c r="D54" s="322"/>
      <c r="E54" s="20"/>
      <c r="F54" s="20"/>
      <c r="G54" s="21"/>
      <c r="H54" s="133">
        <v>1</v>
      </c>
      <c r="I54" s="315">
        <v>1210</v>
      </c>
      <c r="J54" s="324">
        <v>20</v>
      </c>
      <c r="K54" s="136">
        <v>242</v>
      </c>
      <c r="L54" s="136">
        <f t="shared" ref="L54:L57" si="13">K54*0.2409</f>
        <v>58.297800000000002</v>
      </c>
      <c r="M54" s="138">
        <f t="shared" ref="M54:M57" si="14">K54+L54</f>
        <v>300.2978</v>
      </c>
      <c r="N54" s="19"/>
      <c r="O54" s="20"/>
      <c r="P54" s="20"/>
      <c r="Q54" s="20"/>
      <c r="R54" s="20"/>
      <c r="S54" s="21"/>
    </row>
    <row r="55" spans="1:19" ht="17.25" customHeight="1" x14ac:dyDescent="0.3">
      <c r="A55" s="316" t="s">
        <v>601</v>
      </c>
      <c r="B55" s="171"/>
      <c r="C55" s="20"/>
      <c r="D55" s="322"/>
      <c r="E55" s="20"/>
      <c r="F55" s="20"/>
      <c r="G55" s="21"/>
      <c r="H55" s="133">
        <v>1</v>
      </c>
      <c r="I55" s="315">
        <v>1440</v>
      </c>
      <c r="J55" s="324">
        <v>20</v>
      </c>
      <c r="K55" s="136">
        <v>288</v>
      </c>
      <c r="L55" s="136">
        <f t="shared" si="13"/>
        <v>69.379199999999997</v>
      </c>
      <c r="M55" s="138">
        <f t="shared" si="14"/>
        <v>357.37919999999997</v>
      </c>
      <c r="N55" s="19"/>
      <c r="O55" s="20"/>
      <c r="P55" s="20"/>
      <c r="Q55" s="20"/>
      <c r="R55" s="20"/>
      <c r="S55" s="21"/>
    </row>
    <row r="56" spans="1:19" ht="17.25" customHeight="1" x14ac:dyDescent="0.3">
      <c r="A56" s="316" t="s">
        <v>119</v>
      </c>
      <c r="B56" s="171"/>
      <c r="C56" s="20"/>
      <c r="D56" s="322"/>
      <c r="E56" s="20"/>
      <c r="F56" s="20"/>
      <c r="G56" s="21"/>
      <c r="H56" s="133">
        <v>1</v>
      </c>
      <c r="I56" s="315">
        <v>720</v>
      </c>
      <c r="J56" s="324">
        <v>20</v>
      </c>
      <c r="K56" s="136">
        <v>144</v>
      </c>
      <c r="L56" s="136">
        <f t="shared" si="13"/>
        <v>34.689599999999999</v>
      </c>
      <c r="M56" s="138">
        <f t="shared" si="14"/>
        <v>178.68959999999998</v>
      </c>
      <c r="N56" s="19"/>
      <c r="O56" s="20"/>
      <c r="P56" s="20"/>
      <c r="Q56" s="20"/>
      <c r="R56" s="20"/>
      <c r="S56" s="21"/>
    </row>
    <row r="57" spans="1:19" ht="17.25" customHeight="1" x14ac:dyDescent="0.3">
      <c r="A57" s="316" t="s">
        <v>119</v>
      </c>
      <c r="B57" s="171"/>
      <c r="C57" s="20"/>
      <c r="D57" s="322"/>
      <c r="E57" s="20"/>
      <c r="F57" s="20"/>
      <c r="G57" s="21"/>
      <c r="H57" s="133">
        <v>0.5</v>
      </c>
      <c r="I57" s="315">
        <v>720</v>
      </c>
      <c r="J57" s="324">
        <v>20</v>
      </c>
      <c r="K57" s="136">
        <v>72</v>
      </c>
      <c r="L57" s="136">
        <f t="shared" si="13"/>
        <v>17.344799999999999</v>
      </c>
      <c r="M57" s="138">
        <f t="shared" si="14"/>
        <v>89.344799999999992</v>
      </c>
      <c r="N57" s="19"/>
      <c r="O57" s="20"/>
      <c r="P57" s="20"/>
      <c r="Q57" s="20"/>
      <c r="R57" s="20"/>
      <c r="S57" s="21"/>
    </row>
    <row r="58" spans="1:19" x14ac:dyDescent="0.25">
      <c r="A58" s="314" t="s">
        <v>1</v>
      </c>
      <c r="B58" s="171"/>
      <c r="C58" s="20"/>
      <c r="D58" s="20"/>
      <c r="E58" s="20"/>
      <c r="F58" s="20"/>
      <c r="G58" s="21"/>
      <c r="H58" s="133"/>
      <c r="I58" s="315"/>
      <c r="J58" s="20"/>
      <c r="K58" s="136"/>
      <c r="L58" s="136"/>
      <c r="M58" s="138"/>
      <c r="N58" s="19"/>
      <c r="O58" s="20"/>
      <c r="P58" s="20"/>
      <c r="Q58" s="20"/>
      <c r="R58" s="20"/>
      <c r="S58" s="21"/>
    </row>
    <row r="59" spans="1:19" ht="17.25" thickBot="1" x14ac:dyDescent="0.3">
      <c r="A59" s="314" t="s">
        <v>1</v>
      </c>
      <c r="B59" s="184"/>
      <c r="C59" s="23"/>
      <c r="D59" s="23"/>
      <c r="E59" s="23"/>
      <c r="F59" s="23"/>
      <c r="G59" s="24"/>
      <c r="H59" s="141"/>
      <c r="I59" s="332"/>
      <c r="J59" s="23"/>
      <c r="K59" s="142"/>
      <c r="L59" s="142"/>
      <c r="M59" s="143"/>
      <c r="N59" s="22"/>
      <c r="O59" s="23"/>
      <c r="P59" s="23"/>
      <c r="Q59" s="23"/>
      <c r="R59" s="23"/>
      <c r="S59" s="24"/>
    </row>
    <row r="60" spans="1:19" s="1" customFormat="1" ht="24" customHeight="1" x14ac:dyDescent="0.25">
      <c r="A60" s="309" t="s">
        <v>602</v>
      </c>
      <c r="B60" s="334"/>
      <c r="C60" s="335"/>
      <c r="D60" s="335"/>
      <c r="E60" s="335"/>
      <c r="F60" s="335"/>
      <c r="G60" s="336"/>
      <c r="H60" s="337">
        <v>1</v>
      </c>
      <c r="I60" s="337"/>
      <c r="J60" s="335"/>
      <c r="K60" s="338">
        <f>K61+K64+K67+K70</f>
        <v>490</v>
      </c>
      <c r="L60" s="338">
        <f t="shared" ref="L60:M60" si="15">L61+L64+L67+L70</f>
        <v>118.041</v>
      </c>
      <c r="M60" s="339">
        <f t="shared" si="15"/>
        <v>608.04099999999994</v>
      </c>
      <c r="N60" s="15"/>
      <c r="O60" s="16"/>
      <c r="P60" s="16"/>
      <c r="Q60" s="16"/>
      <c r="R60" s="16"/>
      <c r="S60" s="17"/>
    </row>
    <row r="61" spans="1:19" ht="37.5" customHeight="1" x14ac:dyDescent="0.25">
      <c r="A61" s="314" t="s">
        <v>14</v>
      </c>
      <c r="B61" s="171"/>
      <c r="C61" s="20"/>
      <c r="D61" s="211"/>
      <c r="E61" s="211"/>
      <c r="F61" s="20"/>
      <c r="G61" s="21"/>
      <c r="H61" s="340">
        <v>1</v>
      </c>
      <c r="I61" s="340"/>
      <c r="J61" s="325"/>
      <c r="K61" s="327">
        <f>K62</f>
        <v>490</v>
      </c>
      <c r="L61" s="327">
        <f t="shared" ref="L61:M61" si="16">L62</f>
        <v>118.041</v>
      </c>
      <c r="M61" s="328">
        <f t="shared" si="16"/>
        <v>608.04099999999994</v>
      </c>
      <c r="N61" s="19"/>
      <c r="O61" s="20"/>
      <c r="P61" s="20"/>
      <c r="Q61" s="20"/>
      <c r="R61" s="20"/>
      <c r="S61" s="21"/>
    </row>
    <row r="62" spans="1:19" ht="18.75" customHeight="1" x14ac:dyDescent="0.3">
      <c r="A62" s="316" t="s">
        <v>603</v>
      </c>
      <c r="B62" s="341"/>
      <c r="C62" s="329"/>
      <c r="D62" s="330"/>
      <c r="E62" s="342"/>
      <c r="F62" s="20"/>
      <c r="G62" s="21"/>
      <c r="H62" s="343">
        <v>1</v>
      </c>
      <c r="I62" s="344">
        <v>2450</v>
      </c>
      <c r="J62" s="324">
        <v>20</v>
      </c>
      <c r="K62" s="345">
        <v>490</v>
      </c>
      <c r="L62" s="136">
        <f t="shared" ref="L62" si="17">K62*0.2409</f>
        <v>118.041</v>
      </c>
      <c r="M62" s="138">
        <f t="shared" ref="M62" si="18">K62+L62</f>
        <v>608.04099999999994</v>
      </c>
      <c r="N62" s="19"/>
      <c r="O62" s="20"/>
      <c r="P62" s="20"/>
      <c r="Q62" s="20"/>
      <c r="R62" s="20"/>
      <c r="S62" s="21"/>
    </row>
    <row r="63" spans="1:19" ht="19.5" customHeight="1" x14ac:dyDescent="0.25">
      <c r="A63" s="314" t="s">
        <v>1</v>
      </c>
      <c r="B63" s="171"/>
      <c r="C63" s="20"/>
      <c r="D63" s="211"/>
      <c r="E63" s="211"/>
      <c r="F63" s="20"/>
      <c r="G63" s="21"/>
      <c r="H63" s="133"/>
      <c r="I63" s="315"/>
      <c r="J63" s="211"/>
      <c r="K63" s="210"/>
      <c r="L63" s="136"/>
      <c r="M63" s="138"/>
      <c r="N63" s="19"/>
      <c r="O63" s="20"/>
      <c r="P63" s="20"/>
      <c r="Q63" s="20"/>
      <c r="R63" s="20"/>
      <c r="S63" s="21"/>
    </row>
    <row r="64" spans="1:19" ht="49.5" customHeight="1" x14ac:dyDescent="0.25">
      <c r="A64" s="314" t="s">
        <v>12</v>
      </c>
      <c r="B64" s="171"/>
      <c r="C64" s="20"/>
      <c r="D64" s="211"/>
      <c r="E64" s="211"/>
      <c r="F64" s="20"/>
      <c r="G64" s="21"/>
      <c r="H64" s="133"/>
      <c r="I64" s="315"/>
      <c r="J64" s="211"/>
      <c r="K64" s="210"/>
      <c r="L64" s="136"/>
      <c r="M64" s="138"/>
      <c r="N64" s="19"/>
      <c r="O64" s="20"/>
      <c r="P64" s="20"/>
      <c r="Q64" s="20"/>
      <c r="R64" s="20"/>
      <c r="S64" s="21"/>
    </row>
    <row r="65" spans="1:19" x14ac:dyDescent="0.25">
      <c r="A65" s="314" t="s">
        <v>1</v>
      </c>
      <c r="B65" s="171"/>
      <c r="C65" s="20"/>
      <c r="D65" s="211"/>
      <c r="E65" s="211"/>
      <c r="F65" s="20"/>
      <c r="G65" s="21"/>
      <c r="H65" s="133"/>
      <c r="I65" s="315"/>
      <c r="J65" s="211"/>
      <c r="K65" s="210"/>
      <c r="L65" s="136"/>
      <c r="M65" s="138"/>
      <c r="N65" s="19"/>
      <c r="O65" s="20"/>
      <c r="P65" s="20"/>
      <c r="Q65" s="20"/>
      <c r="R65" s="20"/>
      <c r="S65" s="21"/>
    </row>
    <row r="66" spans="1:19" x14ac:dyDescent="0.25">
      <c r="A66" s="314" t="s">
        <v>1</v>
      </c>
      <c r="B66" s="171"/>
      <c r="C66" s="20"/>
      <c r="D66" s="211"/>
      <c r="E66" s="211"/>
      <c r="F66" s="20"/>
      <c r="G66" s="21"/>
      <c r="H66" s="133"/>
      <c r="I66" s="315"/>
      <c r="J66" s="211"/>
      <c r="K66" s="210"/>
      <c r="L66" s="136"/>
      <c r="M66" s="138"/>
      <c r="N66" s="19"/>
      <c r="O66" s="20"/>
      <c r="P66" s="20"/>
      <c r="Q66" s="20"/>
      <c r="R66" s="20"/>
      <c r="S66" s="21"/>
    </row>
    <row r="67" spans="1:19" ht="64.5" customHeight="1" x14ac:dyDescent="0.25">
      <c r="A67" s="314" t="s">
        <v>13</v>
      </c>
      <c r="B67" s="171"/>
      <c r="C67" s="20"/>
      <c r="D67" s="211"/>
      <c r="E67" s="211"/>
      <c r="F67" s="20"/>
      <c r="G67" s="21"/>
      <c r="H67" s="133"/>
      <c r="I67" s="315"/>
      <c r="J67" s="211"/>
      <c r="K67" s="210"/>
      <c r="L67" s="136"/>
      <c r="M67" s="138"/>
      <c r="N67" s="19"/>
      <c r="O67" s="20"/>
      <c r="P67" s="20"/>
      <c r="Q67" s="20"/>
      <c r="R67" s="20"/>
      <c r="S67" s="21"/>
    </row>
    <row r="68" spans="1:19" x14ac:dyDescent="0.25">
      <c r="A68" s="314" t="s">
        <v>1</v>
      </c>
      <c r="B68" s="171"/>
      <c r="C68" s="20"/>
      <c r="D68" s="211"/>
      <c r="E68" s="211"/>
      <c r="F68" s="20"/>
      <c r="G68" s="21"/>
      <c r="H68" s="133"/>
      <c r="I68" s="315"/>
      <c r="J68" s="211"/>
      <c r="K68" s="210"/>
      <c r="L68" s="136"/>
      <c r="M68" s="138"/>
      <c r="N68" s="19"/>
      <c r="O68" s="20"/>
      <c r="P68" s="20"/>
      <c r="Q68" s="20"/>
      <c r="R68" s="20"/>
      <c r="S68" s="21"/>
    </row>
    <row r="69" spans="1:19" x14ac:dyDescent="0.25">
      <c r="A69" s="314" t="s">
        <v>1</v>
      </c>
      <c r="B69" s="171"/>
      <c r="C69" s="20"/>
      <c r="D69" s="211"/>
      <c r="E69" s="211"/>
      <c r="F69" s="20"/>
      <c r="G69" s="21"/>
      <c r="H69" s="133"/>
      <c r="I69" s="315"/>
      <c r="J69" s="211"/>
      <c r="K69" s="210"/>
      <c r="L69" s="136"/>
      <c r="M69" s="138"/>
      <c r="N69" s="19"/>
      <c r="O69" s="20"/>
      <c r="P69" s="20"/>
      <c r="Q69" s="20"/>
      <c r="R69" s="20"/>
      <c r="S69" s="21"/>
    </row>
    <row r="70" spans="1:19" ht="37.5" customHeight="1" x14ac:dyDescent="0.25">
      <c r="A70" s="314" t="s">
        <v>11</v>
      </c>
      <c r="B70" s="346"/>
      <c r="C70" s="325"/>
      <c r="D70" s="325"/>
      <c r="E70" s="325"/>
      <c r="F70" s="325"/>
      <c r="G70" s="326"/>
      <c r="H70" s="340"/>
      <c r="I70" s="347"/>
      <c r="J70" s="325"/>
      <c r="K70" s="327"/>
      <c r="L70" s="327"/>
      <c r="M70" s="328"/>
      <c r="N70" s="19"/>
      <c r="O70" s="20"/>
      <c r="P70" s="20"/>
      <c r="Q70" s="20"/>
      <c r="R70" s="20"/>
      <c r="S70" s="21"/>
    </row>
    <row r="71" spans="1:19" ht="17.25" x14ac:dyDescent="0.3">
      <c r="A71" s="316"/>
      <c r="B71" s="341"/>
      <c r="C71" s="329"/>
      <c r="D71" s="330"/>
      <c r="E71" s="342"/>
      <c r="F71" s="20"/>
      <c r="G71" s="21"/>
      <c r="H71" s="343"/>
      <c r="I71" s="344"/>
      <c r="J71" s="324"/>
      <c r="K71" s="345"/>
      <c r="L71" s="136"/>
      <c r="M71" s="138"/>
      <c r="N71" s="19"/>
      <c r="O71" s="20"/>
      <c r="P71" s="20"/>
      <c r="Q71" s="20"/>
      <c r="R71" s="20"/>
      <c r="S71" s="21"/>
    </row>
    <row r="72" spans="1:19" ht="17.25" thickBot="1" x14ac:dyDescent="0.3">
      <c r="A72" s="314" t="s">
        <v>1</v>
      </c>
      <c r="B72" s="348"/>
      <c r="C72" s="180"/>
      <c r="D72" s="349"/>
      <c r="E72" s="349"/>
      <c r="F72" s="180"/>
      <c r="G72" s="182"/>
      <c r="H72" s="201"/>
      <c r="I72" s="350"/>
      <c r="J72" s="349"/>
      <c r="K72" s="351"/>
      <c r="L72" s="352"/>
      <c r="M72" s="353"/>
      <c r="N72" s="22"/>
      <c r="O72" s="23"/>
      <c r="P72" s="23"/>
      <c r="Q72" s="23"/>
      <c r="R72" s="23"/>
      <c r="S72" s="24"/>
    </row>
    <row r="73" spans="1:19" s="1" customFormat="1" ht="24" customHeight="1" x14ac:dyDescent="0.25">
      <c r="A73" s="309" t="s">
        <v>604</v>
      </c>
      <c r="B73" s="354"/>
      <c r="C73" s="335"/>
      <c r="D73" s="335"/>
      <c r="E73" s="335"/>
      <c r="F73" s="335"/>
      <c r="G73" s="336"/>
      <c r="H73" s="355">
        <v>3.8734177215189902</v>
      </c>
      <c r="I73" s="337"/>
      <c r="J73" s="335"/>
      <c r="K73" s="338">
        <f>K74+K88+K91+K94</f>
        <v>1027.92</v>
      </c>
      <c r="L73" s="338">
        <f t="shared" ref="L73:M73" si="19">L74+L88+L91+L94</f>
        <v>247.62592799999999</v>
      </c>
      <c r="M73" s="339">
        <f t="shared" si="19"/>
        <v>1275.545928</v>
      </c>
      <c r="N73" s="15"/>
      <c r="O73" s="16"/>
      <c r="P73" s="16"/>
      <c r="Q73" s="16"/>
      <c r="R73" s="16"/>
      <c r="S73" s="17"/>
    </row>
    <row r="74" spans="1:19" ht="37.5" customHeight="1" x14ac:dyDescent="0.25">
      <c r="A74" s="314" t="s">
        <v>14</v>
      </c>
      <c r="B74" s="346"/>
      <c r="C74" s="325"/>
      <c r="D74" s="325"/>
      <c r="E74" s="325"/>
      <c r="F74" s="325"/>
      <c r="G74" s="326"/>
      <c r="H74" s="356">
        <f>SUM(H75:H87)</f>
        <v>3.8734177215189876</v>
      </c>
      <c r="I74" s="340"/>
      <c r="J74" s="325"/>
      <c r="K74" s="327">
        <f>SUM(K75:K87)</f>
        <v>1027.92</v>
      </c>
      <c r="L74" s="327">
        <f t="shared" ref="L74:M74" si="20">SUM(L75:L87)</f>
        <v>247.62592799999999</v>
      </c>
      <c r="M74" s="328">
        <f t="shared" si="20"/>
        <v>1275.545928</v>
      </c>
      <c r="N74" s="19"/>
      <c r="O74" s="20"/>
      <c r="P74" s="20"/>
      <c r="Q74" s="20"/>
      <c r="R74" s="20"/>
      <c r="S74" s="21"/>
    </row>
    <row r="75" spans="1:19" ht="16.5" customHeight="1" x14ac:dyDescent="0.3">
      <c r="A75" s="316" t="s">
        <v>95</v>
      </c>
      <c r="B75" s="357"/>
      <c r="C75" s="358"/>
      <c r="D75" s="322"/>
      <c r="E75" s="20"/>
      <c r="F75" s="20"/>
      <c r="G75" s="21"/>
      <c r="H75" s="359">
        <v>0.32911392405063289</v>
      </c>
      <c r="I75" s="360">
        <v>1232.4000000000001</v>
      </c>
      <c r="J75" s="324">
        <v>20</v>
      </c>
      <c r="K75" s="136">
        <v>81.12</v>
      </c>
      <c r="L75" s="136">
        <f t="shared" ref="L75:L85" si="21">K75*0.2409</f>
        <v>19.541808</v>
      </c>
      <c r="M75" s="138">
        <f t="shared" ref="M75:M85" si="22">K75+L75</f>
        <v>100.66180800000001</v>
      </c>
      <c r="N75" s="19"/>
      <c r="O75" s="20"/>
      <c r="P75" s="20"/>
      <c r="Q75" s="20"/>
      <c r="R75" s="20"/>
      <c r="S75" s="21"/>
    </row>
    <row r="76" spans="1:19" ht="16.5" customHeight="1" x14ac:dyDescent="0.3">
      <c r="A76" s="316" t="s">
        <v>95</v>
      </c>
      <c r="B76" s="357"/>
      <c r="C76" s="358"/>
      <c r="D76" s="322"/>
      <c r="E76" s="20"/>
      <c r="F76" s="20"/>
      <c r="G76" s="21"/>
      <c r="H76" s="359">
        <v>0.45569620253164556</v>
      </c>
      <c r="I76" s="360">
        <v>1232.4000000000001</v>
      </c>
      <c r="J76" s="324">
        <v>20</v>
      </c>
      <c r="K76" s="136">
        <v>112.32</v>
      </c>
      <c r="L76" s="136">
        <f t="shared" si="21"/>
        <v>27.057887999999998</v>
      </c>
      <c r="M76" s="138">
        <f t="shared" si="22"/>
        <v>139.37788799999998</v>
      </c>
      <c r="N76" s="19"/>
      <c r="O76" s="20"/>
      <c r="P76" s="20"/>
      <c r="Q76" s="20"/>
      <c r="R76" s="20"/>
      <c r="S76" s="21"/>
    </row>
    <row r="77" spans="1:19" ht="16.5" customHeight="1" x14ac:dyDescent="0.3">
      <c r="A77" s="316" t="s">
        <v>605</v>
      </c>
      <c r="B77" s="357"/>
      <c r="C77" s="358"/>
      <c r="D77" s="322"/>
      <c r="E77" s="20"/>
      <c r="F77" s="20"/>
      <c r="G77" s="21"/>
      <c r="H77" s="359">
        <v>0.379746835443038</v>
      </c>
      <c r="I77" s="360">
        <v>1350.9</v>
      </c>
      <c r="J77" s="324">
        <v>20</v>
      </c>
      <c r="K77" s="136">
        <v>102.6</v>
      </c>
      <c r="L77" s="136">
        <f t="shared" si="21"/>
        <v>24.716339999999999</v>
      </c>
      <c r="M77" s="138">
        <f t="shared" si="22"/>
        <v>127.31634</v>
      </c>
      <c r="N77" s="19"/>
      <c r="O77" s="20"/>
      <c r="P77" s="20"/>
      <c r="Q77" s="20"/>
      <c r="R77" s="20"/>
      <c r="S77" s="21"/>
    </row>
    <row r="78" spans="1:19" ht="16.5" customHeight="1" x14ac:dyDescent="0.3">
      <c r="A78" s="316" t="s">
        <v>605</v>
      </c>
      <c r="B78" s="357"/>
      <c r="C78" s="358"/>
      <c r="D78" s="322"/>
      <c r="E78" s="20"/>
      <c r="F78" s="20"/>
      <c r="G78" s="21"/>
      <c r="H78" s="359">
        <v>0.4050632911392405</v>
      </c>
      <c r="I78" s="360">
        <v>1350.9</v>
      </c>
      <c r="J78" s="324">
        <v>20</v>
      </c>
      <c r="K78" s="136">
        <v>109.44</v>
      </c>
      <c r="L78" s="136">
        <f t="shared" si="21"/>
        <v>26.364096</v>
      </c>
      <c r="M78" s="138">
        <f t="shared" si="22"/>
        <v>135.80409599999999</v>
      </c>
      <c r="N78" s="19"/>
      <c r="O78" s="20"/>
      <c r="P78" s="20"/>
      <c r="Q78" s="20"/>
      <c r="R78" s="20"/>
      <c r="S78" s="21"/>
    </row>
    <row r="79" spans="1:19" ht="16.5" customHeight="1" x14ac:dyDescent="0.3">
      <c r="A79" s="316" t="s">
        <v>605</v>
      </c>
      <c r="B79" s="357"/>
      <c r="C79" s="358"/>
      <c r="D79" s="322"/>
      <c r="E79" s="20"/>
      <c r="F79" s="20"/>
      <c r="G79" s="21"/>
      <c r="H79" s="359">
        <v>0.25316455696202533</v>
      </c>
      <c r="I79" s="360">
        <v>1350.9</v>
      </c>
      <c r="J79" s="324">
        <v>20</v>
      </c>
      <c r="K79" s="136">
        <v>68.400000000000006</v>
      </c>
      <c r="L79" s="136">
        <f t="shared" si="21"/>
        <v>16.47756</v>
      </c>
      <c r="M79" s="138">
        <f t="shared" si="22"/>
        <v>84.877560000000003</v>
      </c>
      <c r="N79" s="19"/>
      <c r="O79" s="20"/>
      <c r="P79" s="20"/>
      <c r="Q79" s="20"/>
      <c r="R79" s="20"/>
      <c r="S79" s="21"/>
    </row>
    <row r="80" spans="1:19" ht="16.5" customHeight="1" x14ac:dyDescent="0.3">
      <c r="A80" s="316" t="s">
        <v>605</v>
      </c>
      <c r="B80" s="357"/>
      <c r="C80" s="358"/>
      <c r="D80" s="322"/>
      <c r="E80" s="20"/>
      <c r="F80" s="20"/>
      <c r="G80" s="21"/>
      <c r="H80" s="359">
        <v>0.50632911392405067</v>
      </c>
      <c r="I80" s="360">
        <v>1350.9</v>
      </c>
      <c r="J80" s="324">
        <v>20</v>
      </c>
      <c r="K80" s="136">
        <v>136.80000000000001</v>
      </c>
      <c r="L80" s="136">
        <f t="shared" si="21"/>
        <v>32.955120000000001</v>
      </c>
      <c r="M80" s="138">
        <f t="shared" si="22"/>
        <v>169.75512000000001</v>
      </c>
      <c r="N80" s="19"/>
      <c r="O80" s="20"/>
      <c r="P80" s="20"/>
      <c r="Q80" s="20"/>
      <c r="R80" s="20"/>
      <c r="S80" s="21"/>
    </row>
    <row r="81" spans="1:19" ht="16.5" customHeight="1" x14ac:dyDescent="0.3">
      <c r="A81" s="316" t="s">
        <v>605</v>
      </c>
      <c r="B81" s="357"/>
      <c r="C81" s="358"/>
      <c r="D81" s="322"/>
      <c r="E81" s="20"/>
      <c r="F81" s="20"/>
      <c r="G81" s="21"/>
      <c r="H81" s="359">
        <v>0.25316455696202533</v>
      </c>
      <c r="I81" s="360">
        <v>1350.9</v>
      </c>
      <c r="J81" s="324">
        <v>20</v>
      </c>
      <c r="K81" s="136">
        <v>68.400000000000006</v>
      </c>
      <c r="L81" s="136">
        <f t="shared" si="21"/>
        <v>16.47756</v>
      </c>
      <c r="M81" s="138">
        <f t="shared" si="22"/>
        <v>84.877560000000003</v>
      </c>
      <c r="N81" s="19"/>
      <c r="O81" s="20"/>
      <c r="P81" s="20"/>
      <c r="Q81" s="20"/>
      <c r="R81" s="20"/>
      <c r="S81" s="21"/>
    </row>
    <row r="82" spans="1:19" ht="16.5" customHeight="1" x14ac:dyDescent="0.3">
      <c r="A82" s="316" t="s">
        <v>605</v>
      </c>
      <c r="B82" s="357"/>
      <c r="C82" s="358"/>
      <c r="D82" s="322"/>
      <c r="E82" s="20"/>
      <c r="F82" s="20"/>
      <c r="G82" s="21"/>
      <c r="H82" s="359">
        <v>0.35443037974683544</v>
      </c>
      <c r="I82" s="360">
        <v>1350.9</v>
      </c>
      <c r="J82" s="324">
        <v>20</v>
      </c>
      <c r="K82" s="136">
        <v>95.76</v>
      </c>
      <c r="L82" s="136">
        <f t="shared" si="21"/>
        <v>23.068584000000001</v>
      </c>
      <c r="M82" s="138">
        <f t="shared" si="22"/>
        <v>118.82858400000001</v>
      </c>
      <c r="N82" s="19"/>
      <c r="O82" s="20"/>
      <c r="P82" s="20"/>
      <c r="Q82" s="20"/>
      <c r="R82" s="20"/>
      <c r="S82" s="21"/>
    </row>
    <row r="83" spans="1:19" ht="16.5" customHeight="1" x14ac:dyDescent="0.3">
      <c r="A83" s="316" t="s">
        <v>605</v>
      </c>
      <c r="B83" s="357"/>
      <c r="C83" s="358"/>
      <c r="D83" s="322"/>
      <c r="E83" s="20"/>
      <c r="F83" s="20"/>
      <c r="G83" s="21"/>
      <c r="H83" s="359">
        <v>0.25316455696202533</v>
      </c>
      <c r="I83" s="360">
        <v>1350.9</v>
      </c>
      <c r="J83" s="324">
        <v>20</v>
      </c>
      <c r="K83" s="136">
        <v>68.400000000000006</v>
      </c>
      <c r="L83" s="136">
        <f t="shared" si="21"/>
        <v>16.47756</v>
      </c>
      <c r="M83" s="138">
        <f t="shared" si="22"/>
        <v>84.877560000000003</v>
      </c>
      <c r="N83" s="19"/>
      <c r="O83" s="20"/>
      <c r="P83" s="20"/>
      <c r="Q83" s="20"/>
      <c r="R83" s="20"/>
      <c r="S83" s="21"/>
    </row>
    <row r="84" spans="1:19" ht="16.5" customHeight="1" x14ac:dyDescent="0.3">
      <c r="A84" s="316" t="s">
        <v>605</v>
      </c>
      <c r="B84" s="357"/>
      <c r="C84" s="358"/>
      <c r="D84" s="322"/>
      <c r="E84" s="20"/>
      <c r="F84" s="20"/>
      <c r="G84" s="21"/>
      <c r="H84" s="359">
        <v>0.17721518987341772</v>
      </c>
      <c r="I84" s="360">
        <v>1350.9</v>
      </c>
      <c r="J84" s="324">
        <v>20</v>
      </c>
      <c r="K84" s="136">
        <v>47.88</v>
      </c>
      <c r="L84" s="136">
        <f t="shared" si="21"/>
        <v>11.534292000000001</v>
      </c>
      <c r="M84" s="138">
        <f t="shared" si="22"/>
        <v>59.414292000000003</v>
      </c>
      <c r="N84" s="19"/>
      <c r="O84" s="20"/>
      <c r="P84" s="20"/>
      <c r="Q84" s="20"/>
      <c r="R84" s="20"/>
      <c r="S84" s="21"/>
    </row>
    <row r="85" spans="1:19" ht="16.5" customHeight="1" x14ac:dyDescent="0.3">
      <c r="A85" s="316" t="s">
        <v>605</v>
      </c>
      <c r="B85" s="357"/>
      <c r="C85" s="358"/>
      <c r="D85" s="322"/>
      <c r="E85" s="20"/>
      <c r="F85" s="20"/>
      <c r="G85" s="21"/>
      <c r="H85" s="359">
        <v>0.50632911392405067</v>
      </c>
      <c r="I85" s="360">
        <v>1350.9</v>
      </c>
      <c r="J85" s="324">
        <v>20</v>
      </c>
      <c r="K85" s="136">
        <v>136.80000000000001</v>
      </c>
      <c r="L85" s="136">
        <f t="shared" si="21"/>
        <v>32.955120000000001</v>
      </c>
      <c r="M85" s="138">
        <f t="shared" si="22"/>
        <v>169.75512000000001</v>
      </c>
      <c r="N85" s="19"/>
      <c r="O85" s="20"/>
      <c r="P85" s="20"/>
      <c r="Q85" s="20"/>
      <c r="R85" s="20"/>
      <c r="S85" s="21"/>
    </row>
    <row r="86" spans="1:19" ht="18.75" customHeight="1" x14ac:dyDescent="0.25">
      <c r="A86" s="314" t="s">
        <v>1</v>
      </c>
      <c r="B86" s="171"/>
      <c r="C86" s="20"/>
      <c r="D86" s="211"/>
      <c r="E86" s="211"/>
      <c r="F86" s="20"/>
      <c r="G86" s="21"/>
      <c r="H86" s="133"/>
      <c r="I86" s="315"/>
      <c r="J86" s="211"/>
      <c r="K86" s="210"/>
      <c r="L86" s="136"/>
      <c r="M86" s="138"/>
      <c r="N86" s="19"/>
      <c r="O86" s="20"/>
      <c r="P86" s="20"/>
      <c r="Q86" s="20"/>
      <c r="R86" s="20"/>
      <c r="S86" s="21"/>
    </row>
    <row r="87" spans="1:19" ht="19.5" customHeight="1" x14ac:dyDescent="0.25">
      <c r="A87" s="314" t="s">
        <v>1</v>
      </c>
      <c r="B87" s="171"/>
      <c r="C87" s="20"/>
      <c r="D87" s="211"/>
      <c r="E87" s="211"/>
      <c r="F87" s="20"/>
      <c r="G87" s="21"/>
      <c r="H87" s="133"/>
      <c r="I87" s="315"/>
      <c r="J87" s="211"/>
      <c r="K87" s="210"/>
      <c r="L87" s="136"/>
      <c r="M87" s="138"/>
      <c r="N87" s="19"/>
      <c r="O87" s="20"/>
      <c r="P87" s="20"/>
      <c r="Q87" s="20"/>
      <c r="R87" s="20"/>
      <c r="S87" s="21"/>
    </row>
    <row r="88" spans="1:19" ht="49.5" customHeight="1" x14ac:dyDescent="0.25">
      <c r="A88" s="314" t="s">
        <v>12</v>
      </c>
      <c r="B88" s="171"/>
      <c r="C88" s="20"/>
      <c r="D88" s="211"/>
      <c r="E88" s="211"/>
      <c r="F88" s="20"/>
      <c r="G88" s="21"/>
      <c r="H88" s="133"/>
      <c r="I88" s="315"/>
      <c r="J88" s="211"/>
      <c r="K88" s="210"/>
      <c r="L88" s="136"/>
      <c r="M88" s="138"/>
      <c r="N88" s="19"/>
      <c r="O88" s="20"/>
      <c r="P88" s="20"/>
      <c r="Q88" s="20"/>
      <c r="R88" s="20"/>
      <c r="S88" s="21"/>
    </row>
    <row r="89" spans="1:19" x14ac:dyDescent="0.25">
      <c r="A89" s="314" t="s">
        <v>1</v>
      </c>
      <c r="B89" s="171"/>
      <c r="C89" s="20"/>
      <c r="D89" s="211"/>
      <c r="E89" s="211"/>
      <c r="F89" s="20"/>
      <c r="G89" s="21"/>
      <c r="H89" s="133"/>
      <c r="I89" s="315"/>
      <c r="J89" s="211"/>
      <c r="K89" s="210"/>
      <c r="L89" s="136"/>
      <c r="M89" s="138"/>
      <c r="N89" s="19"/>
      <c r="O89" s="20"/>
      <c r="P89" s="20"/>
      <c r="Q89" s="20"/>
      <c r="R89" s="20"/>
      <c r="S89" s="21"/>
    </row>
    <row r="90" spans="1:19" x14ac:dyDescent="0.25">
      <c r="A90" s="314" t="s">
        <v>1</v>
      </c>
      <c r="B90" s="171"/>
      <c r="C90" s="20"/>
      <c r="D90" s="211"/>
      <c r="E90" s="211"/>
      <c r="F90" s="20"/>
      <c r="G90" s="21"/>
      <c r="H90" s="133"/>
      <c r="I90" s="315"/>
      <c r="J90" s="211"/>
      <c r="K90" s="210"/>
      <c r="L90" s="136"/>
      <c r="M90" s="138"/>
      <c r="N90" s="19"/>
      <c r="O90" s="20"/>
      <c r="P90" s="20"/>
      <c r="Q90" s="20"/>
      <c r="R90" s="20"/>
      <c r="S90" s="21"/>
    </row>
    <row r="91" spans="1:19" ht="64.5" customHeight="1" x14ac:dyDescent="0.25">
      <c r="A91" s="314" t="s">
        <v>13</v>
      </c>
      <c r="B91" s="171"/>
      <c r="C91" s="20"/>
      <c r="D91" s="211"/>
      <c r="E91" s="211"/>
      <c r="F91" s="20"/>
      <c r="G91" s="21"/>
      <c r="H91" s="133"/>
      <c r="I91" s="315"/>
      <c r="J91" s="211"/>
      <c r="K91" s="210"/>
      <c r="L91" s="136"/>
      <c r="M91" s="138"/>
      <c r="N91" s="19"/>
      <c r="O91" s="20"/>
      <c r="P91" s="20"/>
      <c r="Q91" s="20"/>
      <c r="R91" s="20"/>
      <c r="S91" s="21"/>
    </row>
    <row r="92" spans="1:19" x14ac:dyDescent="0.25">
      <c r="A92" s="314" t="s">
        <v>1</v>
      </c>
      <c r="B92" s="171"/>
      <c r="C92" s="20"/>
      <c r="D92" s="211"/>
      <c r="E92" s="211"/>
      <c r="F92" s="20"/>
      <c r="G92" s="21"/>
      <c r="H92" s="133"/>
      <c r="I92" s="315"/>
      <c r="J92" s="211"/>
      <c r="K92" s="210"/>
      <c r="L92" s="136"/>
      <c r="M92" s="138"/>
      <c r="N92" s="19"/>
      <c r="O92" s="20"/>
      <c r="P92" s="20"/>
      <c r="Q92" s="20"/>
      <c r="R92" s="20"/>
      <c r="S92" s="21"/>
    </row>
    <row r="93" spans="1:19" x14ac:dyDescent="0.25">
      <c r="A93" s="314" t="s">
        <v>1</v>
      </c>
      <c r="B93" s="171"/>
      <c r="C93" s="20"/>
      <c r="D93" s="211"/>
      <c r="E93" s="211"/>
      <c r="F93" s="20"/>
      <c r="G93" s="21"/>
      <c r="H93" s="133"/>
      <c r="I93" s="315"/>
      <c r="J93" s="211"/>
      <c r="K93" s="210"/>
      <c r="L93" s="136"/>
      <c r="M93" s="138"/>
      <c r="N93" s="19"/>
      <c r="O93" s="20"/>
      <c r="P93" s="20"/>
      <c r="Q93" s="20"/>
      <c r="R93" s="20"/>
      <c r="S93" s="21"/>
    </row>
    <row r="94" spans="1:19" ht="37.5" customHeight="1" x14ac:dyDescent="0.25">
      <c r="A94" s="314" t="s">
        <v>11</v>
      </c>
      <c r="B94" s="171"/>
      <c r="C94" s="20"/>
      <c r="D94" s="211"/>
      <c r="E94" s="211"/>
      <c r="F94" s="20"/>
      <c r="G94" s="21"/>
      <c r="H94" s="133"/>
      <c r="I94" s="315"/>
      <c r="J94" s="211"/>
      <c r="K94" s="210"/>
      <c r="L94" s="136"/>
      <c r="M94" s="138"/>
      <c r="N94" s="19"/>
      <c r="O94" s="20"/>
      <c r="P94" s="20"/>
      <c r="Q94" s="20"/>
      <c r="R94" s="20"/>
      <c r="S94" s="21"/>
    </row>
    <row r="95" spans="1:19" x14ac:dyDescent="0.25">
      <c r="A95" s="314" t="s">
        <v>1</v>
      </c>
      <c r="B95" s="171"/>
      <c r="C95" s="20"/>
      <c r="D95" s="211"/>
      <c r="E95" s="211"/>
      <c r="F95" s="20"/>
      <c r="G95" s="21"/>
      <c r="H95" s="133"/>
      <c r="I95" s="315"/>
      <c r="J95" s="211"/>
      <c r="K95" s="210"/>
      <c r="L95" s="136"/>
      <c r="M95" s="138"/>
      <c r="N95" s="19"/>
      <c r="O95" s="20"/>
      <c r="P95" s="20"/>
      <c r="Q95" s="20"/>
      <c r="R95" s="20"/>
      <c r="S95" s="21"/>
    </row>
    <row r="96" spans="1:19" ht="17.25" thickBot="1" x14ac:dyDescent="0.3">
      <c r="A96" s="314" t="s">
        <v>1</v>
      </c>
      <c r="B96" s="348"/>
      <c r="C96" s="180"/>
      <c r="D96" s="349"/>
      <c r="E96" s="349"/>
      <c r="F96" s="180"/>
      <c r="G96" s="182"/>
      <c r="H96" s="201"/>
      <c r="I96" s="350"/>
      <c r="J96" s="349"/>
      <c r="K96" s="351"/>
      <c r="L96" s="352"/>
      <c r="M96" s="353"/>
      <c r="N96" s="22"/>
      <c r="O96" s="23"/>
      <c r="P96" s="23"/>
      <c r="Q96" s="23"/>
      <c r="R96" s="23"/>
      <c r="S96" s="24"/>
    </row>
    <row r="97" spans="1:19" s="1" customFormat="1" ht="24" customHeight="1" x14ac:dyDescent="0.25">
      <c r="A97" s="309" t="s">
        <v>606</v>
      </c>
      <c r="B97" s="354"/>
      <c r="C97" s="335"/>
      <c r="D97" s="335"/>
      <c r="E97" s="335"/>
      <c r="F97" s="335"/>
      <c r="G97" s="336"/>
      <c r="H97" s="355">
        <f>H98+H101+H114+H117</f>
        <v>9.4556962025316462</v>
      </c>
      <c r="I97" s="337"/>
      <c r="J97" s="335"/>
      <c r="K97" s="338">
        <f>K98+K101+K114+K117</f>
        <v>920.25999999999976</v>
      </c>
      <c r="L97" s="338">
        <f t="shared" ref="L97:M97" si="23">L98+L101+L114+L117</f>
        <v>221.69063399999999</v>
      </c>
      <c r="M97" s="339">
        <f t="shared" si="23"/>
        <v>1141.950634</v>
      </c>
      <c r="N97" s="15"/>
      <c r="O97" s="16"/>
      <c r="P97" s="16"/>
      <c r="Q97" s="16"/>
      <c r="R97" s="16"/>
      <c r="S97" s="17"/>
    </row>
    <row r="98" spans="1:19" ht="37.5" customHeight="1" x14ac:dyDescent="0.25">
      <c r="A98" s="314" t="s">
        <v>14</v>
      </c>
      <c r="B98" s="171"/>
      <c r="C98" s="20"/>
      <c r="D98" s="211"/>
      <c r="E98" s="211"/>
      <c r="F98" s="20"/>
      <c r="G98" s="21"/>
      <c r="H98" s="133"/>
      <c r="I98" s="315"/>
      <c r="J98" s="211"/>
      <c r="K98" s="210"/>
      <c r="L98" s="136"/>
      <c r="M98" s="138"/>
      <c r="N98" s="19"/>
      <c r="O98" s="20"/>
      <c r="P98" s="20"/>
      <c r="Q98" s="20"/>
      <c r="R98" s="20"/>
      <c r="S98" s="21"/>
    </row>
    <row r="99" spans="1:19" ht="18.75" customHeight="1" x14ac:dyDescent="0.25">
      <c r="A99" s="314" t="s">
        <v>1</v>
      </c>
      <c r="B99" s="171"/>
      <c r="C99" s="20"/>
      <c r="D99" s="211"/>
      <c r="E99" s="211"/>
      <c r="F99" s="20"/>
      <c r="G99" s="21"/>
      <c r="H99" s="133"/>
      <c r="I99" s="315"/>
      <c r="J99" s="211"/>
      <c r="K99" s="210"/>
      <c r="L99" s="136"/>
      <c r="M99" s="138"/>
      <c r="N99" s="19"/>
      <c r="O99" s="20"/>
      <c r="P99" s="20"/>
      <c r="Q99" s="20"/>
      <c r="R99" s="20"/>
      <c r="S99" s="21"/>
    </row>
    <row r="100" spans="1:19" ht="19.5" customHeight="1" x14ac:dyDescent="0.25">
      <c r="A100" s="314" t="s">
        <v>1</v>
      </c>
      <c r="B100" s="171"/>
      <c r="C100" s="20"/>
      <c r="D100" s="211"/>
      <c r="E100" s="211"/>
      <c r="F100" s="20"/>
      <c r="G100" s="21"/>
      <c r="H100" s="133"/>
      <c r="I100" s="315"/>
      <c r="J100" s="211"/>
      <c r="K100" s="210"/>
      <c r="L100" s="136"/>
      <c r="M100" s="138"/>
      <c r="N100" s="19"/>
      <c r="O100" s="20"/>
      <c r="P100" s="20"/>
      <c r="Q100" s="20"/>
      <c r="R100" s="20"/>
      <c r="S100" s="21"/>
    </row>
    <row r="101" spans="1:19" ht="49.5" customHeight="1" x14ac:dyDescent="0.25">
      <c r="A101" s="314" t="s">
        <v>12</v>
      </c>
      <c r="B101" s="346"/>
      <c r="C101" s="325"/>
      <c r="D101" s="325"/>
      <c r="E101" s="325"/>
      <c r="F101" s="325"/>
      <c r="G101" s="326"/>
      <c r="H101" s="356">
        <f>SUM(H102:H113)</f>
        <v>9.4556962025316462</v>
      </c>
      <c r="I101" s="340"/>
      <c r="J101" s="325"/>
      <c r="K101" s="327">
        <f>SUM(K102:K113)</f>
        <v>920.25999999999976</v>
      </c>
      <c r="L101" s="327">
        <f t="shared" ref="L101:M101" si="24">SUM(L102:L113)</f>
        <v>221.69063399999999</v>
      </c>
      <c r="M101" s="328">
        <f t="shared" si="24"/>
        <v>1141.950634</v>
      </c>
      <c r="N101" s="19"/>
      <c r="O101" s="20"/>
      <c r="P101" s="20"/>
      <c r="Q101" s="20"/>
      <c r="R101" s="20"/>
      <c r="S101" s="21"/>
    </row>
    <row r="102" spans="1:19" ht="17.25" customHeight="1" x14ac:dyDescent="0.3">
      <c r="A102" s="316" t="s">
        <v>215</v>
      </c>
      <c r="B102" s="357"/>
      <c r="C102" s="358"/>
      <c r="D102" s="322"/>
      <c r="E102" s="361"/>
      <c r="F102" s="20"/>
      <c r="G102" s="21"/>
      <c r="H102" s="359">
        <v>1.0063291139240507</v>
      </c>
      <c r="I102" s="360">
        <v>742.59999999999991</v>
      </c>
      <c r="J102" s="324">
        <v>10</v>
      </c>
      <c r="K102" s="362">
        <v>74.73</v>
      </c>
      <c r="L102" s="136">
        <f t="shared" ref="L102:L112" si="25">K102*0.2409</f>
        <v>18.002457</v>
      </c>
      <c r="M102" s="138">
        <f t="shared" ref="M102:M112" si="26">K102+L102</f>
        <v>92.732457000000011</v>
      </c>
      <c r="N102" s="19"/>
      <c r="O102" s="20"/>
      <c r="P102" s="20"/>
      <c r="Q102" s="20"/>
      <c r="R102" s="20"/>
      <c r="S102" s="21"/>
    </row>
    <row r="103" spans="1:19" ht="17.25" customHeight="1" x14ac:dyDescent="0.3">
      <c r="A103" s="316" t="s">
        <v>607</v>
      </c>
      <c r="B103" s="357"/>
      <c r="C103" s="358"/>
      <c r="D103" s="322"/>
      <c r="E103" s="361"/>
      <c r="F103" s="20"/>
      <c r="G103" s="21"/>
      <c r="H103" s="359">
        <v>0.22784810126582278</v>
      </c>
      <c r="I103" s="360">
        <v>900.59999999999991</v>
      </c>
      <c r="J103" s="324">
        <v>10</v>
      </c>
      <c r="K103" s="362">
        <v>20.52</v>
      </c>
      <c r="L103" s="136">
        <f t="shared" si="25"/>
        <v>4.9432679999999998</v>
      </c>
      <c r="M103" s="138">
        <f t="shared" si="26"/>
        <v>25.463267999999999</v>
      </c>
      <c r="N103" s="19"/>
      <c r="O103" s="20"/>
      <c r="P103" s="20"/>
      <c r="Q103" s="20"/>
      <c r="R103" s="20"/>
      <c r="S103" s="21"/>
    </row>
    <row r="104" spans="1:19" ht="17.25" customHeight="1" x14ac:dyDescent="0.3">
      <c r="A104" s="316" t="s">
        <v>215</v>
      </c>
      <c r="B104" s="357"/>
      <c r="C104" s="358"/>
      <c r="D104" s="322"/>
      <c r="E104" s="361"/>
      <c r="F104" s="20"/>
      <c r="G104" s="21"/>
      <c r="H104" s="359">
        <v>0.98101265822784811</v>
      </c>
      <c r="I104" s="360">
        <v>900.6</v>
      </c>
      <c r="J104" s="324">
        <v>10</v>
      </c>
      <c r="K104" s="362">
        <v>88.35</v>
      </c>
      <c r="L104" s="136">
        <f t="shared" si="25"/>
        <v>21.283514999999998</v>
      </c>
      <c r="M104" s="138">
        <f t="shared" si="26"/>
        <v>109.63351499999999</v>
      </c>
      <c r="N104" s="19"/>
      <c r="O104" s="20"/>
      <c r="P104" s="20"/>
      <c r="Q104" s="20"/>
      <c r="R104" s="20"/>
      <c r="S104" s="21"/>
    </row>
    <row r="105" spans="1:19" ht="17.25" customHeight="1" x14ac:dyDescent="0.3">
      <c r="A105" s="316" t="s">
        <v>215</v>
      </c>
      <c r="B105" s="357"/>
      <c r="C105" s="358"/>
      <c r="D105" s="322"/>
      <c r="E105" s="361"/>
      <c r="F105" s="20"/>
      <c r="G105" s="21"/>
      <c r="H105" s="359">
        <v>1.4430379746835442</v>
      </c>
      <c r="I105" s="360">
        <v>900.59999999999991</v>
      </c>
      <c r="J105" s="324">
        <v>10</v>
      </c>
      <c r="K105" s="362">
        <v>129.96</v>
      </c>
      <c r="L105" s="136">
        <f t="shared" si="25"/>
        <v>31.307364000000003</v>
      </c>
      <c r="M105" s="138">
        <f t="shared" si="26"/>
        <v>161.26736400000001</v>
      </c>
      <c r="N105" s="19"/>
      <c r="O105" s="20"/>
      <c r="P105" s="20"/>
      <c r="Q105" s="20"/>
      <c r="R105" s="20"/>
      <c r="S105" s="21"/>
    </row>
    <row r="106" spans="1:19" ht="17.25" customHeight="1" x14ac:dyDescent="0.3">
      <c r="A106" s="316" t="s">
        <v>215</v>
      </c>
      <c r="B106" s="357"/>
      <c r="C106" s="358"/>
      <c r="D106" s="322"/>
      <c r="E106" s="361"/>
      <c r="F106" s="20"/>
      <c r="G106" s="21"/>
      <c r="H106" s="359">
        <v>1.018987341772152</v>
      </c>
      <c r="I106" s="360">
        <v>1058.6000000000001</v>
      </c>
      <c r="J106" s="324">
        <v>10</v>
      </c>
      <c r="K106" s="362">
        <v>107.87</v>
      </c>
      <c r="L106" s="136">
        <f t="shared" si="25"/>
        <v>25.985883000000001</v>
      </c>
      <c r="M106" s="138">
        <f t="shared" si="26"/>
        <v>133.85588300000001</v>
      </c>
      <c r="N106" s="19"/>
      <c r="O106" s="20"/>
      <c r="P106" s="20"/>
      <c r="Q106" s="20"/>
      <c r="R106" s="20"/>
      <c r="S106" s="21"/>
    </row>
    <row r="107" spans="1:19" ht="17.25" customHeight="1" x14ac:dyDescent="0.3">
      <c r="A107" s="316" t="s">
        <v>215</v>
      </c>
      <c r="B107" s="357"/>
      <c r="C107" s="358"/>
      <c r="D107" s="322"/>
      <c r="E107" s="361"/>
      <c r="F107" s="20"/>
      <c r="G107" s="21"/>
      <c r="H107" s="359">
        <v>0.96202531645569622</v>
      </c>
      <c r="I107" s="360">
        <v>1058.5999999999999</v>
      </c>
      <c r="J107" s="324">
        <v>10</v>
      </c>
      <c r="K107" s="362">
        <v>101.84</v>
      </c>
      <c r="L107" s="136">
        <f t="shared" si="25"/>
        <v>24.533256000000002</v>
      </c>
      <c r="M107" s="138">
        <f t="shared" si="26"/>
        <v>126.373256</v>
      </c>
      <c r="N107" s="19"/>
      <c r="O107" s="20"/>
      <c r="P107" s="20"/>
      <c r="Q107" s="20"/>
      <c r="R107" s="20"/>
      <c r="S107" s="21"/>
    </row>
    <row r="108" spans="1:19" ht="17.25" customHeight="1" x14ac:dyDescent="0.3">
      <c r="A108" s="316" t="s">
        <v>215</v>
      </c>
      <c r="B108" s="357"/>
      <c r="C108" s="358"/>
      <c r="D108" s="322"/>
      <c r="E108" s="361"/>
      <c r="F108" s="20"/>
      <c r="G108" s="21"/>
      <c r="H108" s="359">
        <v>0.88607594936708856</v>
      </c>
      <c r="I108" s="360">
        <v>900.6</v>
      </c>
      <c r="J108" s="324">
        <v>10</v>
      </c>
      <c r="K108" s="362">
        <v>79.8</v>
      </c>
      <c r="L108" s="136">
        <f t="shared" si="25"/>
        <v>19.22382</v>
      </c>
      <c r="M108" s="138">
        <f t="shared" si="26"/>
        <v>99.023820000000001</v>
      </c>
      <c r="N108" s="19"/>
      <c r="O108" s="20"/>
      <c r="P108" s="20"/>
      <c r="Q108" s="20"/>
      <c r="R108" s="20"/>
      <c r="S108" s="21"/>
    </row>
    <row r="109" spans="1:19" ht="17.25" customHeight="1" x14ac:dyDescent="0.3">
      <c r="A109" s="316" t="s">
        <v>215</v>
      </c>
      <c r="B109" s="357"/>
      <c r="C109" s="358"/>
      <c r="D109" s="322"/>
      <c r="E109" s="361"/>
      <c r="F109" s="20"/>
      <c r="G109" s="21"/>
      <c r="H109" s="359">
        <v>0.88607594936708856</v>
      </c>
      <c r="I109" s="360">
        <v>1058.5999999999999</v>
      </c>
      <c r="J109" s="324">
        <v>10</v>
      </c>
      <c r="K109" s="362">
        <v>93.8</v>
      </c>
      <c r="L109" s="136">
        <f t="shared" si="25"/>
        <v>22.596419999999998</v>
      </c>
      <c r="M109" s="138">
        <f t="shared" si="26"/>
        <v>116.39641999999999</v>
      </c>
      <c r="N109" s="19"/>
      <c r="O109" s="20"/>
      <c r="P109" s="20"/>
      <c r="Q109" s="20"/>
      <c r="R109" s="20"/>
      <c r="S109" s="21"/>
    </row>
    <row r="110" spans="1:19" s="1" customFormat="1" ht="17.25" customHeight="1" x14ac:dyDescent="0.3">
      <c r="A110" s="316" t="s">
        <v>215</v>
      </c>
      <c r="B110" s="357"/>
      <c r="C110" s="358"/>
      <c r="D110" s="322"/>
      <c r="E110" s="361"/>
      <c r="F110" s="20"/>
      <c r="G110" s="21"/>
      <c r="H110" s="359">
        <v>0.22784810126582278</v>
      </c>
      <c r="I110" s="360">
        <v>900.59999999999991</v>
      </c>
      <c r="J110" s="324">
        <v>10</v>
      </c>
      <c r="K110" s="362">
        <v>20.52</v>
      </c>
      <c r="L110" s="136">
        <f t="shared" si="25"/>
        <v>4.9432679999999998</v>
      </c>
      <c r="M110" s="138">
        <f t="shared" si="26"/>
        <v>25.463267999999999</v>
      </c>
      <c r="N110" s="19"/>
      <c r="O110" s="20"/>
      <c r="P110" s="20"/>
      <c r="Q110" s="20"/>
      <c r="R110" s="20"/>
      <c r="S110" s="21"/>
    </row>
    <row r="111" spans="1:19" ht="17.25" customHeight="1" x14ac:dyDescent="0.3">
      <c r="A111" s="316" t="s">
        <v>215</v>
      </c>
      <c r="B111" s="357"/>
      <c r="C111" s="358"/>
      <c r="D111" s="322"/>
      <c r="E111" s="361"/>
      <c r="F111" s="20"/>
      <c r="G111" s="21"/>
      <c r="H111" s="359">
        <v>0.88607594936708856</v>
      </c>
      <c r="I111" s="360">
        <v>1058.5999999999999</v>
      </c>
      <c r="J111" s="324">
        <v>10</v>
      </c>
      <c r="K111" s="362">
        <v>93.8</v>
      </c>
      <c r="L111" s="136">
        <f t="shared" si="25"/>
        <v>22.596419999999998</v>
      </c>
      <c r="M111" s="138">
        <f t="shared" si="26"/>
        <v>116.39641999999999</v>
      </c>
      <c r="N111" s="19"/>
      <c r="O111" s="20"/>
      <c r="P111" s="20"/>
      <c r="Q111" s="20"/>
      <c r="R111" s="20"/>
      <c r="S111" s="21"/>
    </row>
    <row r="112" spans="1:19" ht="17.25" customHeight="1" x14ac:dyDescent="0.3">
      <c r="A112" s="316" t="s">
        <v>608</v>
      </c>
      <c r="B112" s="357"/>
      <c r="C112" s="358"/>
      <c r="D112" s="322"/>
      <c r="E112" s="361"/>
      <c r="F112" s="20"/>
      <c r="G112" s="21"/>
      <c r="H112" s="359">
        <v>0.930379746835443</v>
      </c>
      <c r="I112" s="360">
        <v>1172.3600000000001</v>
      </c>
      <c r="J112" s="324">
        <v>10</v>
      </c>
      <c r="K112" s="362">
        <v>109.07</v>
      </c>
      <c r="L112" s="136">
        <f t="shared" si="25"/>
        <v>26.274963</v>
      </c>
      <c r="M112" s="138">
        <f t="shared" si="26"/>
        <v>135.34496300000001</v>
      </c>
      <c r="N112" s="19"/>
      <c r="O112" s="20"/>
      <c r="P112" s="20"/>
      <c r="Q112" s="20"/>
      <c r="R112" s="20"/>
      <c r="S112" s="21"/>
    </row>
    <row r="113" spans="1:19" ht="19.5" customHeight="1" x14ac:dyDescent="0.25">
      <c r="A113" s="314" t="s">
        <v>1</v>
      </c>
      <c r="B113" s="171"/>
      <c r="C113" s="20"/>
      <c r="D113" s="211"/>
      <c r="E113" s="211"/>
      <c r="F113" s="20"/>
      <c r="G113" s="21"/>
      <c r="H113" s="133"/>
      <c r="I113" s="315"/>
      <c r="J113" s="211"/>
      <c r="K113" s="210"/>
      <c r="L113" s="136"/>
      <c r="M113" s="138"/>
      <c r="N113" s="19"/>
      <c r="O113" s="20"/>
      <c r="P113" s="20"/>
      <c r="Q113" s="20"/>
      <c r="R113" s="20"/>
      <c r="S113" s="21"/>
    </row>
    <row r="114" spans="1:19" ht="49.5" customHeight="1" x14ac:dyDescent="0.25">
      <c r="A114" s="314" t="s">
        <v>12</v>
      </c>
      <c r="B114" s="171"/>
      <c r="C114" s="20"/>
      <c r="D114" s="211"/>
      <c r="E114" s="211"/>
      <c r="F114" s="20"/>
      <c r="G114" s="21"/>
      <c r="H114" s="133"/>
      <c r="I114" s="315"/>
      <c r="J114" s="211"/>
      <c r="K114" s="210"/>
      <c r="L114" s="136"/>
      <c r="M114" s="138"/>
      <c r="N114" s="19"/>
      <c r="O114" s="20"/>
      <c r="P114" s="20"/>
      <c r="Q114" s="20"/>
      <c r="R114" s="20"/>
      <c r="S114" s="21"/>
    </row>
    <row r="115" spans="1:19" x14ac:dyDescent="0.25">
      <c r="A115" s="314" t="s">
        <v>1</v>
      </c>
      <c r="B115" s="171"/>
      <c r="C115" s="20"/>
      <c r="D115" s="211"/>
      <c r="E115" s="211"/>
      <c r="F115" s="20"/>
      <c r="G115" s="21"/>
      <c r="H115" s="133"/>
      <c r="I115" s="315"/>
      <c r="J115" s="211"/>
      <c r="K115" s="210"/>
      <c r="L115" s="136"/>
      <c r="M115" s="138"/>
      <c r="N115" s="19"/>
      <c r="O115" s="20"/>
      <c r="P115" s="20"/>
      <c r="Q115" s="20"/>
      <c r="R115" s="20"/>
      <c r="S115" s="21"/>
    </row>
    <row r="116" spans="1:19" x14ac:dyDescent="0.25">
      <c r="A116" s="314" t="s">
        <v>1</v>
      </c>
      <c r="B116" s="171"/>
      <c r="C116" s="20"/>
      <c r="D116" s="211"/>
      <c r="E116" s="211"/>
      <c r="F116" s="20"/>
      <c r="G116" s="21"/>
      <c r="H116" s="133"/>
      <c r="I116" s="315"/>
      <c r="J116" s="211"/>
      <c r="K116" s="210"/>
      <c r="L116" s="136"/>
      <c r="M116" s="138"/>
      <c r="N116" s="19"/>
      <c r="O116" s="20"/>
      <c r="P116" s="20"/>
      <c r="Q116" s="20"/>
      <c r="R116" s="20"/>
      <c r="S116" s="21"/>
    </row>
    <row r="117" spans="1:19" ht="64.5" customHeight="1" x14ac:dyDescent="0.25">
      <c r="A117" s="314" t="s">
        <v>13</v>
      </c>
      <c r="B117" s="171"/>
      <c r="C117" s="20"/>
      <c r="D117" s="211"/>
      <c r="E117" s="211"/>
      <c r="F117" s="20"/>
      <c r="G117" s="21"/>
      <c r="H117" s="133"/>
      <c r="I117" s="315"/>
      <c r="J117" s="211"/>
      <c r="K117" s="210"/>
      <c r="L117" s="136"/>
      <c r="M117" s="138"/>
      <c r="N117" s="19"/>
      <c r="O117" s="20"/>
      <c r="P117" s="20"/>
      <c r="Q117" s="20"/>
      <c r="R117" s="20"/>
      <c r="S117" s="21"/>
    </row>
    <row r="118" spans="1:19" x14ac:dyDescent="0.25">
      <c r="A118" s="314" t="s">
        <v>1</v>
      </c>
      <c r="B118" s="171"/>
      <c r="C118" s="20"/>
      <c r="D118" s="211"/>
      <c r="E118" s="211"/>
      <c r="F118" s="20"/>
      <c r="G118" s="21"/>
      <c r="H118" s="133"/>
      <c r="I118" s="315"/>
      <c r="J118" s="211"/>
      <c r="K118" s="210"/>
      <c r="L118" s="136"/>
      <c r="M118" s="138"/>
      <c r="N118" s="19"/>
      <c r="O118" s="20"/>
      <c r="P118" s="20"/>
      <c r="Q118" s="20"/>
      <c r="R118" s="20"/>
      <c r="S118" s="21"/>
    </row>
    <row r="119" spans="1:19" x14ac:dyDescent="0.25">
      <c r="A119" s="314" t="s">
        <v>1</v>
      </c>
      <c r="B119" s="171"/>
      <c r="C119" s="20"/>
      <c r="D119" s="211"/>
      <c r="E119" s="211"/>
      <c r="F119" s="20"/>
      <c r="G119" s="21"/>
      <c r="H119" s="133"/>
      <c r="I119" s="315"/>
      <c r="J119" s="211"/>
      <c r="K119" s="210"/>
      <c r="L119" s="136"/>
      <c r="M119" s="138"/>
      <c r="N119" s="19"/>
      <c r="O119" s="20"/>
      <c r="P119" s="20"/>
      <c r="Q119" s="20"/>
      <c r="R119" s="20"/>
      <c r="S119" s="21"/>
    </row>
    <row r="120" spans="1:19" ht="37.5" customHeight="1" x14ac:dyDescent="0.25">
      <c r="A120" s="314" t="s">
        <v>11</v>
      </c>
      <c r="B120" s="171"/>
      <c r="C120" s="20"/>
      <c r="D120" s="211"/>
      <c r="E120" s="211"/>
      <c r="F120" s="20"/>
      <c r="G120" s="21"/>
      <c r="H120" s="133"/>
      <c r="I120" s="315"/>
      <c r="J120" s="211"/>
      <c r="K120" s="210"/>
      <c r="L120" s="136"/>
      <c r="M120" s="138"/>
      <c r="N120" s="19"/>
      <c r="O120" s="20"/>
      <c r="P120" s="20"/>
      <c r="Q120" s="20"/>
      <c r="R120" s="20"/>
      <c r="S120" s="21"/>
    </row>
    <row r="121" spans="1:19" x14ac:dyDescent="0.25">
      <c r="A121" s="314" t="s">
        <v>1</v>
      </c>
      <c r="B121" s="171"/>
      <c r="C121" s="20"/>
      <c r="D121" s="211"/>
      <c r="E121" s="211"/>
      <c r="F121" s="20"/>
      <c r="G121" s="21"/>
      <c r="H121" s="133"/>
      <c r="I121" s="315"/>
      <c r="J121" s="211"/>
      <c r="K121" s="210"/>
      <c r="L121" s="136"/>
      <c r="M121" s="138"/>
      <c r="N121" s="19"/>
      <c r="O121" s="20"/>
      <c r="P121" s="20"/>
      <c r="Q121" s="20"/>
      <c r="R121" s="20"/>
      <c r="S121" s="21"/>
    </row>
    <row r="122" spans="1:19" ht="17.25" thickBot="1" x14ac:dyDescent="0.3">
      <c r="A122" s="314" t="s">
        <v>1</v>
      </c>
      <c r="B122" s="348"/>
      <c r="C122" s="180"/>
      <c r="D122" s="349"/>
      <c r="E122" s="349"/>
      <c r="F122" s="180"/>
      <c r="G122" s="182"/>
      <c r="H122" s="201"/>
      <c r="I122" s="350"/>
      <c r="J122" s="349"/>
      <c r="K122" s="351"/>
      <c r="L122" s="352"/>
      <c r="M122" s="353"/>
      <c r="N122" s="22"/>
      <c r="O122" s="23"/>
      <c r="P122" s="23"/>
      <c r="Q122" s="23"/>
      <c r="R122" s="23"/>
      <c r="S122" s="24"/>
    </row>
    <row r="123" spans="1:19" s="1" customFormat="1" ht="24" customHeight="1" x14ac:dyDescent="0.25">
      <c r="A123" s="309" t="s">
        <v>609</v>
      </c>
      <c r="B123" s="354"/>
      <c r="C123" s="335"/>
      <c r="D123" s="335"/>
      <c r="E123" s="335"/>
      <c r="F123" s="335"/>
      <c r="G123" s="336"/>
      <c r="H123" s="337">
        <v>2.0759493670886076</v>
      </c>
      <c r="I123" s="337"/>
      <c r="J123" s="335"/>
      <c r="K123" s="338">
        <f>K124+K127+K132+K135</f>
        <v>389.2</v>
      </c>
      <c r="L123" s="338">
        <f t="shared" ref="L123:M123" si="27">L124+L127+L132+L135</f>
        <v>93.758280000000013</v>
      </c>
      <c r="M123" s="339">
        <f t="shared" si="27"/>
        <v>482.95827999999995</v>
      </c>
      <c r="N123" s="15"/>
      <c r="O123" s="16"/>
      <c r="P123" s="16"/>
      <c r="Q123" s="16"/>
      <c r="R123" s="16"/>
      <c r="S123" s="17"/>
    </row>
    <row r="124" spans="1:19" ht="37.5" customHeight="1" x14ac:dyDescent="0.25">
      <c r="A124" s="314" t="s">
        <v>14</v>
      </c>
      <c r="B124" s="171"/>
      <c r="C124" s="20"/>
      <c r="D124" s="211"/>
      <c r="E124" s="211"/>
      <c r="F124" s="20"/>
      <c r="G124" s="21"/>
      <c r="H124" s="133"/>
      <c r="I124" s="315"/>
      <c r="J124" s="211"/>
      <c r="K124" s="210"/>
      <c r="L124" s="136"/>
      <c r="M124" s="138"/>
      <c r="N124" s="19"/>
      <c r="O124" s="20"/>
      <c r="P124" s="20"/>
      <c r="Q124" s="20"/>
      <c r="R124" s="20"/>
      <c r="S124" s="21"/>
    </row>
    <row r="125" spans="1:19" ht="18.75" customHeight="1" x14ac:dyDescent="0.25">
      <c r="A125" s="314" t="s">
        <v>1</v>
      </c>
      <c r="B125" s="171"/>
      <c r="C125" s="20"/>
      <c r="D125" s="211"/>
      <c r="E125" s="211"/>
      <c r="F125" s="20"/>
      <c r="G125" s="21"/>
      <c r="H125" s="133"/>
      <c r="I125" s="315"/>
      <c r="J125" s="211"/>
      <c r="K125" s="210"/>
      <c r="L125" s="136"/>
      <c r="M125" s="138"/>
      <c r="N125" s="19"/>
      <c r="O125" s="20"/>
      <c r="P125" s="20"/>
      <c r="Q125" s="20"/>
      <c r="R125" s="20"/>
      <c r="S125" s="21"/>
    </row>
    <row r="126" spans="1:19" ht="19.5" customHeight="1" x14ac:dyDescent="0.25">
      <c r="A126" s="314" t="s">
        <v>1</v>
      </c>
      <c r="B126" s="171"/>
      <c r="C126" s="20"/>
      <c r="D126" s="211"/>
      <c r="E126" s="211"/>
      <c r="F126" s="20"/>
      <c r="G126" s="21"/>
      <c r="H126" s="133"/>
      <c r="I126" s="315"/>
      <c r="J126" s="211"/>
      <c r="K126" s="210"/>
      <c r="L126" s="136"/>
      <c r="M126" s="138"/>
      <c r="N126" s="19"/>
      <c r="O126" s="20"/>
      <c r="P126" s="20"/>
      <c r="Q126" s="20"/>
      <c r="R126" s="20"/>
      <c r="S126" s="21"/>
    </row>
    <row r="127" spans="1:19" ht="49.5" customHeight="1" x14ac:dyDescent="0.25">
      <c r="A127" s="314" t="s">
        <v>12</v>
      </c>
      <c r="B127" s="346"/>
      <c r="C127" s="325"/>
      <c r="D127" s="325"/>
      <c r="E127" s="325"/>
      <c r="F127" s="325"/>
      <c r="G127" s="326"/>
      <c r="H127" s="340">
        <v>2.0759493670886076</v>
      </c>
      <c r="I127" s="340"/>
      <c r="J127" s="325"/>
      <c r="K127" s="327">
        <f>SUM(K128:K131)</f>
        <v>389.2</v>
      </c>
      <c r="L127" s="327">
        <f t="shared" ref="L127:M127" si="28">SUM(L128:L131)</f>
        <v>93.758280000000013</v>
      </c>
      <c r="M127" s="328">
        <f t="shared" si="28"/>
        <v>482.95827999999995</v>
      </c>
      <c r="N127" s="19"/>
      <c r="O127" s="20"/>
      <c r="P127" s="20"/>
      <c r="Q127" s="20"/>
      <c r="R127" s="20"/>
      <c r="S127" s="21"/>
    </row>
    <row r="128" spans="1:19" ht="15.75" customHeight="1" x14ac:dyDescent="0.3">
      <c r="A128" s="316" t="s">
        <v>181</v>
      </c>
      <c r="B128" s="357"/>
      <c r="C128" s="358"/>
      <c r="D128" s="322"/>
      <c r="E128" s="361"/>
      <c r="F128" s="20"/>
      <c r="G128" s="21"/>
      <c r="H128" s="359">
        <v>0.10126582278481013</v>
      </c>
      <c r="I128" s="360">
        <v>742.6</v>
      </c>
      <c r="J128" s="324">
        <v>20</v>
      </c>
      <c r="K128" s="362">
        <v>15.04</v>
      </c>
      <c r="L128" s="136">
        <f t="shared" ref="L128:L130" si="29">K128*0.2409</f>
        <v>3.6231359999999997</v>
      </c>
      <c r="M128" s="138">
        <f t="shared" ref="M128:M130" si="30">K128+L128</f>
        <v>18.663135999999998</v>
      </c>
      <c r="N128" s="19"/>
      <c r="O128" s="20"/>
      <c r="P128" s="20"/>
      <c r="Q128" s="20"/>
      <c r="R128" s="20"/>
      <c r="S128" s="21"/>
    </row>
    <row r="129" spans="1:19" ht="15.75" customHeight="1" x14ac:dyDescent="0.3">
      <c r="A129" s="316" t="s">
        <v>610</v>
      </c>
      <c r="B129" s="357"/>
      <c r="C129" s="358"/>
      <c r="D129" s="322"/>
      <c r="E129" s="361"/>
      <c r="F129" s="20"/>
      <c r="G129" s="21"/>
      <c r="H129" s="359">
        <v>0.97468354430379744</v>
      </c>
      <c r="I129" s="360">
        <v>995.40000000000009</v>
      </c>
      <c r="J129" s="324">
        <v>20</v>
      </c>
      <c r="K129" s="362">
        <v>194.04</v>
      </c>
      <c r="L129" s="136">
        <f t="shared" si="29"/>
        <v>46.744236000000001</v>
      </c>
      <c r="M129" s="138">
        <f t="shared" si="30"/>
        <v>240.78423599999999</v>
      </c>
      <c r="N129" s="19"/>
      <c r="O129" s="20"/>
      <c r="P129" s="20"/>
      <c r="Q129" s="20"/>
      <c r="R129" s="20"/>
      <c r="S129" s="21"/>
    </row>
    <row r="130" spans="1:19" ht="15.75" customHeight="1" x14ac:dyDescent="0.3">
      <c r="A130" s="316" t="s">
        <v>181</v>
      </c>
      <c r="B130" s="357"/>
      <c r="C130" s="358"/>
      <c r="D130" s="322"/>
      <c r="E130" s="361"/>
      <c r="F130" s="20"/>
      <c r="G130" s="21"/>
      <c r="H130" s="359">
        <v>1</v>
      </c>
      <c r="I130" s="360">
        <v>900.60000000000014</v>
      </c>
      <c r="J130" s="324">
        <v>20</v>
      </c>
      <c r="K130" s="362">
        <v>180.12</v>
      </c>
      <c r="L130" s="136">
        <f t="shared" si="29"/>
        <v>43.390908000000003</v>
      </c>
      <c r="M130" s="138">
        <f t="shared" si="30"/>
        <v>223.510908</v>
      </c>
      <c r="N130" s="19"/>
      <c r="O130" s="20"/>
      <c r="P130" s="20"/>
      <c r="Q130" s="20"/>
      <c r="R130" s="20"/>
      <c r="S130" s="21"/>
    </row>
    <row r="131" spans="1:19" x14ac:dyDescent="0.25">
      <c r="A131" s="314" t="s">
        <v>1</v>
      </c>
      <c r="B131" s="171"/>
      <c r="C131" s="20"/>
      <c r="D131" s="211"/>
      <c r="E131" s="211"/>
      <c r="F131" s="20"/>
      <c r="G131" s="21"/>
      <c r="H131" s="133"/>
      <c r="I131" s="315"/>
      <c r="J131" s="211"/>
      <c r="K131" s="210"/>
      <c r="L131" s="136"/>
      <c r="M131" s="138"/>
      <c r="N131" s="19"/>
      <c r="O131" s="20"/>
      <c r="P131" s="20"/>
      <c r="Q131" s="20"/>
      <c r="R131" s="20"/>
      <c r="S131" s="21"/>
    </row>
    <row r="132" spans="1:19" ht="64.5" customHeight="1" x14ac:dyDescent="0.25">
      <c r="A132" s="314" t="s">
        <v>13</v>
      </c>
      <c r="B132" s="171"/>
      <c r="C132" s="20"/>
      <c r="D132" s="211"/>
      <c r="E132" s="211"/>
      <c r="F132" s="20"/>
      <c r="G132" s="21"/>
      <c r="H132" s="133"/>
      <c r="I132" s="315"/>
      <c r="J132" s="211"/>
      <c r="K132" s="210"/>
      <c r="L132" s="136"/>
      <c r="M132" s="138"/>
      <c r="N132" s="19"/>
      <c r="O132" s="20"/>
      <c r="P132" s="20"/>
      <c r="Q132" s="20"/>
      <c r="R132" s="20"/>
      <c r="S132" s="21"/>
    </row>
    <row r="133" spans="1:19" x14ac:dyDescent="0.25">
      <c r="A133" s="314" t="s">
        <v>1</v>
      </c>
      <c r="B133" s="171"/>
      <c r="C133" s="20"/>
      <c r="D133" s="211"/>
      <c r="E133" s="211"/>
      <c r="F133" s="20"/>
      <c r="G133" s="21"/>
      <c r="H133" s="133"/>
      <c r="I133" s="315"/>
      <c r="J133" s="211"/>
      <c r="K133" s="210"/>
      <c r="L133" s="136"/>
      <c r="M133" s="138"/>
      <c r="N133" s="19"/>
      <c r="O133" s="20"/>
      <c r="P133" s="20"/>
      <c r="Q133" s="20"/>
      <c r="R133" s="20"/>
      <c r="S133" s="21"/>
    </row>
    <row r="134" spans="1:19" x14ac:dyDescent="0.25">
      <c r="A134" s="314" t="s">
        <v>1</v>
      </c>
      <c r="B134" s="171"/>
      <c r="C134" s="20"/>
      <c r="D134" s="211"/>
      <c r="E134" s="211"/>
      <c r="F134" s="20"/>
      <c r="G134" s="21"/>
      <c r="H134" s="133"/>
      <c r="I134" s="315"/>
      <c r="J134" s="211"/>
      <c r="K134" s="210"/>
      <c r="L134" s="136"/>
      <c r="M134" s="138"/>
      <c r="N134" s="19"/>
      <c r="O134" s="20"/>
      <c r="P134" s="20"/>
      <c r="Q134" s="20"/>
      <c r="R134" s="20"/>
      <c r="S134" s="21"/>
    </row>
    <row r="135" spans="1:19" ht="37.5" customHeight="1" x14ac:dyDescent="0.25">
      <c r="A135" s="314" t="s">
        <v>11</v>
      </c>
      <c r="B135" s="171"/>
      <c r="C135" s="20"/>
      <c r="D135" s="211"/>
      <c r="E135" s="211"/>
      <c r="F135" s="20"/>
      <c r="G135" s="21"/>
      <c r="H135" s="133"/>
      <c r="I135" s="315"/>
      <c r="J135" s="211"/>
      <c r="K135" s="210"/>
      <c r="L135" s="136"/>
      <c r="M135" s="138"/>
      <c r="N135" s="19"/>
      <c r="O135" s="20"/>
      <c r="P135" s="20"/>
      <c r="Q135" s="20"/>
      <c r="R135" s="20"/>
      <c r="S135" s="21"/>
    </row>
    <row r="136" spans="1:19" x14ac:dyDescent="0.25">
      <c r="A136" s="314" t="s">
        <v>1</v>
      </c>
      <c r="B136" s="171"/>
      <c r="C136" s="20"/>
      <c r="D136" s="211"/>
      <c r="E136" s="211"/>
      <c r="F136" s="20"/>
      <c r="G136" s="21"/>
      <c r="H136" s="133"/>
      <c r="I136" s="315"/>
      <c r="J136" s="211"/>
      <c r="K136" s="210"/>
      <c r="L136" s="136"/>
      <c r="M136" s="138"/>
      <c r="N136" s="19"/>
      <c r="O136" s="20"/>
      <c r="P136" s="20"/>
      <c r="Q136" s="20"/>
      <c r="R136" s="20"/>
      <c r="S136" s="21"/>
    </row>
    <row r="137" spans="1:19" ht="17.25" thickBot="1" x14ac:dyDescent="0.3">
      <c r="A137" s="314" t="s">
        <v>1</v>
      </c>
      <c r="B137" s="348"/>
      <c r="C137" s="180"/>
      <c r="D137" s="349"/>
      <c r="E137" s="349"/>
      <c r="F137" s="180"/>
      <c r="G137" s="182"/>
      <c r="H137" s="201"/>
      <c r="I137" s="350"/>
      <c r="J137" s="349"/>
      <c r="K137" s="351"/>
      <c r="L137" s="352"/>
      <c r="M137" s="353"/>
      <c r="N137" s="22"/>
      <c r="O137" s="23"/>
      <c r="P137" s="23"/>
      <c r="Q137" s="23"/>
      <c r="R137" s="23"/>
      <c r="S137" s="24"/>
    </row>
    <row r="138" spans="1:19" s="1" customFormat="1" ht="24" customHeight="1" x14ac:dyDescent="0.25">
      <c r="A138" s="309" t="s">
        <v>23</v>
      </c>
      <c r="B138" s="354"/>
      <c r="C138" s="335"/>
      <c r="D138" s="335"/>
      <c r="E138" s="335"/>
      <c r="F138" s="335"/>
      <c r="G138" s="336"/>
      <c r="H138" s="337">
        <v>1</v>
      </c>
      <c r="I138" s="337"/>
      <c r="J138" s="335"/>
      <c r="K138" s="338">
        <f>K139+K142+K145+K148</f>
        <v>410</v>
      </c>
      <c r="L138" s="338">
        <f t="shared" ref="L138:M138" si="31">L139+L142+L145+L148</f>
        <v>98.769000000000005</v>
      </c>
      <c r="M138" s="339">
        <f t="shared" si="31"/>
        <v>508.76900000000001</v>
      </c>
      <c r="N138" s="15"/>
      <c r="O138" s="16"/>
      <c r="P138" s="16"/>
      <c r="Q138" s="16"/>
      <c r="R138" s="16"/>
      <c r="S138" s="17"/>
    </row>
    <row r="139" spans="1:19" ht="37.5" customHeight="1" x14ac:dyDescent="0.25">
      <c r="A139" s="314" t="s">
        <v>14</v>
      </c>
      <c r="B139" s="171"/>
      <c r="C139" s="20"/>
      <c r="D139" s="211"/>
      <c r="E139" s="211"/>
      <c r="F139" s="20"/>
      <c r="G139" s="21"/>
      <c r="H139" s="133"/>
      <c r="I139" s="315"/>
      <c r="J139" s="211"/>
      <c r="K139" s="210"/>
      <c r="L139" s="136"/>
      <c r="M139" s="138"/>
      <c r="N139" s="19"/>
      <c r="O139" s="20"/>
      <c r="P139" s="20"/>
      <c r="Q139" s="20"/>
      <c r="R139" s="20"/>
      <c r="S139" s="21"/>
    </row>
    <row r="140" spans="1:19" ht="18.75" customHeight="1" x14ac:dyDescent="0.25">
      <c r="A140" s="314" t="s">
        <v>1</v>
      </c>
      <c r="B140" s="171"/>
      <c r="C140" s="20"/>
      <c r="D140" s="211"/>
      <c r="E140" s="211"/>
      <c r="F140" s="20"/>
      <c r="G140" s="21"/>
      <c r="H140" s="133"/>
      <c r="I140" s="315"/>
      <c r="J140" s="211"/>
      <c r="K140" s="210"/>
      <c r="L140" s="136"/>
      <c r="M140" s="138"/>
      <c r="N140" s="19"/>
      <c r="O140" s="20"/>
      <c r="P140" s="20"/>
      <c r="Q140" s="20"/>
      <c r="R140" s="20"/>
      <c r="S140" s="21"/>
    </row>
    <row r="141" spans="1:19" ht="19.5" customHeight="1" x14ac:dyDescent="0.25">
      <c r="A141" s="314" t="s">
        <v>1</v>
      </c>
      <c r="B141" s="171"/>
      <c r="C141" s="20"/>
      <c r="D141" s="211"/>
      <c r="E141" s="211"/>
      <c r="F141" s="20"/>
      <c r="G141" s="21"/>
      <c r="H141" s="133"/>
      <c r="I141" s="315"/>
      <c r="J141" s="211"/>
      <c r="K141" s="210"/>
      <c r="L141" s="136"/>
      <c r="M141" s="138"/>
      <c r="N141" s="19"/>
      <c r="O141" s="20"/>
      <c r="P141" s="20"/>
      <c r="Q141" s="20"/>
      <c r="R141" s="20"/>
      <c r="S141" s="21"/>
    </row>
    <row r="142" spans="1:19" ht="49.5" customHeight="1" x14ac:dyDescent="0.25">
      <c r="A142" s="314" t="s">
        <v>12</v>
      </c>
      <c r="B142" s="171"/>
      <c r="C142" s="20"/>
      <c r="D142" s="211"/>
      <c r="E142" s="211"/>
      <c r="F142" s="20"/>
      <c r="G142" s="21"/>
      <c r="H142" s="340">
        <v>1</v>
      </c>
      <c r="I142" s="340"/>
      <c r="J142" s="325"/>
      <c r="K142" s="327">
        <f>K143</f>
        <v>410</v>
      </c>
      <c r="L142" s="327">
        <f t="shared" ref="L142:M142" si="32">L143</f>
        <v>98.769000000000005</v>
      </c>
      <c r="M142" s="328">
        <f t="shared" si="32"/>
        <v>508.76900000000001</v>
      </c>
      <c r="N142" s="19"/>
      <c r="O142" s="20"/>
      <c r="P142" s="20"/>
      <c r="Q142" s="20"/>
      <c r="R142" s="20"/>
      <c r="S142" s="21"/>
    </row>
    <row r="143" spans="1:19" ht="17.25" x14ac:dyDescent="0.3">
      <c r="A143" s="316" t="s">
        <v>148</v>
      </c>
      <c r="B143" s="357"/>
      <c r="C143" s="358"/>
      <c r="D143" s="322"/>
      <c r="E143" s="361"/>
      <c r="F143" s="20"/>
      <c r="G143" s="21"/>
      <c r="H143" s="363">
        <v>1</v>
      </c>
      <c r="I143" s="360">
        <v>2050</v>
      </c>
      <c r="J143" s="324">
        <v>20</v>
      </c>
      <c r="K143" s="362">
        <v>410</v>
      </c>
      <c r="L143" s="136">
        <f t="shared" ref="L143" si="33">K143*0.2409</f>
        <v>98.769000000000005</v>
      </c>
      <c r="M143" s="138">
        <f t="shared" ref="M143" si="34">K143+L143</f>
        <v>508.76900000000001</v>
      </c>
      <c r="N143" s="19"/>
      <c r="O143" s="20"/>
      <c r="P143" s="20"/>
      <c r="Q143" s="20"/>
      <c r="R143" s="20"/>
      <c r="S143" s="21"/>
    </row>
    <row r="144" spans="1:19" x14ac:dyDescent="0.25">
      <c r="A144" s="314" t="s">
        <v>1</v>
      </c>
      <c r="B144" s="171"/>
      <c r="C144" s="20"/>
      <c r="D144" s="211"/>
      <c r="E144" s="211"/>
      <c r="F144" s="20"/>
      <c r="G144" s="21"/>
      <c r="H144" s="133"/>
      <c r="I144" s="315"/>
      <c r="J144" s="211"/>
      <c r="K144" s="210"/>
      <c r="L144" s="136"/>
      <c r="M144" s="138"/>
      <c r="N144" s="19"/>
      <c r="O144" s="20"/>
      <c r="P144" s="20"/>
      <c r="Q144" s="20"/>
      <c r="R144" s="20"/>
      <c r="S144" s="21"/>
    </row>
    <row r="145" spans="1:19" ht="64.5" customHeight="1" x14ac:dyDescent="0.25">
      <c r="A145" s="314" t="s">
        <v>13</v>
      </c>
      <c r="B145" s="171"/>
      <c r="C145" s="20"/>
      <c r="D145" s="211"/>
      <c r="E145" s="211"/>
      <c r="F145" s="20"/>
      <c r="G145" s="21"/>
      <c r="H145" s="133"/>
      <c r="I145" s="315"/>
      <c r="J145" s="211"/>
      <c r="K145" s="210"/>
      <c r="L145" s="136"/>
      <c r="M145" s="138"/>
      <c r="N145" s="19"/>
      <c r="O145" s="20"/>
      <c r="P145" s="20"/>
      <c r="Q145" s="20"/>
      <c r="R145" s="20"/>
      <c r="S145" s="21"/>
    </row>
    <row r="146" spans="1:19" x14ac:dyDescent="0.25">
      <c r="A146" s="314" t="s">
        <v>1</v>
      </c>
      <c r="B146" s="171"/>
      <c r="C146" s="20"/>
      <c r="D146" s="211"/>
      <c r="E146" s="211"/>
      <c r="F146" s="20"/>
      <c r="G146" s="21"/>
      <c r="H146" s="133"/>
      <c r="I146" s="315"/>
      <c r="J146" s="211"/>
      <c r="K146" s="210"/>
      <c r="L146" s="136"/>
      <c r="M146" s="138"/>
      <c r="N146" s="19"/>
      <c r="O146" s="20"/>
      <c r="P146" s="20"/>
      <c r="Q146" s="20"/>
      <c r="R146" s="20"/>
      <c r="S146" s="21"/>
    </row>
    <row r="147" spans="1:19" x14ac:dyDescent="0.25">
      <c r="A147" s="314" t="s">
        <v>1</v>
      </c>
      <c r="B147" s="171"/>
      <c r="C147" s="20"/>
      <c r="D147" s="211"/>
      <c r="E147" s="211"/>
      <c r="F147" s="20"/>
      <c r="G147" s="21"/>
      <c r="H147" s="133"/>
      <c r="I147" s="315"/>
      <c r="J147" s="211"/>
      <c r="K147" s="210"/>
      <c r="L147" s="136"/>
      <c r="M147" s="138"/>
      <c r="N147" s="19"/>
      <c r="O147" s="20"/>
      <c r="P147" s="20"/>
      <c r="Q147" s="20"/>
      <c r="R147" s="20"/>
      <c r="S147" s="21"/>
    </row>
    <row r="148" spans="1:19" ht="37.5" customHeight="1" x14ac:dyDescent="0.25">
      <c r="A148" s="314" t="s">
        <v>11</v>
      </c>
      <c r="B148" s="346"/>
      <c r="C148" s="325"/>
      <c r="D148" s="325"/>
      <c r="E148" s="325"/>
      <c r="F148" s="325"/>
      <c r="G148" s="326"/>
      <c r="H148" s="340"/>
      <c r="I148" s="347"/>
      <c r="J148" s="325"/>
      <c r="K148" s="327"/>
      <c r="L148" s="327"/>
      <c r="M148" s="328"/>
      <c r="N148" s="19"/>
      <c r="O148" s="20"/>
      <c r="P148" s="20"/>
      <c r="Q148" s="20"/>
      <c r="R148" s="20"/>
      <c r="S148" s="21"/>
    </row>
    <row r="149" spans="1:19" ht="17.25" x14ac:dyDescent="0.3">
      <c r="A149" s="316" t="s">
        <v>148</v>
      </c>
      <c r="B149" s="357"/>
      <c r="C149" s="358"/>
      <c r="D149" s="322"/>
      <c r="E149" s="361"/>
      <c r="F149" s="20"/>
      <c r="G149" s="21"/>
      <c r="H149" s="363"/>
      <c r="I149" s="360"/>
      <c r="J149" s="322"/>
      <c r="K149" s="362"/>
      <c r="L149" s="136"/>
      <c r="M149" s="138"/>
      <c r="N149" s="19"/>
      <c r="O149" s="20"/>
      <c r="P149" s="20"/>
      <c r="Q149" s="20"/>
      <c r="R149" s="20"/>
      <c r="S149" s="21"/>
    </row>
    <row r="150" spans="1:19" ht="17.25" thickBot="1" x14ac:dyDescent="0.3">
      <c r="A150" s="314" t="s">
        <v>1</v>
      </c>
      <c r="B150" s="348"/>
      <c r="C150" s="180"/>
      <c r="D150" s="349"/>
      <c r="E150" s="349"/>
      <c r="F150" s="180"/>
      <c r="G150" s="182"/>
      <c r="H150" s="201"/>
      <c r="I150" s="350"/>
      <c r="J150" s="349"/>
      <c r="K150" s="351"/>
      <c r="L150" s="352"/>
      <c r="M150" s="353"/>
      <c r="N150" s="22"/>
      <c r="O150" s="23"/>
      <c r="P150" s="23"/>
      <c r="Q150" s="23"/>
      <c r="R150" s="23"/>
      <c r="S150" s="24"/>
    </row>
    <row r="151" spans="1:19" s="1" customFormat="1" ht="24" customHeight="1" x14ac:dyDescent="0.25">
      <c r="A151" s="309" t="s">
        <v>611</v>
      </c>
      <c r="B151" s="354"/>
      <c r="C151" s="335"/>
      <c r="D151" s="335"/>
      <c r="E151" s="335"/>
      <c r="F151" s="335"/>
      <c r="G151" s="336"/>
      <c r="H151" s="355">
        <v>12.094936708860757</v>
      </c>
      <c r="I151" s="337"/>
      <c r="J151" s="335"/>
      <c r="K151" s="338">
        <f>K152+K155+K158+K161</f>
        <v>1547.91</v>
      </c>
      <c r="L151" s="338">
        <f t="shared" ref="L151:M151" si="35">L152+L155+L158+L161</f>
        <v>372.89151900000002</v>
      </c>
      <c r="M151" s="339">
        <f t="shared" si="35"/>
        <v>1920.8015189999996</v>
      </c>
      <c r="N151" s="15"/>
      <c r="O151" s="16"/>
      <c r="P151" s="16"/>
      <c r="Q151" s="16"/>
      <c r="R151" s="16"/>
      <c r="S151" s="17"/>
    </row>
    <row r="152" spans="1:19" ht="37.5" customHeight="1" x14ac:dyDescent="0.25">
      <c r="A152" s="314" t="s">
        <v>14</v>
      </c>
      <c r="B152" s="171"/>
      <c r="C152" s="20"/>
      <c r="D152" s="211"/>
      <c r="E152" s="211"/>
      <c r="F152" s="20"/>
      <c r="G152" s="21"/>
      <c r="H152" s="133"/>
      <c r="I152" s="315"/>
      <c r="J152" s="211"/>
      <c r="K152" s="210"/>
      <c r="L152" s="136"/>
      <c r="M152" s="138"/>
      <c r="N152" s="19"/>
      <c r="O152" s="20"/>
      <c r="P152" s="20"/>
      <c r="Q152" s="20"/>
      <c r="R152" s="20"/>
      <c r="S152" s="21"/>
    </row>
    <row r="153" spans="1:19" ht="18.75" customHeight="1" x14ac:dyDescent="0.25">
      <c r="A153" s="314" t="s">
        <v>1</v>
      </c>
      <c r="B153" s="171"/>
      <c r="C153" s="20"/>
      <c r="D153" s="211"/>
      <c r="E153" s="211"/>
      <c r="F153" s="20"/>
      <c r="G153" s="21"/>
      <c r="H153" s="133"/>
      <c r="I153" s="315"/>
      <c r="J153" s="211"/>
      <c r="K153" s="210"/>
      <c r="L153" s="136"/>
      <c r="M153" s="138"/>
      <c r="N153" s="19"/>
      <c r="O153" s="20"/>
      <c r="P153" s="20"/>
      <c r="Q153" s="20"/>
      <c r="R153" s="20"/>
      <c r="S153" s="21"/>
    </row>
    <row r="154" spans="1:19" ht="19.5" customHeight="1" x14ac:dyDescent="0.25">
      <c r="A154" s="314" t="s">
        <v>1</v>
      </c>
      <c r="B154" s="171"/>
      <c r="C154" s="20"/>
      <c r="D154" s="211"/>
      <c r="E154" s="211"/>
      <c r="F154" s="20"/>
      <c r="G154" s="21"/>
      <c r="H154" s="133"/>
      <c r="I154" s="315"/>
      <c r="J154" s="211"/>
      <c r="K154" s="210"/>
      <c r="L154" s="136"/>
      <c r="M154" s="138"/>
      <c r="N154" s="19"/>
      <c r="O154" s="20"/>
      <c r="P154" s="20"/>
      <c r="Q154" s="20"/>
      <c r="R154" s="20"/>
      <c r="S154" s="21"/>
    </row>
    <row r="155" spans="1:19" ht="49.5" customHeight="1" x14ac:dyDescent="0.25">
      <c r="A155" s="314" t="s">
        <v>12</v>
      </c>
      <c r="B155" s="171"/>
      <c r="C155" s="20"/>
      <c r="D155" s="211"/>
      <c r="E155" s="211"/>
      <c r="F155" s="20"/>
      <c r="G155" s="21"/>
      <c r="H155" s="133"/>
      <c r="I155" s="315"/>
      <c r="J155" s="211"/>
      <c r="K155" s="210"/>
      <c r="L155" s="136"/>
      <c r="M155" s="138"/>
      <c r="N155" s="19"/>
      <c r="O155" s="20"/>
      <c r="P155" s="20"/>
      <c r="Q155" s="20"/>
      <c r="R155" s="20"/>
      <c r="S155" s="21"/>
    </row>
    <row r="156" spans="1:19" x14ac:dyDescent="0.25">
      <c r="A156" s="314" t="s">
        <v>1</v>
      </c>
      <c r="B156" s="171"/>
      <c r="C156" s="20"/>
      <c r="D156" s="211"/>
      <c r="E156" s="211"/>
      <c r="F156" s="20"/>
      <c r="G156" s="21"/>
      <c r="H156" s="133"/>
      <c r="I156" s="315"/>
      <c r="J156" s="211"/>
      <c r="K156" s="210"/>
      <c r="L156" s="136"/>
      <c r="M156" s="138"/>
      <c r="N156" s="19"/>
      <c r="O156" s="20"/>
      <c r="P156" s="20"/>
      <c r="Q156" s="20"/>
      <c r="R156" s="20"/>
      <c r="S156" s="21"/>
    </row>
    <row r="157" spans="1:19" x14ac:dyDescent="0.25">
      <c r="A157" s="314" t="s">
        <v>1</v>
      </c>
      <c r="B157" s="171"/>
      <c r="C157" s="20"/>
      <c r="D157" s="211"/>
      <c r="E157" s="211"/>
      <c r="F157" s="20"/>
      <c r="G157" s="21"/>
      <c r="H157" s="133"/>
      <c r="I157" s="315"/>
      <c r="J157" s="211"/>
      <c r="K157" s="210"/>
      <c r="L157" s="136"/>
      <c r="M157" s="138"/>
      <c r="N157" s="19"/>
      <c r="O157" s="20"/>
      <c r="P157" s="20"/>
      <c r="Q157" s="20"/>
      <c r="R157" s="20"/>
      <c r="S157" s="21"/>
    </row>
    <row r="158" spans="1:19" ht="64.5" customHeight="1" x14ac:dyDescent="0.25">
      <c r="A158" s="314" t="s">
        <v>13</v>
      </c>
      <c r="B158" s="171"/>
      <c r="C158" s="20"/>
      <c r="D158" s="211"/>
      <c r="E158" s="211"/>
      <c r="F158" s="20"/>
      <c r="G158" s="21"/>
      <c r="H158" s="133"/>
      <c r="I158" s="315"/>
      <c r="J158" s="211"/>
      <c r="K158" s="210"/>
      <c r="L158" s="136"/>
      <c r="M158" s="138"/>
      <c r="N158" s="19"/>
      <c r="O158" s="20"/>
      <c r="P158" s="20"/>
      <c r="Q158" s="20"/>
      <c r="R158" s="20"/>
      <c r="S158" s="21"/>
    </row>
    <row r="159" spans="1:19" x14ac:dyDescent="0.25">
      <c r="A159" s="314" t="s">
        <v>1</v>
      </c>
      <c r="B159" s="171"/>
      <c r="C159" s="20"/>
      <c r="D159" s="211"/>
      <c r="E159" s="211"/>
      <c r="F159" s="20"/>
      <c r="G159" s="21"/>
      <c r="H159" s="133"/>
      <c r="I159" s="315"/>
      <c r="J159" s="211"/>
      <c r="K159" s="210"/>
      <c r="L159" s="136"/>
      <c r="M159" s="138"/>
      <c r="N159" s="19"/>
      <c r="O159" s="20"/>
      <c r="P159" s="20"/>
      <c r="Q159" s="20"/>
      <c r="R159" s="20"/>
      <c r="S159" s="21"/>
    </row>
    <row r="160" spans="1:19" x14ac:dyDescent="0.25">
      <c r="A160" s="314" t="s">
        <v>1</v>
      </c>
      <c r="B160" s="171"/>
      <c r="C160" s="20"/>
      <c r="D160" s="211"/>
      <c r="E160" s="211"/>
      <c r="F160" s="20"/>
      <c r="G160" s="21"/>
      <c r="H160" s="133"/>
      <c r="I160" s="315"/>
      <c r="J160" s="211"/>
      <c r="K160" s="210"/>
      <c r="L160" s="136"/>
      <c r="M160" s="138"/>
      <c r="N160" s="19"/>
      <c r="O160" s="20"/>
      <c r="P160" s="20"/>
      <c r="Q160" s="20"/>
      <c r="R160" s="20"/>
      <c r="S160" s="21"/>
    </row>
    <row r="161" spans="1:19" ht="37.5" customHeight="1" x14ac:dyDescent="0.25">
      <c r="A161" s="314" t="s">
        <v>11</v>
      </c>
      <c r="B161" s="346"/>
      <c r="C161" s="325"/>
      <c r="D161" s="325"/>
      <c r="E161" s="325"/>
      <c r="F161" s="325"/>
      <c r="G161" s="326"/>
      <c r="H161" s="327">
        <f t="shared" ref="H161" si="36">SUM(H162:H179)</f>
        <v>12.094936708860757</v>
      </c>
      <c r="I161" s="327"/>
      <c r="J161" s="327"/>
      <c r="K161" s="327">
        <f>SUM(K162:K179)</f>
        <v>1547.91</v>
      </c>
      <c r="L161" s="327">
        <f t="shared" ref="L161:M161" si="37">SUM(L162:L179)</f>
        <v>372.89151900000002</v>
      </c>
      <c r="M161" s="328">
        <f t="shared" si="37"/>
        <v>1920.8015189999996</v>
      </c>
      <c r="N161" s="19"/>
      <c r="O161" s="20"/>
      <c r="P161" s="20"/>
      <c r="Q161" s="20"/>
      <c r="R161" s="20"/>
      <c r="S161" s="21"/>
    </row>
    <row r="162" spans="1:19" ht="16.5" customHeight="1" x14ac:dyDescent="0.3">
      <c r="A162" s="316" t="s">
        <v>612</v>
      </c>
      <c r="B162" s="357"/>
      <c r="C162" s="358"/>
      <c r="D162" s="322"/>
      <c r="E162" s="361"/>
      <c r="F162" s="20"/>
      <c r="G162" s="21"/>
      <c r="H162" s="359">
        <v>1.1645569620253164</v>
      </c>
      <c r="I162" s="360">
        <v>639.9</v>
      </c>
      <c r="J162" s="324">
        <v>20</v>
      </c>
      <c r="K162" s="362">
        <v>149.04</v>
      </c>
      <c r="L162" s="136">
        <f t="shared" ref="L162:L177" si="38">K162*0.2409</f>
        <v>35.903735999999995</v>
      </c>
      <c r="M162" s="138">
        <f t="shared" ref="M162:M177" si="39">K162+L162</f>
        <v>184.943736</v>
      </c>
      <c r="N162" s="19"/>
      <c r="O162" s="20"/>
      <c r="P162" s="20"/>
      <c r="Q162" s="20"/>
      <c r="R162" s="20"/>
      <c r="S162" s="21"/>
    </row>
    <row r="163" spans="1:19" ht="16.5" customHeight="1" x14ac:dyDescent="0.3">
      <c r="A163" s="316" t="s">
        <v>612</v>
      </c>
      <c r="B163" s="357"/>
      <c r="C163" s="358"/>
      <c r="D163" s="322"/>
      <c r="E163" s="361"/>
      <c r="F163" s="20"/>
      <c r="G163" s="21"/>
      <c r="H163" s="359">
        <v>0.34810126582278483</v>
      </c>
      <c r="I163" s="360">
        <v>639.9</v>
      </c>
      <c r="J163" s="324">
        <v>20</v>
      </c>
      <c r="K163" s="362">
        <v>44.55</v>
      </c>
      <c r="L163" s="136">
        <f t="shared" si="38"/>
        <v>10.732094999999999</v>
      </c>
      <c r="M163" s="138">
        <f t="shared" si="39"/>
        <v>55.282094999999998</v>
      </c>
      <c r="N163" s="19"/>
      <c r="O163" s="20"/>
      <c r="P163" s="20"/>
      <c r="Q163" s="20"/>
      <c r="R163" s="20"/>
      <c r="S163" s="21"/>
    </row>
    <row r="164" spans="1:19" ht="16.5" customHeight="1" x14ac:dyDescent="0.3">
      <c r="A164" s="316" t="s">
        <v>612</v>
      </c>
      <c r="B164" s="357"/>
      <c r="C164" s="358"/>
      <c r="D164" s="322"/>
      <c r="E164" s="361"/>
      <c r="F164" s="20"/>
      <c r="G164" s="21"/>
      <c r="H164" s="359">
        <v>1</v>
      </c>
      <c r="I164" s="360">
        <v>639.9</v>
      </c>
      <c r="J164" s="324">
        <v>20</v>
      </c>
      <c r="K164" s="362">
        <v>127.98</v>
      </c>
      <c r="L164" s="136">
        <f t="shared" si="38"/>
        <v>30.830382</v>
      </c>
      <c r="M164" s="138">
        <f t="shared" si="39"/>
        <v>158.810382</v>
      </c>
      <c r="N164" s="19"/>
      <c r="O164" s="20"/>
      <c r="P164" s="20"/>
      <c r="Q164" s="20"/>
      <c r="R164" s="20"/>
      <c r="S164" s="21"/>
    </row>
    <row r="165" spans="1:19" ht="16.5" customHeight="1" x14ac:dyDescent="0.3">
      <c r="A165" s="316" t="s">
        <v>612</v>
      </c>
      <c r="B165" s="357"/>
      <c r="C165" s="358"/>
      <c r="D165" s="322"/>
      <c r="E165" s="361"/>
      <c r="F165" s="20"/>
      <c r="G165" s="21"/>
      <c r="H165" s="359">
        <v>0.44303797468354428</v>
      </c>
      <c r="I165" s="360">
        <v>639.9</v>
      </c>
      <c r="J165" s="324">
        <v>20</v>
      </c>
      <c r="K165" s="362">
        <v>56.7</v>
      </c>
      <c r="L165" s="136">
        <f t="shared" si="38"/>
        <v>13.659030000000001</v>
      </c>
      <c r="M165" s="138">
        <f t="shared" si="39"/>
        <v>70.359030000000004</v>
      </c>
      <c r="N165" s="19"/>
      <c r="O165" s="20"/>
      <c r="P165" s="20"/>
      <c r="Q165" s="20"/>
      <c r="R165" s="20"/>
      <c r="S165" s="21"/>
    </row>
    <row r="166" spans="1:19" ht="16.5" customHeight="1" x14ac:dyDescent="0.3">
      <c r="A166" s="316" t="s">
        <v>612</v>
      </c>
      <c r="B166" s="357"/>
      <c r="C166" s="358"/>
      <c r="D166" s="322"/>
      <c r="E166" s="361"/>
      <c r="F166" s="20"/>
      <c r="G166" s="21"/>
      <c r="H166" s="359">
        <v>0.45569620253164556</v>
      </c>
      <c r="I166" s="360">
        <v>639.90000000000009</v>
      </c>
      <c r="J166" s="324">
        <v>20</v>
      </c>
      <c r="K166" s="362">
        <v>58.32</v>
      </c>
      <c r="L166" s="136">
        <f t="shared" si="38"/>
        <v>14.049288000000001</v>
      </c>
      <c r="M166" s="138">
        <f t="shared" si="39"/>
        <v>72.369287999999997</v>
      </c>
      <c r="N166" s="19"/>
      <c r="O166" s="20"/>
      <c r="P166" s="20"/>
      <c r="Q166" s="20"/>
      <c r="R166" s="20"/>
      <c r="S166" s="21"/>
    </row>
    <row r="167" spans="1:19" ht="16.5" customHeight="1" x14ac:dyDescent="0.3">
      <c r="A167" s="316" t="s">
        <v>612</v>
      </c>
      <c r="B167" s="357"/>
      <c r="C167" s="358"/>
      <c r="D167" s="322"/>
      <c r="E167" s="361"/>
      <c r="F167" s="20"/>
      <c r="G167" s="21"/>
      <c r="H167" s="359">
        <v>1</v>
      </c>
      <c r="I167" s="360">
        <v>639.9</v>
      </c>
      <c r="J167" s="324">
        <v>20</v>
      </c>
      <c r="K167" s="362">
        <v>127.98</v>
      </c>
      <c r="L167" s="136">
        <f t="shared" si="38"/>
        <v>30.830382</v>
      </c>
      <c r="M167" s="138">
        <f t="shared" si="39"/>
        <v>158.810382</v>
      </c>
      <c r="N167" s="19"/>
      <c r="O167" s="20"/>
      <c r="P167" s="20"/>
      <c r="Q167" s="20"/>
      <c r="R167" s="20"/>
      <c r="S167" s="21"/>
    </row>
    <row r="168" spans="1:19" ht="16.5" customHeight="1" x14ac:dyDescent="0.3">
      <c r="A168" s="316" t="s">
        <v>612</v>
      </c>
      <c r="B168" s="357"/>
      <c r="C168" s="358"/>
      <c r="D168" s="322"/>
      <c r="E168" s="361"/>
      <c r="F168" s="20"/>
      <c r="G168" s="21"/>
      <c r="H168" s="359">
        <v>0.70253164556962022</v>
      </c>
      <c r="I168" s="360">
        <v>639.90000000000009</v>
      </c>
      <c r="J168" s="324">
        <v>20</v>
      </c>
      <c r="K168" s="362">
        <v>89.91</v>
      </c>
      <c r="L168" s="136">
        <f t="shared" si="38"/>
        <v>21.659319</v>
      </c>
      <c r="M168" s="138">
        <f t="shared" si="39"/>
        <v>111.56931899999999</v>
      </c>
      <c r="N168" s="19"/>
      <c r="O168" s="20"/>
      <c r="P168" s="20"/>
      <c r="Q168" s="20"/>
      <c r="R168" s="20"/>
      <c r="S168" s="21"/>
    </row>
    <row r="169" spans="1:19" ht="16.5" customHeight="1" x14ac:dyDescent="0.3">
      <c r="A169" s="316" t="s">
        <v>612</v>
      </c>
      <c r="B169" s="357"/>
      <c r="C169" s="358"/>
      <c r="D169" s="322"/>
      <c r="E169" s="361"/>
      <c r="F169" s="20"/>
      <c r="G169" s="21"/>
      <c r="H169" s="359">
        <v>1.1139240506329113</v>
      </c>
      <c r="I169" s="360">
        <v>639.9</v>
      </c>
      <c r="J169" s="324">
        <v>20</v>
      </c>
      <c r="K169" s="362">
        <v>142.56</v>
      </c>
      <c r="L169" s="136">
        <f t="shared" si="38"/>
        <v>34.342703999999998</v>
      </c>
      <c r="M169" s="138">
        <f t="shared" si="39"/>
        <v>176.902704</v>
      </c>
      <c r="N169" s="19"/>
      <c r="O169" s="20"/>
      <c r="P169" s="20"/>
      <c r="Q169" s="20"/>
      <c r="R169" s="20"/>
      <c r="S169" s="21"/>
    </row>
    <row r="170" spans="1:19" ht="16.5" customHeight="1" x14ac:dyDescent="0.3">
      <c r="A170" s="316" t="s">
        <v>612</v>
      </c>
      <c r="B170" s="357"/>
      <c r="C170" s="358"/>
      <c r="D170" s="322"/>
      <c r="E170" s="361"/>
      <c r="F170" s="20"/>
      <c r="G170" s="21"/>
      <c r="H170" s="359">
        <v>1</v>
      </c>
      <c r="I170" s="360">
        <v>639.9</v>
      </c>
      <c r="J170" s="324">
        <v>20</v>
      </c>
      <c r="K170" s="362">
        <v>127.98</v>
      </c>
      <c r="L170" s="136">
        <f t="shared" si="38"/>
        <v>30.830382</v>
      </c>
      <c r="M170" s="138">
        <f t="shared" si="39"/>
        <v>158.810382</v>
      </c>
      <c r="N170" s="19"/>
      <c r="O170" s="20"/>
      <c r="P170" s="20"/>
      <c r="Q170" s="20"/>
      <c r="R170" s="20"/>
      <c r="S170" s="21"/>
    </row>
    <row r="171" spans="1:19" ht="16.5" customHeight="1" x14ac:dyDescent="0.3">
      <c r="A171" s="316" t="s">
        <v>612</v>
      </c>
      <c r="B171" s="357"/>
      <c r="C171" s="358"/>
      <c r="D171" s="322"/>
      <c r="E171" s="361"/>
      <c r="F171" s="20"/>
      <c r="G171" s="21"/>
      <c r="H171" s="359">
        <v>1.0126582278481013</v>
      </c>
      <c r="I171" s="360">
        <v>639.9</v>
      </c>
      <c r="J171" s="324">
        <v>20</v>
      </c>
      <c r="K171" s="362">
        <v>129.6</v>
      </c>
      <c r="L171" s="136">
        <f t="shared" si="38"/>
        <v>31.22064</v>
      </c>
      <c r="M171" s="138">
        <f t="shared" si="39"/>
        <v>160.82064</v>
      </c>
      <c r="N171" s="19"/>
      <c r="O171" s="20"/>
      <c r="P171" s="20"/>
      <c r="Q171" s="20"/>
      <c r="R171" s="20"/>
      <c r="S171" s="21"/>
    </row>
    <row r="172" spans="1:19" ht="16.5" customHeight="1" x14ac:dyDescent="0.3">
      <c r="A172" s="316" t="s">
        <v>612</v>
      </c>
      <c r="B172" s="357"/>
      <c r="C172" s="358"/>
      <c r="D172" s="322"/>
      <c r="E172" s="361"/>
      <c r="F172" s="20"/>
      <c r="G172" s="21"/>
      <c r="H172" s="359">
        <v>0.84810126582278478</v>
      </c>
      <c r="I172" s="360">
        <v>639.90000000000009</v>
      </c>
      <c r="J172" s="324">
        <v>20</v>
      </c>
      <c r="K172" s="362">
        <v>108.54</v>
      </c>
      <c r="L172" s="136">
        <f t="shared" si="38"/>
        <v>26.147286000000001</v>
      </c>
      <c r="M172" s="138">
        <f t="shared" si="39"/>
        <v>134.687286</v>
      </c>
      <c r="N172" s="19"/>
      <c r="O172" s="20"/>
      <c r="P172" s="20"/>
      <c r="Q172" s="20"/>
      <c r="R172" s="20"/>
      <c r="S172" s="21"/>
    </row>
    <row r="173" spans="1:19" ht="16.5" customHeight="1" x14ac:dyDescent="0.3">
      <c r="A173" s="316" t="s">
        <v>612</v>
      </c>
      <c r="B173" s="357"/>
      <c r="C173" s="358"/>
      <c r="D173" s="322"/>
      <c r="E173" s="361"/>
      <c r="F173" s="20"/>
      <c r="G173" s="21"/>
      <c r="H173" s="359">
        <v>1</v>
      </c>
      <c r="I173" s="360">
        <v>639.9</v>
      </c>
      <c r="J173" s="324">
        <v>20</v>
      </c>
      <c r="K173" s="362">
        <v>127.98</v>
      </c>
      <c r="L173" s="136">
        <f t="shared" si="38"/>
        <v>30.830382</v>
      </c>
      <c r="M173" s="138">
        <f t="shared" si="39"/>
        <v>158.810382</v>
      </c>
      <c r="N173" s="19"/>
      <c r="O173" s="20"/>
      <c r="P173" s="20"/>
      <c r="Q173" s="20"/>
      <c r="R173" s="20"/>
      <c r="S173" s="21"/>
    </row>
    <row r="174" spans="1:19" ht="16.5" customHeight="1" x14ac:dyDescent="0.3">
      <c r="A174" s="316" t="s">
        <v>612</v>
      </c>
      <c r="B174" s="357"/>
      <c r="C174" s="358"/>
      <c r="D174" s="322"/>
      <c r="E174" s="361"/>
      <c r="F174" s="20"/>
      <c r="G174" s="21"/>
      <c r="H174" s="359">
        <v>0.81645569620253167</v>
      </c>
      <c r="I174" s="360">
        <v>639.90000000000009</v>
      </c>
      <c r="J174" s="324">
        <v>20</v>
      </c>
      <c r="K174" s="362">
        <v>104.49</v>
      </c>
      <c r="L174" s="136">
        <f t="shared" si="38"/>
        <v>25.171640999999997</v>
      </c>
      <c r="M174" s="138">
        <f t="shared" si="39"/>
        <v>129.661641</v>
      </c>
      <c r="N174" s="19"/>
      <c r="O174" s="20"/>
      <c r="P174" s="20"/>
      <c r="Q174" s="20"/>
      <c r="R174" s="20"/>
      <c r="S174" s="21"/>
    </row>
    <row r="175" spans="1:19" ht="16.5" customHeight="1" x14ac:dyDescent="0.3">
      <c r="A175" s="316" t="s">
        <v>612</v>
      </c>
      <c r="B175" s="357"/>
      <c r="C175" s="358"/>
      <c r="D175" s="322"/>
      <c r="E175" s="361"/>
      <c r="F175" s="20"/>
      <c r="G175" s="21"/>
      <c r="H175" s="359">
        <v>1</v>
      </c>
      <c r="I175" s="360">
        <v>639.9</v>
      </c>
      <c r="J175" s="324">
        <v>20</v>
      </c>
      <c r="K175" s="362">
        <v>127.98</v>
      </c>
      <c r="L175" s="136">
        <f t="shared" si="38"/>
        <v>30.830382</v>
      </c>
      <c r="M175" s="138">
        <f t="shared" si="39"/>
        <v>158.810382</v>
      </c>
      <c r="N175" s="19"/>
      <c r="O175" s="20"/>
      <c r="P175" s="20"/>
      <c r="Q175" s="20"/>
      <c r="R175" s="20"/>
      <c r="S175" s="21"/>
    </row>
    <row r="176" spans="1:19" ht="16.5" customHeight="1" x14ac:dyDescent="0.3">
      <c r="A176" s="316" t="s">
        <v>612</v>
      </c>
      <c r="B176" s="357"/>
      <c r="C176" s="358"/>
      <c r="D176" s="322"/>
      <c r="E176" s="361"/>
      <c r="F176" s="20"/>
      <c r="G176" s="21"/>
      <c r="H176" s="359">
        <v>9.49367088607595E-2</v>
      </c>
      <c r="I176" s="360">
        <v>639.9</v>
      </c>
      <c r="J176" s="324">
        <v>20</v>
      </c>
      <c r="K176" s="362">
        <v>12.15</v>
      </c>
      <c r="L176" s="136">
        <f t="shared" si="38"/>
        <v>2.9269350000000003</v>
      </c>
      <c r="M176" s="138">
        <f t="shared" si="39"/>
        <v>15.076935000000001</v>
      </c>
      <c r="N176" s="19"/>
      <c r="O176" s="20"/>
      <c r="P176" s="20"/>
      <c r="Q176" s="20"/>
      <c r="R176" s="20"/>
      <c r="S176" s="21"/>
    </row>
    <row r="177" spans="1:19" ht="16.5" customHeight="1" x14ac:dyDescent="0.3">
      <c r="A177" s="316" t="s">
        <v>612</v>
      </c>
      <c r="B177" s="357"/>
      <c r="C177" s="358"/>
      <c r="D177" s="322"/>
      <c r="E177" s="361"/>
      <c r="F177" s="20"/>
      <c r="G177" s="21"/>
      <c r="H177" s="359">
        <v>9.49367088607595E-2</v>
      </c>
      <c r="I177" s="360">
        <v>639.9</v>
      </c>
      <c r="J177" s="324">
        <v>20</v>
      </c>
      <c r="K177" s="362">
        <v>12.15</v>
      </c>
      <c r="L177" s="136">
        <f t="shared" si="38"/>
        <v>2.9269350000000003</v>
      </c>
      <c r="M177" s="138">
        <f t="shared" si="39"/>
        <v>15.076935000000001</v>
      </c>
      <c r="N177" s="19"/>
      <c r="O177" s="20"/>
      <c r="P177" s="20"/>
      <c r="Q177" s="20"/>
      <c r="R177" s="20"/>
      <c r="S177" s="21"/>
    </row>
    <row r="178" spans="1:19" x14ac:dyDescent="0.25">
      <c r="A178" s="314" t="s">
        <v>1</v>
      </c>
      <c r="B178" s="171"/>
      <c r="C178" s="20"/>
      <c r="D178" s="211"/>
      <c r="E178" s="211"/>
      <c r="F178" s="20"/>
      <c r="G178" s="21"/>
      <c r="H178" s="133"/>
      <c r="I178" s="315"/>
      <c r="J178" s="211"/>
      <c r="K178" s="210"/>
      <c r="L178" s="136"/>
      <c r="M178" s="138"/>
      <c r="N178" s="19"/>
      <c r="O178" s="20"/>
      <c r="P178" s="20"/>
      <c r="Q178" s="20"/>
      <c r="R178" s="20"/>
      <c r="S178" s="21"/>
    </row>
    <row r="179" spans="1:19" ht="17.25" thickBot="1" x14ac:dyDescent="0.3">
      <c r="A179" s="314" t="s">
        <v>1</v>
      </c>
      <c r="B179" s="348"/>
      <c r="C179" s="180"/>
      <c r="D179" s="349"/>
      <c r="E179" s="349"/>
      <c r="F179" s="180"/>
      <c r="G179" s="182"/>
      <c r="H179" s="201"/>
      <c r="I179" s="350"/>
      <c r="J179" s="349"/>
      <c r="K179" s="351"/>
      <c r="L179" s="352"/>
      <c r="M179" s="353"/>
      <c r="N179" s="22"/>
      <c r="O179" s="23"/>
      <c r="P179" s="23"/>
      <c r="Q179" s="23"/>
      <c r="R179" s="23"/>
      <c r="S179" s="24"/>
    </row>
    <row r="180" spans="1:19" s="1" customFormat="1" ht="24" customHeight="1" x14ac:dyDescent="0.25">
      <c r="A180" s="309" t="s">
        <v>613</v>
      </c>
      <c r="B180" s="354"/>
      <c r="C180" s="335"/>
      <c r="D180" s="335"/>
      <c r="E180" s="335"/>
      <c r="F180" s="335"/>
      <c r="G180" s="336"/>
      <c r="H180" s="337">
        <v>1</v>
      </c>
      <c r="I180" s="337"/>
      <c r="J180" s="335"/>
      <c r="K180" s="338">
        <f>K181+K184+K187+K190</f>
        <v>180.12</v>
      </c>
      <c r="L180" s="338">
        <f t="shared" ref="L180:M180" si="40">L181+L184+L187+L190</f>
        <v>43.390908000000003</v>
      </c>
      <c r="M180" s="339">
        <f t="shared" si="40"/>
        <v>223.510908</v>
      </c>
      <c r="N180" s="15"/>
      <c r="O180" s="16"/>
      <c r="P180" s="16"/>
      <c r="Q180" s="16"/>
      <c r="R180" s="16"/>
      <c r="S180" s="17"/>
    </row>
    <row r="181" spans="1:19" ht="37.5" customHeight="1" x14ac:dyDescent="0.25">
      <c r="A181" s="314" t="s">
        <v>14</v>
      </c>
      <c r="B181" s="171"/>
      <c r="C181" s="20"/>
      <c r="D181" s="211"/>
      <c r="E181" s="211"/>
      <c r="F181" s="20"/>
      <c r="G181" s="21"/>
      <c r="H181" s="133"/>
      <c r="I181" s="315"/>
      <c r="J181" s="211"/>
      <c r="K181" s="210"/>
      <c r="L181" s="136"/>
      <c r="M181" s="138"/>
      <c r="N181" s="19"/>
      <c r="O181" s="20"/>
      <c r="P181" s="20"/>
      <c r="Q181" s="20"/>
      <c r="R181" s="20"/>
      <c r="S181" s="21"/>
    </row>
    <row r="182" spans="1:19" ht="18.75" customHeight="1" x14ac:dyDescent="0.25">
      <c r="A182" s="314" t="s">
        <v>1</v>
      </c>
      <c r="B182" s="171"/>
      <c r="C182" s="20"/>
      <c r="D182" s="211"/>
      <c r="E182" s="211"/>
      <c r="F182" s="20"/>
      <c r="G182" s="21"/>
      <c r="H182" s="133"/>
      <c r="I182" s="315"/>
      <c r="J182" s="211"/>
      <c r="K182" s="210"/>
      <c r="L182" s="136"/>
      <c r="M182" s="138"/>
      <c r="N182" s="19"/>
      <c r="O182" s="20"/>
      <c r="P182" s="20"/>
      <c r="Q182" s="20"/>
      <c r="R182" s="20"/>
      <c r="S182" s="21"/>
    </row>
    <row r="183" spans="1:19" ht="19.5" customHeight="1" x14ac:dyDescent="0.25">
      <c r="A183" s="314" t="s">
        <v>1</v>
      </c>
      <c r="B183" s="171"/>
      <c r="C183" s="20"/>
      <c r="D183" s="211"/>
      <c r="E183" s="211"/>
      <c r="F183" s="20"/>
      <c r="G183" s="21"/>
      <c r="H183" s="133"/>
      <c r="I183" s="315"/>
      <c r="J183" s="211"/>
      <c r="K183" s="210"/>
      <c r="L183" s="136"/>
      <c r="M183" s="138"/>
      <c r="N183" s="19"/>
      <c r="O183" s="20"/>
      <c r="P183" s="20"/>
      <c r="Q183" s="20"/>
      <c r="R183" s="20"/>
      <c r="S183" s="21"/>
    </row>
    <row r="184" spans="1:19" ht="49.5" customHeight="1" x14ac:dyDescent="0.25">
      <c r="A184" s="314" t="s">
        <v>12</v>
      </c>
      <c r="B184" s="346"/>
      <c r="C184" s="325"/>
      <c r="D184" s="325"/>
      <c r="E184" s="325"/>
      <c r="F184" s="325"/>
      <c r="G184" s="326"/>
      <c r="H184" s="356">
        <v>1</v>
      </c>
      <c r="I184" s="340"/>
      <c r="J184" s="325"/>
      <c r="K184" s="327">
        <f>SUM(K185:K186)</f>
        <v>180.12</v>
      </c>
      <c r="L184" s="327">
        <f t="shared" ref="L184:M184" si="41">SUM(L185:L186)</f>
        <v>43.390908000000003</v>
      </c>
      <c r="M184" s="328">
        <f t="shared" si="41"/>
        <v>223.510908</v>
      </c>
      <c r="N184" s="19"/>
      <c r="O184" s="20"/>
      <c r="P184" s="20"/>
      <c r="Q184" s="20"/>
      <c r="R184" s="20"/>
      <c r="S184" s="21"/>
    </row>
    <row r="185" spans="1:19" ht="17.25" x14ac:dyDescent="0.3">
      <c r="A185" s="316" t="s">
        <v>181</v>
      </c>
      <c r="B185" s="357"/>
      <c r="C185" s="358"/>
      <c r="D185" s="322"/>
      <c r="E185" s="361"/>
      <c r="F185" s="20"/>
      <c r="G185" s="21"/>
      <c r="H185" s="359">
        <v>0.66455696202531644</v>
      </c>
      <c r="I185" s="360">
        <v>900.6</v>
      </c>
      <c r="J185" s="324">
        <v>20</v>
      </c>
      <c r="K185" s="362">
        <v>119.7</v>
      </c>
      <c r="L185" s="136">
        <f t="shared" ref="L185:L186" si="42">K185*0.2409</f>
        <v>28.835730000000002</v>
      </c>
      <c r="M185" s="138">
        <f t="shared" ref="M185:M186" si="43">K185+L185</f>
        <v>148.53573</v>
      </c>
      <c r="N185" s="19"/>
      <c r="O185" s="20"/>
      <c r="P185" s="20"/>
      <c r="Q185" s="20"/>
      <c r="R185" s="20"/>
      <c r="S185" s="21"/>
    </row>
    <row r="186" spans="1:19" ht="17.25" x14ac:dyDescent="0.3">
      <c r="A186" s="316" t="s">
        <v>181</v>
      </c>
      <c r="B186" s="357"/>
      <c r="C186" s="358"/>
      <c r="D186" s="322"/>
      <c r="E186" s="361"/>
      <c r="F186" s="20"/>
      <c r="G186" s="21"/>
      <c r="H186" s="359">
        <v>0.33544303797468356</v>
      </c>
      <c r="I186" s="360">
        <v>900.6</v>
      </c>
      <c r="J186" s="324">
        <v>20</v>
      </c>
      <c r="K186" s="362">
        <v>60.42</v>
      </c>
      <c r="L186" s="136">
        <f t="shared" si="42"/>
        <v>14.555178</v>
      </c>
      <c r="M186" s="138">
        <f t="shared" si="43"/>
        <v>74.975178</v>
      </c>
      <c r="N186" s="19"/>
      <c r="O186" s="20"/>
      <c r="P186" s="20"/>
      <c r="Q186" s="20"/>
      <c r="R186" s="20"/>
      <c r="S186" s="21"/>
    </row>
    <row r="187" spans="1:19" ht="64.5" customHeight="1" x14ac:dyDescent="0.25">
      <c r="A187" s="314" t="s">
        <v>13</v>
      </c>
      <c r="B187" s="171"/>
      <c r="C187" s="20"/>
      <c r="D187" s="211"/>
      <c r="E187" s="211"/>
      <c r="F187" s="20"/>
      <c r="G187" s="21"/>
      <c r="H187" s="133"/>
      <c r="I187" s="315"/>
      <c r="J187" s="211"/>
      <c r="K187" s="210"/>
      <c r="L187" s="136"/>
      <c r="M187" s="138"/>
      <c r="N187" s="19"/>
      <c r="O187" s="20"/>
      <c r="P187" s="20"/>
      <c r="Q187" s="20"/>
      <c r="R187" s="20"/>
      <c r="S187" s="21"/>
    </row>
    <row r="188" spans="1:19" x14ac:dyDescent="0.25">
      <c r="A188" s="314" t="s">
        <v>1</v>
      </c>
      <c r="B188" s="171"/>
      <c r="C188" s="20"/>
      <c r="D188" s="211"/>
      <c r="E188" s="211"/>
      <c r="F188" s="20"/>
      <c r="G188" s="21"/>
      <c r="H188" s="133"/>
      <c r="I188" s="315"/>
      <c r="J188" s="211"/>
      <c r="K188" s="210"/>
      <c r="L188" s="136"/>
      <c r="M188" s="138"/>
      <c r="N188" s="19"/>
      <c r="O188" s="20"/>
      <c r="P188" s="20"/>
      <c r="Q188" s="20"/>
      <c r="R188" s="20"/>
      <c r="S188" s="21"/>
    </row>
    <row r="189" spans="1:19" x14ac:dyDescent="0.25">
      <c r="A189" s="314" t="s">
        <v>1</v>
      </c>
      <c r="B189" s="171"/>
      <c r="C189" s="20"/>
      <c r="D189" s="211"/>
      <c r="E189" s="211"/>
      <c r="F189" s="20"/>
      <c r="G189" s="21"/>
      <c r="H189" s="133"/>
      <c r="I189" s="315"/>
      <c r="J189" s="211"/>
      <c r="K189" s="210"/>
      <c r="L189" s="136"/>
      <c r="M189" s="138"/>
      <c r="N189" s="19"/>
      <c r="O189" s="20"/>
      <c r="P189" s="20"/>
      <c r="Q189" s="20"/>
      <c r="R189" s="20"/>
      <c r="S189" s="21"/>
    </row>
    <row r="190" spans="1:19" ht="37.5" customHeight="1" x14ac:dyDescent="0.25">
      <c r="A190" s="314" t="s">
        <v>11</v>
      </c>
      <c r="B190" s="171"/>
      <c r="C190" s="20"/>
      <c r="D190" s="211"/>
      <c r="E190" s="211"/>
      <c r="F190" s="20"/>
      <c r="G190" s="21"/>
      <c r="H190" s="133"/>
      <c r="I190" s="315"/>
      <c r="J190" s="211"/>
      <c r="K190" s="210"/>
      <c r="L190" s="136"/>
      <c r="M190" s="138"/>
      <c r="N190" s="19"/>
      <c r="O190" s="20"/>
      <c r="P190" s="20"/>
      <c r="Q190" s="20"/>
      <c r="R190" s="20"/>
      <c r="S190" s="21"/>
    </row>
    <row r="191" spans="1:19" x14ac:dyDescent="0.25">
      <c r="A191" s="314" t="s">
        <v>1</v>
      </c>
      <c r="B191" s="171"/>
      <c r="C191" s="20"/>
      <c r="D191" s="211"/>
      <c r="E191" s="211"/>
      <c r="F191" s="20"/>
      <c r="G191" s="21"/>
      <c r="H191" s="133"/>
      <c r="I191" s="315"/>
      <c r="J191" s="211"/>
      <c r="K191" s="210"/>
      <c r="L191" s="136"/>
      <c r="M191" s="138"/>
      <c r="N191" s="19"/>
      <c r="O191" s="20"/>
      <c r="P191" s="20"/>
      <c r="Q191" s="20"/>
      <c r="R191" s="20"/>
      <c r="S191" s="21"/>
    </row>
    <row r="192" spans="1:19" ht="17.25" thickBot="1" x14ac:dyDescent="0.3">
      <c r="A192" s="314" t="s">
        <v>1</v>
      </c>
      <c r="B192" s="348"/>
      <c r="C192" s="180"/>
      <c r="D192" s="349"/>
      <c r="E192" s="349"/>
      <c r="F192" s="180"/>
      <c r="G192" s="182"/>
      <c r="H192" s="201"/>
      <c r="I192" s="350"/>
      <c r="J192" s="349"/>
      <c r="K192" s="351"/>
      <c r="L192" s="352"/>
      <c r="M192" s="353"/>
      <c r="N192" s="22"/>
      <c r="O192" s="23"/>
      <c r="P192" s="23"/>
      <c r="Q192" s="23"/>
      <c r="R192" s="23"/>
      <c r="S192" s="24"/>
    </row>
    <row r="193" spans="1:19" s="1" customFormat="1" ht="24" customHeight="1" x14ac:dyDescent="0.25">
      <c r="A193" s="309" t="s">
        <v>387</v>
      </c>
      <c r="B193" s="354"/>
      <c r="C193" s="335"/>
      <c r="D193" s="335"/>
      <c r="E193" s="335"/>
      <c r="F193" s="335"/>
      <c r="G193" s="336"/>
      <c r="H193" s="355">
        <v>1.7468354430379747</v>
      </c>
      <c r="I193" s="337"/>
      <c r="J193" s="335"/>
      <c r="K193" s="338">
        <f>K194+K197+K200+K203</f>
        <v>641.65</v>
      </c>
      <c r="L193" s="338">
        <f t="shared" ref="L193:M193" si="44">L194+L197+L200+L203</f>
        <v>154.57348500000001</v>
      </c>
      <c r="M193" s="339">
        <f t="shared" si="44"/>
        <v>796.22348499999998</v>
      </c>
      <c r="N193" s="15"/>
      <c r="O193" s="16"/>
      <c r="P193" s="16"/>
      <c r="Q193" s="16"/>
      <c r="R193" s="16"/>
      <c r="S193" s="17"/>
    </row>
    <row r="194" spans="1:19" ht="37.5" customHeight="1" x14ac:dyDescent="0.25">
      <c r="A194" s="314" t="s">
        <v>14</v>
      </c>
      <c r="B194" s="171"/>
      <c r="C194" s="20"/>
      <c r="D194" s="211"/>
      <c r="E194" s="211"/>
      <c r="F194" s="20"/>
      <c r="G194" s="21"/>
      <c r="H194" s="340">
        <v>1</v>
      </c>
      <c r="I194" s="340"/>
      <c r="J194" s="325"/>
      <c r="K194" s="327">
        <f>SUM(K195:K196)</f>
        <v>440</v>
      </c>
      <c r="L194" s="327">
        <f t="shared" ref="L194:M194" si="45">SUM(L195:L196)</f>
        <v>105.996</v>
      </c>
      <c r="M194" s="328">
        <f t="shared" si="45"/>
        <v>545.99599999999998</v>
      </c>
      <c r="N194" s="19"/>
      <c r="O194" s="20"/>
      <c r="P194" s="20"/>
      <c r="Q194" s="20"/>
      <c r="R194" s="20"/>
      <c r="S194" s="21"/>
    </row>
    <row r="195" spans="1:19" ht="18.75" customHeight="1" x14ac:dyDescent="0.3">
      <c r="A195" s="316" t="s">
        <v>388</v>
      </c>
      <c r="B195" s="357"/>
      <c r="C195" s="358"/>
      <c r="D195" s="322"/>
      <c r="E195" s="361"/>
      <c r="F195" s="20"/>
      <c r="G195" s="21"/>
      <c r="H195" s="363">
        <v>1</v>
      </c>
      <c r="I195" s="360">
        <v>2200</v>
      </c>
      <c r="J195" s="324">
        <v>20</v>
      </c>
      <c r="K195" s="362">
        <v>440</v>
      </c>
      <c r="L195" s="136">
        <f t="shared" ref="L195" si="46">K195*0.2409</f>
        <v>105.996</v>
      </c>
      <c r="M195" s="138">
        <f t="shared" ref="M195" si="47">K195+L195</f>
        <v>545.99599999999998</v>
      </c>
      <c r="N195" s="19"/>
      <c r="O195" s="20"/>
      <c r="P195" s="20"/>
      <c r="Q195" s="20"/>
      <c r="R195" s="20"/>
      <c r="S195" s="21"/>
    </row>
    <row r="196" spans="1:19" ht="19.5" customHeight="1" x14ac:dyDescent="0.25">
      <c r="A196" s="314" t="s">
        <v>1</v>
      </c>
      <c r="B196" s="171"/>
      <c r="C196" s="20"/>
      <c r="D196" s="211"/>
      <c r="E196" s="211"/>
      <c r="F196" s="20"/>
      <c r="G196" s="21"/>
      <c r="H196" s="133"/>
      <c r="I196" s="315"/>
      <c r="J196" s="211"/>
      <c r="K196" s="210"/>
      <c r="L196" s="136"/>
      <c r="M196" s="138"/>
      <c r="N196" s="19"/>
      <c r="O196" s="20"/>
      <c r="P196" s="20"/>
      <c r="Q196" s="20"/>
      <c r="R196" s="20"/>
      <c r="S196" s="21"/>
    </row>
    <row r="197" spans="1:19" ht="49.5" customHeight="1" x14ac:dyDescent="0.25">
      <c r="A197" s="314" t="s">
        <v>12</v>
      </c>
      <c r="B197" s="171"/>
      <c r="C197" s="20"/>
      <c r="D197" s="211"/>
      <c r="E197" s="211"/>
      <c r="F197" s="20"/>
      <c r="G197" s="21"/>
      <c r="H197" s="133"/>
      <c r="I197" s="315"/>
      <c r="J197" s="211"/>
      <c r="K197" s="210"/>
      <c r="L197" s="136"/>
      <c r="M197" s="138"/>
      <c r="N197" s="19"/>
      <c r="O197" s="20"/>
      <c r="P197" s="20"/>
      <c r="Q197" s="20"/>
      <c r="R197" s="20"/>
      <c r="S197" s="21"/>
    </row>
    <row r="198" spans="1:19" x14ac:dyDescent="0.25">
      <c r="A198" s="314" t="s">
        <v>1</v>
      </c>
      <c r="B198" s="171"/>
      <c r="C198" s="20"/>
      <c r="D198" s="211"/>
      <c r="E198" s="211"/>
      <c r="F198" s="20"/>
      <c r="G198" s="21"/>
      <c r="H198" s="133"/>
      <c r="I198" s="315"/>
      <c r="J198" s="211"/>
      <c r="K198" s="210"/>
      <c r="L198" s="136"/>
      <c r="M198" s="138"/>
      <c r="N198" s="19"/>
      <c r="O198" s="20"/>
      <c r="P198" s="20"/>
      <c r="Q198" s="20"/>
      <c r="R198" s="20"/>
      <c r="S198" s="21"/>
    </row>
    <row r="199" spans="1:19" x14ac:dyDescent="0.25">
      <c r="A199" s="314" t="s">
        <v>1</v>
      </c>
      <c r="B199" s="171"/>
      <c r="C199" s="20"/>
      <c r="D199" s="211"/>
      <c r="E199" s="211"/>
      <c r="F199" s="20"/>
      <c r="G199" s="21"/>
      <c r="H199" s="133"/>
      <c r="I199" s="315"/>
      <c r="J199" s="211"/>
      <c r="K199" s="210"/>
      <c r="L199" s="136"/>
      <c r="M199" s="138"/>
      <c r="N199" s="19"/>
      <c r="O199" s="20"/>
      <c r="P199" s="20"/>
      <c r="Q199" s="20"/>
      <c r="R199" s="20"/>
      <c r="S199" s="21"/>
    </row>
    <row r="200" spans="1:19" ht="64.5" customHeight="1" x14ac:dyDescent="0.25">
      <c r="A200" s="314" t="s">
        <v>13</v>
      </c>
      <c r="B200" s="171"/>
      <c r="C200" s="20"/>
      <c r="D200" s="211"/>
      <c r="E200" s="211"/>
      <c r="F200" s="20"/>
      <c r="G200" s="21"/>
      <c r="H200" s="133"/>
      <c r="I200" s="315"/>
      <c r="J200" s="211"/>
      <c r="K200" s="210"/>
      <c r="L200" s="136"/>
      <c r="M200" s="138"/>
      <c r="N200" s="19"/>
      <c r="O200" s="20"/>
      <c r="P200" s="20"/>
      <c r="Q200" s="20"/>
      <c r="R200" s="20"/>
      <c r="S200" s="21"/>
    </row>
    <row r="201" spans="1:19" x14ac:dyDescent="0.25">
      <c r="A201" s="314" t="s">
        <v>1</v>
      </c>
      <c r="B201" s="171"/>
      <c r="C201" s="20"/>
      <c r="D201" s="211"/>
      <c r="E201" s="211"/>
      <c r="F201" s="20"/>
      <c r="G201" s="21"/>
      <c r="H201" s="133"/>
      <c r="I201" s="315"/>
      <c r="J201" s="211"/>
      <c r="K201" s="210"/>
      <c r="L201" s="136"/>
      <c r="M201" s="138"/>
      <c r="N201" s="19"/>
      <c r="O201" s="20"/>
      <c r="P201" s="20"/>
      <c r="Q201" s="20"/>
      <c r="R201" s="20"/>
      <c r="S201" s="21"/>
    </row>
    <row r="202" spans="1:19" x14ac:dyDescent="0.25">
      <c r="A202" s="314" t="s">
        <v>1</v>
      </c>
      <c r="B202" s="171"/>
      <c r="C202" s="20"/>
      <c r="D202" s="211"/>
      <c r="E202" s="211"/>
      <c r="F202" s="20"/>
      <c r="G202" s="21"/>
      <c r="H202" s="133"/>
      <c r="I202" s="315"/>
      <c r="J202" s="211"/>
      <c r="K202" s="210"/>
      <c r="L202" s="136"/>
      <c r="M202" s="138"/>
      <c r="N202" s="19"/>
      <c r="O202" s="20"/>
      <c r="P202" s="20"/>
      <c r="Q202" s="20"/>
      <c r="R202" s="20"/>
      <c r="S202" s="21"/>
    </row>
    <row r="203" spans="1:19" ht="37.5" customHeight="1" x14ac:dyDescent="0.25">
      <c r="A203" s="314" t="s">
        <v>11</v>
      </c>
      <c r="B203" s="346"/>
      <c r="C203" s="325"/>
      <c r="D203" s="325"/>
      <c r="E203" s="325"/>
      <c r="F203" s="325"/>
      <c r="G203" s="326"/>
      <c r="H203" s="356">
        <v>0.74683544303797467</v>
      </c>
      <c r="I203" s="340"/>
      <c r="J203" s="325"/>
      <c r="K203" s="327">
        <f>SUM(K204:K204)</f>
        <v>201.65</v>
      </c>
      <c r="L203" s="327">
        <f>SUM(L204:L204)</f>
        <v>48.577485000000003</v>
      </c>
      <c r="M203" s="328">
        <f>SUM(M204:M204)</f>
        <v>250.227485</v>
      </c>
      <c r="N203" s="19"/>
      <c r="O203" s="20"/>
      <c r="P203" s="20"/>
      <c r="Q203" s="20"/>
      <c r="R203" s="20"/>
      <c r="S203" s="21"/>
    </row>
    <row r="204" spans="1:19" ht="18" thickBot="1" x14ac:dyDescent="0.35">
      <c r="A204" s="316" t="s">
        <v>614</v>
      </c>
      <c r="B204" s="364"/>
      <c r="C204" s="365"/>
      <c r="D204" s="366"/>
      <c r="E204" s="367"/>
      <c r="F204" s="180"/>
      <c r="G204" s="182"/>
      <c r="H204" s="368">
        <v>0.74683544303797467</v>
      </c>
      <c r="I204" s="369">
        <v>1350.0028813559322</v>
      </c>
      <c r="J204" s="324">
        <v>20</v>
      </c>
      <c r="K204" s="370">
        <v>201.65</v>
      </c>
      <c r="L204" s="136">
        <f t="shared" ref="L204" si="48">K204*0.2409</f>
        <v>48.577485000000003</v>
      </c>
      <c r="M204" s="138">
        <f t="shared" ref="M204" si="49">K204+L204</f>
        <v>250.227485</v>
      </c>
      <c r="N204" s="22"/>
      <c r="O204" s="23"/>
      <c r="P204" s="23"/>
      <c r="Q204" s="23"/>
      <c r="R204" s="23"/>
      <c r="S204" s="24"/>
    </row>
    <row r="205" spans="1:19" s="1" customFormat="1" ht="24" customHeight="1" x14ac:dyDescent="0.25">
      <c r="A205" s="309" t="s">
        <v>615</v>
      </c>
      <c r="B205" s="354"/>
      <c r="C205" s="335"/>
      <c r="D205" s="335"/>
      <c r="E205" s="335"/>
      <c r="F205" s="335"/>
      <c r="G205" s="336"/>
      <c r="H205" s="355">
        <f>H206+H219+H245+H261</f>
        <v>33.018987341772153</v>
      </c>
      <c r="I205" s="337"/>
      <c r="J205" s="335"/>
      <c r="K205" s="338">
        <f>K206+K219+K245+K261</f>
        <v>5637.1240000000007</v>
      </c>
      <c r="L205" s="338">
        <f>L206+L219+L245+L261</f>
        <v>1357.9831715999999</v>
      </c>
      <c r="M205" s="339">
        <f>M206+M219+M245+M261</f>
        <v>6995.1071716000006</v>
      </c>
      <c r="N205" s="15"/>
      <c r="O205" s="16"/>
      <c r="P205" s="16"/>
      <c r="Q205" s="16"/>
      <c r="R205" s="16"/>
      <c r="S205" s="17"/>
    </row>
    <row r="206" spans="1:19" ht="37.5" customHeight="1" x14ac:dyDescent="0.25">
      <c r="A206" s="314" t="s">
        <v>14</v>
      </c>
      <c r="B206" s="346"/>
      <c r="C206" s="325"/>
      <c r="D206" s="325"/>
      <c r="E206" s="325"/>
      <c r="F206" s="325"/>
      <c r="G206" s="326"/>
      <c r="H206" s="356">
        <f>SUM(H207:H218)</f>
        <v>5.1772151898734178</v>
      </c>
      <c r="I206" s="340"/>
      <c r="J206" s="325"/>
      <c r="K206" s="327">
        <f>SUM(K207:K218)</f>
        <v>1441.1440000000002</v>
      </c>
      <c r="L206" s="327">
        <f t="shared" ref="L206:M206" si="50">SUM(L207:L218)</f>
        <v>347.1715896</v>
      </c>
      <c r="M206" s="328">
        <f t="shared" si="50"/>
        <v>1788.3155896000001</v>
      </c>
      <c r="N206" s="19"/>
      <c r="O206" s="20"/>
      <c r="P206" s="20"/>
      <c r="Q206" s="20"/>
      <c r="R206" s="20"/>
      <c r="S206" s="21"/>
    </row>
    <row r="207" spans="1:19" ht="15.75" customHeight="1" x14ac:dyDescent="0.3">
      <c r="A207" s="316" t="s">
        <v>95</v>
      </c>
      <c r="B207" s="357"/>
      <c r="C207" s="358"/>
      <c r="D207" s="322"/>
      <c r="E207" s="371"/>
      <c r="F207" s="20"/>
      <c r="G207" s="21"/>
      <c r="H207" s="359">
        <v>0.17721518987341772</v>
      </c>
      <c r="I207" s="360">
        <v>1232.4000000000001</v>
      </c>
      <c r="J207" s="324">
        <v>20</v>
      </c>
      <c r="K207" s="372">
        <v>43.680000000000007</v>
      </c>
      <c r="L207" s="136">
        <f t="shared" ref="L207:L216" si="51">K207*0.2409</f>
        <v>10.522512000000003</v>
      </c>
      <c r="M207" s="138">
        <f t="shared" ref="M207:M216" si="52">K207+L207</f>
        <v>54.202512000000013</v>
      </c>
      <c r="N207" s="19"/>
      <c r="O207" s="20"/>
      <c r="P207" s="20"/>
      <c r="Q207" s="20"/>
      <c r="R207" s="20"/>
      <c r="S207" s="21"/>
    </row>
    <row r="208" spans="1:19" ht="15.75" customHeight="1" x14ac:dyDescent="0.3">
      <c r="A208" s="316" t="s">
        <v>95</v>
      </c>
      <c r="B208" s="357"/>
      <c r="C208" s="358"/>
      <c r="D208" s="322"/>
      <c r="E208" s="371"/>
      <c r="F208" s="20"/>
      <c r="G208" s="21"/>
      <c r="H208" s="359">
        <v>0.29113924050632911</v>
      </c>
      <c r="I208" s="360">
        <v>1232.4000000000001</v>
      </c>
      <c r="J208" s="324">
        <v>20</v>
      </c>
      <c r="K208" s="372">
        <v>71.760000000000005</v>
      </c>
      <c r="L208" s="136">
        <f t="shared" si="51"/>
        <v>17.286984</v>
      </c>
      <c r="M208" s="138">
        <f t="shared" si="52"/>
        <v>89.046984000000009</v>
      </c>
      <c r="N208" s="19"/>
      <c r="O208" s="20"/>
      <c r="P208" s="20"/>
      <c r="Q208" s="20"/>
      <c r="R208" s="20"/>
      <c r="S208" s="21"/>
    </row>
    <row r="209" spans="1:19" ht="15.75" customHeight="1" x14ac:dyDescent="0.3">
      <c r="A209" s="316" t="s">
        <v>616</v>
      </c>
      <c r="B209" s="357"/>
      <c r="C209" s="358"/>
      <c r="D209" s="322"/>
      <c r="E209" s="371"/>
      <c r="F209" s="20"/>
      <c r="G209" s="21"/>
      <c r="H209" s="359">
        <v>0.45569620253164556</v>
      </c>
      <c r="I209" s="360">
        <v>1232.4000000000001</v>
      </c>
      <c r="J209" s="324">
        <v>20</v>
      </c>
      <c r="K209" s="372">
        <v>112.32000000000001</v>
      </c>
      <c r="L209" s="136">
        <f t="shared" si="51"/>
        <v>27.057888000000002</v>
      </c>
      <c r="M209" s="138">
        <f t="shared" si="52"/>
        <v>139.37788800000001</v>
      </c>
      <c r="N209" s="19"/>
      <c r="O209" s="20"/>
      <c r="P209" s="20"/>
      <c r="Q209" s="20"/>
      <c r="R209" s="20"/>
      <c r="S209" s="21"/>
    </row>
    <row r="210" spans="1:19" ht="15.75" customHeight="1" x14ac:dyDescent="0.3">
      <c r="A210" s="316" t="s">
        <v>616</v>
      </c>
      <c r="B210" s="357"/>
      <c r="C210" s="358"/>
      <c r="D210" s="322"/>
      <c r="E210" s="371"/>
      <c r="F210" s="20"/>
      <c r="G210" s="21"/>
      <c r="H210" s="359">
        <v>0.43037974683544306</v>
      </c>
      <c r="I210" s="360">
        <v>1350.8999999999999</v>
      </c>
      <c r="J210" s="324">
        <v>20</v>
      </c>
      <c r="K210" s="372">
        <v>116.28</v>
      </c>
      <c r="L210" s="136">
        <f t="shared" si="51"/>
        <v>28.011852000000001</v>
      </c>
      <c r="M210" s="138">
        <f t="shared" si="52"/>
        <v>144.29185200000001</v>
      </c>
      <c r="N210" s="19"/>
      <c r="O210" s="20"/>
      <c r="P210" s="20"/>
      <c r="Q210" s="20"/>
      <c r="R210" s="20"/>
      <c r="S210" s="21"/>
    </row>
    <row r="211" spans="1:19" ht="15.75" customHeight="1" x14ac:dyDescent="0.3">
      <c r="A211" s="316" t="s">
        <v>616</v>
      </c>
      <c r="B211" s="357"/>
      <c r="C211" s="358"/>
      <c r="D211" s="322"/>
      <c r="E211" s="371"/>
      <c r="F211" s="20"/>
      <c r="G211" s="21"/>
      <c r="H211" s="359">
        <v>0.810126582278481</v>
      </c>
      <c r="I211" s="360">
        <v>1350.9</v>
      </c>
      <c r="J211" s="324">
        <v>20</v>
      </c>
      <c r="K211" s="372">
        <v>218.88000000000002</v>
      </c>
      <c r="L211" s="136">
        <f t="shared" si="51"/>
        <v>52.728192000000007</v>
      </c>
      <c r="M211" s="138">
        <f t="shared" si="52"/>
        <v>271.60819200000003</v>
      </c>
      <c r="N211" s="19"/>
      <c r="O211" s="20"/>
      <c r="P211" s="20"/>
      <c r="Q211" s="20"/>
      <c r="R211" s="20"/>
      <c r="S211" s="21"/>
    </row>
    <row r="212" spans="1:19" ht="15.75" customHeight="1" x14ac:dyDescent="0.3">
      <c r="A212" s="316" t="s">
        <v>616</v>
      </c>
      <c r="B212" s="357"/>
      <c r="C212" s="358"/>
      <c r="D212" s="322"/>
      <c r="E212" s="371"/>
      <c r="F212" s="20"/>
      <c r="G212" s="21"/>
      <c r="H212" s="359">
        <v>0.73417721518987344</v>
      </c>
      <c r="I212" s="360">
        <v>1350.8999999999999</v>
      </c>
      <c r="J212" s="324">
        <v>20</v>
      </c>
      <c r="K212" s="372">
        <v>198.35999999999999</v>
      </c>
      <c r="L212" s="136">
        <f t="shared" si="51"/>
        <v>47.784923999999997</v>
      </c>
      <c r="M212" s="138">
        <f t="shared" si="52"/>
        <v>246.14492399999997</v>
      </c>
      <c r="N212" s="19"/>
      <c r="O212" s="20"/>
      <c r="P212" s="20"/>
      <c r="Q212" s="20"/>
      <c r="R212" s="20"/>
      <c r="S212" s="21"/>
    </row>
    <row r="213" spans="1:19" ht="15.75" customHeight="1" x14ac:dyDescent="0.3">
      <c r="A213" s="316" t="s">
        <v>616</v>
      </c>
      <c r="B213" s="357"/>
      <c r="C213" s="358"/>
      <c r="D213" s="322"/>
      <c r="E213" s="371"/>
      <c r="F213" s="20"/>
      <c r="G213" s="21"/>
      <c r="H213" s="359">
        <v>0.17721518987341772</v>
      </c>
      <c r="I213" s="360">
        <v>1350.9</v>
      </c>
      <c r="J213" s="324">
        <v>20</v>
      </c>
      <c r="K213" s="372">
        <v>47.88</v>
      </c>
      <c r="L213" s="136">
        <f t="shared" si="51"/>
        <v>11.534292000000001</v>
      </c>
      <c r="M213" s="138">
        <f t="shared" si="52"/>
        <v>59.414292000000003</v>
      </c>
      <c r="N213" s="19"/>
      <c r="O213" s="20"/>
      <c r="P213" s="20"/>
      <c r="Q213" s="20"/>
      <c r="R213" s="20"/>
      <c r="S213" s="21"/>
    </row>
    <row r="214" spans="1:19" ht="15.75" customHeight="1" x14ac:dyDescent="0.3">
      <c r="A214" s="316" t="s">
        <v>616</v>
      </c>
      <c r="B214" s="357"/>
      <c r="C214" s="358"/>
      <c r="D214" s="322"/>
      <c r="E214" s="371"/>
      <c r="F214" s="20"/>
      <c r="G214" s="21"/>
      <c r="H214" s="359">
        <v>0.56329113924050633</v>
      </c>
      <c r="I214" s="360">
        <v>1350.9</v>
      </c>
      <c r="J214" s="324">
        <v>20</v>
      </c>
      <c r="K214" s="372">
        <v>152.19200000000001</v>
      </c>
      <c r="L214" s="136">
        <f t="shared" si="51"/>
        <v>36.663052800000003</v>
      </c>
      <c r="M214" s="138">
        <f t="shared" si="52"/>
        <v>188.85505280000001</v>
      </c>
      <c r="N214" s="19"/>
      <c r="O214" s="20"/>
      <c r="P214" s="20"/>
      <c r="Q214" s="20"/>
      <c r="R214" s="20"/>
      <c r="S214" s="21"/>
    </row>
    <row r="215" spans="1:19" ht="15.75" customHeight="1" x14ac:dyDescent="0.3">
      <c r="A215" s="316" t="s">
        <v>616</v>
      </c>
      <c r="B215" s="357"/>
      <c r="C215" s="358"/>
      <c r="D215" s="322"/>
      <c r="E215" s="371"/>
      <c r="F215" s="20"/>
      <c r="G215" s="21"/>
      <c r="H215" s="359">
        <v>0.569620253164557</v>
      </c>
      <c r="I215" s="360">
        <v>1350.9</v>
      </c>
      <c r="J215" s="324">
        <v>20</v>
      </c>
      <c r="K215" s="372">
        <v>153.9</v>
      </c>
      <c r="L215" s="136">
        <f t="shared" si="51"/>
        <v>37.074510000000004</v>
      </c>
      <c r="M215" s="138">
        <f t="shared" si="52"/>
        <v>190.97451000000001</v>
      </c>
      <c r="N215" s="19"/>
      <c r="O215" s="20"/>
      <c r="P215" s="20"/>
      <c r="Q215" s="20"/>
      <c r="R215" s="20"/>
      <c r="S215" s="21"/>
    </row>
    <row r="216" spans="1:19" ht="15.75" customHeight="1" x14ac:dyDescent="0.3">
      <c r="A216" s="316" t="s">
        <v>617</v>
      </c>
      <c r="B216" s="357"/>
      <c r="C216" s="358"/>
      <c r="D216" s="322"/>
      <c r="E216" s="371"/>
      <c r="F216" s="20"/>
      <c r="G216" s="21"/>
      <c r="H216" s="359">
        <v>0.96835443037974689</v>
      </c>
      <c r="I216" s="360">
        <v>1682.7</v>
      </c>
      <c r="J216" s="324">
        <v>20</v>
      </c>
      <c r="K216" s="372">
        <v>325.892</v>
      </c>
      <c r="L216" s="136">
        <f t="shared" si="51"/>
        <v>78.507382800000002</v>
      </c>
      <c r="M216" s="138">
        <f t="shared" si="52"/>
        <v>404.39938280000001</v>
      </c>
      <c r="N216" s="19"/>
      <c r="O216" s="20"/>
      <c r="P216" s="20"/>
      <c r="Q216" s="20"/>
      <c r="R216" s="20"/>
      <c r="S216" s="21"/>
    </row>
    <row r="217" spans="1:19" ht="18.75" customHeight="1" x14ac:dyDescent="0.25">
      <c r="A217" s="314" t="s">
        <v>1</v>
      </c>
      <c r="B217" s="171"/>
      <c r="C217" s="20"/>
      <c r="D217" s="211"/>
      <c r="E217" s="211"/>
      <c r="F217" s="20"/>
      <c r="G217" s="21"/>
      <c r="H217" s="133"/>
      <c r="I217" s="315"/>
      <c r="J217" s="211"/>
      <c r="K217" s="210"/>
      <c r="L217" s="136"/>
      <c r="M217" s="138"/>
      <c r="N217" s="19"/>
      <c r="O217" s="20"/>
      <c r="P217" s="20"/>
      <c r="Q217" s="20"/>
      <c r="R217" s="20"/>
      <c r="S217" s="21"/>
    </row>
    <row r="218" spans="1:19" ht="19.5" customHeight="1" x14ac:dyDescent="0.25">
      <c r="A218" s="314" t="s">
        <v>1</v>
      </c>
      <c r="B218" s="171"/>
      <c r="C218" s="20"/>
      <c r="D218" s="211"/>
      <c r="E218" s="211"/>
      <c r="F218" s="20"/>
      <c r="G218" s="21"/>
      <c r="H218" s="133"/>
      <c r="I218" s="315"/>
      <c r="J218" s="211"/>
      <c r="K218" s="210"/>
      <c r="L218" s="136"/>
      <c r="M218" s="138"/>
      <c r="N218" s="19"/>
      <c r="O218" s="20"/>
      <c r="P218" s="20"/>
      <c r="Q218" s="20"/>
      <c r="R218" s="20"/>
      <c r="S218" s="21"/>
    </row>
    <row r="219" spans="1:19" ht="49.5" customHeight="1" x14ac:dyDescent="0.25">
      <c r="A219" s="314" t="s">
        <v>12</v>
      </c>
      <c r="B219" s="346"/>
      <c r="C219" s="325"/>
      <c r="D219" s="325"/>
      <c r="E219" s="325"/>
      <c r="F219" s="325"/>
      <c r="G219" s="326"/>
      <c r="H219" s="356">
        <f>SUM(H220:H244)</f>
        <v>15.645569620253164</v>
      </c>
      <c r="I219" s="340"/>
      <c r="J219" s="325"/>
      <c r="K219" s="327">
        <f>SUM(K220:K244)</f>
        <v>2761.76</v>
      </c>
      <c r="L219" s="327">
        <f>SUM(L220:L244)</f>
        <v>665.30798399999992</v>
      </c>
      <c r="M219" s="328">
        <f>SUM(M220:M244)</f>
        <v>3427.0679839999998</v>
      </c>
      <c r="N219" s="19"/>
      <c r="O219" s="20"/>
      <c r="P219" s="20"/>
      <c r="Q219" s="20"/>
      <c r="R219" s="20"/>
      <c r="S219" s="21"/>
    </row>
    <row r="220" spans="1:19" ht="14.25" customHeight="1" x14ac:dyDescent="0.3">
      <c r="A220" s="316" t="s">
        <v>209</v>
      </c>
      <c r="B220" s="357"/>
      <c r="C220" s="358"/>
      <c r="D220" s="322"/>
      <c r="E220" s="371"/>
      <c r="F220" s="20"/>
      <c r="G220" s="21"/>
      <c r="H220" s="359">
        <v>0.91139240506329111</v>
      </c>
      <c r="I220" s="360">
        <v>742.59999999999991</v>
      </c>
      <c r="J220" s="324">
        <v>20</v>
      </c>
      <c r="K220" s="372">
        <v>135.35999999999999</v>
      </c>
      <c r="L220" s="136">
        <f t="shared" ref="L220:L243" si="53">K220*0.2409</f>
        <v>32.608224</v>
      </c>
      <c r="M220" s="138">
        <f t="shared" ref="M220:M243" si="54">K220+L220</f>
        <v>167.96822399999999</v>
      </c>
      <c r="N220" s="19"/>
      <c r="O220" s="20"/>
      <c r="P220" s="20"/>
      <c r="Q220" s="20"/>
      <c r="R220" s="20"/>
      <c r="S220" s="21"/>
    </row>
    <row r="221" spans="1:19" ht="14.25" customHeight="1" x14ac:dyDescent="0.3">
      <c r="A221" s="316" t="s">
        <v>199</v>
      </c>
      <c r="B221" s="357"/>
      <c r="C221" s="358"/>
      <c r="D221" s="322"/>
      <c r="E221" s="371"/>
      <c r="F221" s="20"/>
      <c r="G221" s="21"/>
      <c r="H221" s="359">
        <v>0.25316455696202533</v>
      </c>
      <c r="I221" s="360">
        <v>742.6</v>
      </c>
      <c r="J221" s="324">
        <v>20</v>
      </c>
      <c r="K221" s="372">
        <v>37.599999999999994</v>
      </c>
      <c r="L221" s="136">
        <f t="shared" si="53"/>
        <v>9.0578399999999988</v>
      </c>
      <c r="M221" s="138">
        <f t="shared" si="54"/>
        <v>46.657839999999993</v>
      </c>
      <c r="N221" s="19"/>
      <c r="O221" s="20"/>
      <c r="P221" s="20"/>
      <c r="Q221" s="20"/>
      <c r="R221" s="20"/>
      <c r="S221" s="21"/>
    </row>
    <row r="222" spans="1:19" ht="14.25" customHeight="1" x14ac:dyDescent="0.3">
      <c r="A222" s="316" t="s">
        <v>618</v>
      </c>
      <c r="B222" s="357"/>
      <c r="C222" s="358"/>
      <c r="D222" s="322"/>
      <c r="E222" s="371"/>
      <c r="F222" s="20"/>
      <c r="G222" s="21"/>
      <c r="H222" s="359">
        <v>0.30379746835443039</v>
      </c>
      <c r="I222" s="360">
        <v>742.59999999999991</v>
      </c>
      <c r="J222" s="324">
        <v>20</v>
      </c>
      <c r="K222" s="372">
        <v>45.12</v>
      </c>
      <c r="L222" s="136">
        <f t="shared" si="53"/>
        <v>10.869408</v>
      </c>
      <c r="M222" s="138">
        <f t="shared" si="54"/>
        <v>55.989407999999997</v>
      </c>
      <c r="N222" s="19"/>
      <c r="O222" s="20"/>
      <c r="P222" s="20"/>
      <c r="Q222" s="20"/>
      <c r="R222" s="20"/>
      <c r="S222" s="21"/>
    </row>
    <row r="223" spans="1:19" ht="14.25" customHeight="1" x14ac:dyDescent="0.3">
      <c r="A223" s="316" t="s">
        <v>619</v>
      </c>
      <c r="B223" s="357"/>
      <c r="C223" s="358"/>
      <c r="D223" s="322"/>
      <c r="E223" s="371"/>
      <c r="F223" s="20"/>
      <c r="G223" s="21"/>
      <c r="H223" s="359">
        <v>0.20253164556962025</v>
      </c>
      <c r="I223" s="360">
        <v>655.7</v>
      </c>
      <c r="J223" s="324">
        <v>20</v>
      </c>
      <c r="K223" s="372">
        <v>26.560000000000002</v>
      </c>
      <c r="L223" s="136">
        <f t="shared" si="53"/>
        <v>6.3983040000000004</v>
      </c>
      <c r="M223" s="138">
        <f t="shared" si="54"/>
        <v>32.958304000000005</v>
      </c>
      <c r="N223" s="19"/>
      <c r="O223" s="20"/>
      <c r="P223" s="20"/>
      <c r="Q223" s="20"/>
      <c r="R223" s="20"/>
      <c r="S223" s="21"/>
    </row>
    <row r="224" spans="1:19" ht="14.25" customHeight="1" x14ac:dyDescent="0.3">
      <c r="A224" s="316" t="s">
        <v>618</v>
      </c>
      <c r="B224" s="357"/>
      <c r="C224" s="358"/>
      <c r="D224" s="322"/>
      <c r="E224" s="371"/>
      <c r="F224" s="20"/>
      <c r="G224" s="21"/>
      <c r="H224" s="359">
        <v>0.45569620253164556</v>
      </c>
      <c r="I224" s="360">
        <v>909.37777777777774</v>
      </c>
      <c r="J224" s="324">
        <v>20</v>
      </c>
      <c r="K224" s="372">
        <v>82.08</v>
      </c>
      <c r="L224" s="136">
        <f t="shared" si="53"/>
        <v>19.773071999999999</v>
      </c>
      <c r="M224" s="138">
        <f t="shared" si="54"/>
        <v>101.853072</v>
      </c>
      <c r="N224" s="19"/>
      <c r="O224" s="20"/>
      <c r="P224" s="20"/>
      <c r="Q224" s="20"/>
      <c r="R224" s="20"/>
      <c r="S224" s="21"/>
    </row>
    <row r="225" spans="1:19" ht="14.25" customHeight="1" x14ac:dyDescent="0.3">
      <c r="A225" s="316" t="s">
        <v>618</v>
      </c>
      <c r="B225" s="357"/>
      <c r="C225" s="358"/>
      <c r="D225" s="322"/>
      <c r="E225" s="371"/>
      <c r="F225" s="20"/>
      <c r="G225" s="21"/>
      <c r="H225" s="359">
        <v>0.48101265822784811</v>
      </c>
      <c r="I225" s="360">
        <v>900.59999999999991</v>
      </c>
      <c r="J225" s="324">
        <v>20</v>
      </c>
      <c r="K225" s="372">
        <v>86.64</v>
      </c>
      <c r="L225" s="136">
        <f t="shared" si="53"/>
        <v>20.871576000000001</v>
      </c>
      <c r="M225" s="138">
        <f t="shared" si="54"/>
        <v>107.51157600000001</v>
      </c>
      <c r="N225" s="19"/>
      <c r="O225" s="20"/>
      <c r="P225" s="20"/>
      <c r="Q225" s="20"/>
      <c r="R225" s="20"/>
      <c r="S225" s="21"/>
    </row>
    <row r="226" spans="1:19" ht="14.25" customHeight="1" x14ac:dyDescent="0.3">
      <c r="A226" s="316" t="s">
        <v>618</v>
      </c>
      <c r="B226" s="357"/>
      <c r="C226" s="358"/>
      <c r="D226" s="322"/>
      <c r="E226" s="371"/>
      <c r="F226" s="20"/>
      <c r="G226" s="21"/>
      <c r="H226" s="359">
        <v>0.70886075949367089</v>
      </c>
      <c r="I226" s="360">
        <v>900.6</v>
      </c>
      <c r="J226" s="324">
        <v>20</v>
      </c>
      <c r="K226" s="372">
        <v>127.67999999999999</v>
      </c>
      <c r="L226" s="136">
        <f t="shared" si="53"/>
        <v>30.758111999999997</v>
      </c>
      <c r="M226" s="138">
        <f t="shared" si="54"/>
        <v>158.43811199999999</v>
      </c>
      <c r="N226" s="19"/>
      <c r="O226" s="20"/>
      <c r="P226" s="20"/>
      <c r="Q226" s="20"/>
      <c r="R226" s="20"/>
      <c r="S226" s="21"/>
    </row>
    <row r="227" spans="1:19" ht="14.25" customHeight="1" x14ac:dyDescent="0.3">
      <c r="A227" s="316" t="s">
        <v>618</v>
      </c>
      <c r="B227" s="357"/>
      <c r="C227" s="358"/>
      <c r="D227" s="322"/>
      <c r="E227" s="371"/>
      <c r="F227" s="20"/>
      <c r="G227" s="21"/>
      <c r="H227" s="359">
        <v>0.70886075949367089</v>
      </c>
      <c r="I227" s="360">
        <v>900.6</v>
      </c>
      <c r="J227" s="324">
        <v>20</v>
      </c>
      <c r="K227" s="372">
        <v>127.67999999999999</v>
      </c>
      <c r="L227" s="136">
        <f t="shared" si="53"/>
        <v>30.758111999999997</v>
      </c>
      <c r="M227" s="138">
        <f t="shared" si="54"/>
        <v>158.43811199999999</v>
      </c>
      <c r="N227" s="19"/>
      <c r="O227" s="20"/>
      <c r="P227" s="20"/>
      <c r="Q227" s="20"/>
      <c r="R227" s="20"/>
      <c r="S227" s="21"/>
    </row>
    <row r="228" spans="1:19" ht="14.25" customHeight="1" x14ac:dyDescent="0.3">
      <c r="A228" s="316" t="s">
        <v>618</v>
      </c>
      <c r="B228" s="357"/>
      <c r="C228" s="358"/>
      <c r="D228" s="322"/>
      <c r="E228" s="371"/>
      <c r="F228" s="20"/>
      <c r="G228" s="21"/>
      <c r="H228" s="359">
        <v>1.139240506329114</v>
      </c>
      <c r="I228" s="360">
        <v>900.6</v>
      </c>
      <c r="J228" s="324">
        <v>20</v>
      </c>
      <c r="K228" s="372">
        <v>205.2</v>
      </c>
      <c r="L228" s="136">
        <f t="shared" si="53"/>
        <v>49.432679999999998</v>
      </c>
      <c r="M228" s="138">
        <f t="shared" si="54"/>
        <v>254.63267999999999</v>
      </c>
      <c r="N228" s="19"/>
      <c r="O228" s="20"/>
      <c r="P228" s="20"/>
      <c r="Q228" s="20"/>
      <c r="R228" s="20"/>
      <c r="S228" s="21"/>
    </row>
    <row r="229" spans="1:19" ht="14.25" customHeight="1" x14ac:dyDescent="0.3">
      <c r="A229" s="316" t="s">
        <v>618</v>
      </c>
      <c r="B229" s="357"/>
      <c r="C229" s="358"/>
      <c r="D229" s="322"/>
      <c r="E229" s="371"/>
      <c r="F229" s="20"/>
      <c r="G229" s="21"/>
      <c r="H229" s="359">
        <v>1</v>
      </c>
      <c r="I229" s="360">
        <v>900.60000000000014</v>
      </c>
      <c r="J229" s="324">
        <v>20</v>
      </c>
      <c r="K229" s="372">
        <v>180.12</v>
      </c>
      <c r="L229" s="136">
        <f t="shared" si="53"/>
        <v>43.390908000000003</v>
      </c>
      <c r="M229" s="138">
        <f t="shared" si="54"/>
        <v>223.510908</v>
      </c>
      <c r="N229" s="19"/>
      <c r="O229" s="20"/>
      <c r="P229" s="20"/>
      <c r="Q229" s="20"/>
      <c r="R229" s="20"/>
      <c r="S229" s="21"/>
    </row>
    <row r="230" spans="1:19" ht="14.25" customHeight="1" x14ac:dyDescent="0.3">
      <c r="A230" s="316" t="s">
        <v>618</v>
      </c>
      <c r="B230" s="357"/>
      <c r="C230" s="358"/>
      <c r="D230" s="322"/>
      <c r="E230" s="371"/>
      <c r="F230" s="20"/>
      <c r="G230" s="21"/>
      <c r="H230" s="359">
        <v>1.2025316455696202</v>
      </c>
      <c r="I230" s="360">
        <v>900.6</v>
      </c>
      <c r="J230" s="324">
        <v>20</v>
      </c>
      <c r="K230" s="372">
        <v>216.6</v>
      </c>
      <c r="L230" s="136">
        <f t="shared" si="53"/>
        <v>52.178939999999997</v>
      </c>
      <c r="M230" s="138">
        <f t="shared" si="54"/>
        <v>268.77893999999998</v>
      </c>
      <c r="N230" s="19"/>
      <c r="O230" s="20"/>
      <c r="P230" s="20"/>
      <c r="Q230" s="20"/>
      <c r="R230" s="20"/>
      <c r="S230" s="21"/>
    </row>
    <row r="231" spans="1:19" ht="14.25" customHeight="1" x14ac:dyDescent="0.3">
      <c r="A231" s="316" t="s">
        <v>618</v>
      </c>
      <c r="B231" s="357"/>
      <c r="C231" s="358"/>
      <c r="D231" s="322"/>
      <c r="E231" s="371"/>
      <c r="F231" s="20"/>
      <c r="G231" s="21"/>
      <c r="H231" s="359">
        <v>1.0126582278481013</v>
      </c>
      <c r="I231" s="360">
        <v>900.6</v>
      </c>
      <c r="J231" s="324">
        <v>20</v>
      </c>
      <c r="K231" s="372">
        <v>182.39999999999998</v>
      </c>
      <c r="L231" s="136">
        <f t="shared" si="53"/>
        <v>43.940159999999992</v>
      </c>
      <c r="M231" s="138">
        <f t="shared" si="54"/>
        <v>226.34015999999997</v>
      </c>
      <c r="N231" s="19"/>
      <c r="O231" s="20"/>
      <c r="P231" s="20"/>
      <c r="Q231" s="20"/>
      <c r="R231" s="20"/>
      <c r="S231" s="21"/>
    </row>
    <row r="232" spans="1:19" ht="14.25" customHeight="1" x14ac:dyDescent="0.3">
      <c r="A232" s="316" t="s">
        <v>618</v>
      </c>
      <c r="B232" s="357"/>
      <c r="C232" s="358"/>
      <c r="D232" s="322"/>
      <c r="E232" s="371"/>
      <c r="F232" s="20"/>
      <c r="G232" s="21"/>
      <c r="H232" s="359">
        <v>0.60759493670886078</v>
      </c>
      <c r="I232" s="360">
        <v>900.6</v>
      </c>
      <c r="J232" s="324">
        <v>20</v>
      </c>
      <c r="K232" s="372">
        <v>109.44000000000001</v>
      </c>
      <c r="L232" s="136">
        <f t="shared" si="53"/>
        <v>26.364096000000004</v>
      </c>
      <c r="M232" s="138">
        <f t="shared" si="54"/>
        <v>135.80409600000002</v>
      </c>
      <c r="N232" s="19"/>
      <c r="O232" s="20"/>
      <c r="P232" s="20"/>
      <c r="Q232" s="20"/>
      <c r="R232" s="20"/>
      <c r="S232" s="21"/>
    </row>
    <row r="233" spans="1:19" ht="14.25" customHeight="1" x14ac:dyDescent="0.3">
      <c r="A233" s="316" t="s">
        <v>618</v>
      </c>
      <c r="B233" s="357"/>
      <c r="C233" s="358"/>
      <c r="D233" s="322"/>
      <c r="E233" s="371"/>
      <c r="F233" s="20"/>
      <c r="G233" s="21"/>
      <c r="H233" s="359">
        <v>0.50632911392405067</v>
      </c>
      <c r="I233" s="360">
        <v>900.6</v>
      </c>
      <c r="J233" s="324">
        <v>20</v>
      </c>
      <c r="K233" s="372">
        <v>91.199999999999989</v>
      </c>
      <c r="L233" s="136">
        <f t="shared" si="53"/>
        <v>21.970079999999996</v>
      </c>
      <c r="M233" s="138">
        <f t="shared" si="54"/>
        <v>113.17007999999998</v>
      </c>
      <c r="N233" s="19"/>
      <c r="O233" s="20"/>
      <c r="P233" s="20"/>
      <c r="Q233" s="20"/>
      <c r="R233" s="20"/>
      <c r="S233" s="21"/>
    </row>
    <row r="234" spans="1:19" ht="14.25" customHeight="1" x14ac:dyDescent="0.3">
      <c r="A234" s="316" t="s">
        <v>618</v>
      </c>
      <c r="B234" s="357"/>
      <c r="C234" s="358"/>
      <c r="D234" s="322"/>
      <c r="E234" s="371"/>
      <c r="F234" s="20"/>
      <c r="G234" s="21"/>
      <c r="H234" s="359">
        <v>0.55696202531645567</v>
      </c>
      <c r="I234" s="360">
        <v>900.6</v>
      </c>
      <c r="J234" s="324">
        <v>20</v>
      </c>
      <c r="K234" s="372">
        <v>100.32</v>
      </c>
      <c r="L234" s="136">
        <f t="shared" si="53"/>
        <v>24.167088</v>
      </c>
      <c r="M234" s="138">
        <f t="shared" si="54"/>
        <v>124.487088</v>
      </c>
      <c r="N234" s="19"/>
      <c r="O234" s="20"/>
      <c r="P234" s="20"/>
      <c r="Q234" s="20"/>
      <c r="R234" s="20"/>
      <c r="S234" s="21"/>
    </row>
    <row r="235" spans="1:19" ht="14.25" customHeight="1" x14ac:dyDescent="0.3">
      <c r="A235" s="316" t="s">
        <v>618</v>
      </c>
      <c r="B235" s="357"/>
      <c r="C235" s="358"/>
      <c r="D235" s="322"/>
      <c r="E235" s="371"/>
      <c r="F235" s="20"/>
      <c r="G235" s="21"/>
      <c r="H235" s="359">
        <v>0.50632911392405067</v>
      </c>
      <c r="I235" s="360">
        <v>900.6</v>
      </c>
      <c r="J235" s="324">
        <v>20</v>
      </c>
      <c r="K235" s="372">
        <v>91.199999999999989</v>
      </c>
      <c r="L235" s="136">
        <f t="shared" si="53"/>
        <v>21.970079999999996</v>
      </c>
      <c r="M235" s="138">
        <f t="shared" si="54"/>
        <v>113.17007999999998</v>
      </c>
      <c r="N235" s="19"/>
      <c r="O235" s="20"/>
      <c r="P235" s="20"/>
      <c r="Q235" s="20"/>
      <c r="R235" s="20"/>
      <c r="S235" s="21"/>
    </row>
    <row r="236" spans="1:19" ht="14.25" customHeight="1" x14ac:dyDescent="0.3">
      <c r="A236" s="316" t="s">
        <v>618</v>
      </c>
      <c r="B236" s="357"/>
      <c r="C236" s="358"/>
      <c r="D236" s="322"/>
      <c r="E236" s="371"/>
      <c r="F236" s="20"/>
      <c r="G236" s="21"/>
      <c r="H236" s="359">
        <v>0.15189873417721519</v>
      </c>
      <c r="I236" s="360">
        <v>900.6</v>
      </c>
      <c r="J236" s="324">
        <v>20</v>
      </c>
      <c r="K236" s="372">
        <v>27.360000000000003</v>
      </c>
      <c r="L236" s="136">
        <f t="shared" si="53"/>
        <v>6.5910240000000009</v>
      </c>
      <c r="M236" s="138">
        <f t="shared" si="54"/>
        <v>33.951024000000004</v>
      </c>
      <c r="N236" s="19"/>
      <c r="O236" s="20"/>
      <c r="P236" s="20"/>
      <c r="Q236" s="20"/>
      <c r="R236" s="20"/>
      <c r="S236" s="21"/>
    </row>
    <row r="237" spans="1:19" ht="14.25" customHeight="1" x14ac:dyDescent="0.3">
      <c r="A237" s="316" t="s">
        <v>209</v>
      </c>
      <c r="B237" s="357"/>
      <c r="C237" s="358"/>
      <c r="D237" s="322"/>
      <c r="E237" s="371"/>
      <c r="F237" s="20"/>
      <c r="G237" s="21"/>
      <c r="H237" s="359">
        <v>1.1012658227848102</v>
      </c>
      <c r="I237" s="360">
        <v>900.6</v>
      </c>
      <c r="J237" s="324">
        <v>20</v>
      </c>
      <c r="K237" s="372">
        <v>198.35999999999999</v>
      </c>
      <c r="L237" s="136">
        <f t="shared" si="53"/>
        <v>47.784923999999997</v>
      </c>
      <c r="M237" s="138">
        <f t="shared" si="54"/>
        <v>246.14492399999997</v>
      </c>
      <c r="N237" s="19"/>
      <c r="O237" s="20"/>
      <c r="P237" s="20"/>
      <c r="Q237" s="20"/>
      <c r="R237" s="20"/>
      <c r="S237" s="21"/>
    </row>
    <row r="238" spans="1:19" ht="14.25" customHeight="1" x14ac:dyDescent="0.3">
      <c r="A238" s="316" t="s">
        <v>209</v>
      </c>
      <c r="B238" s="357"/>
      <c r="C238" s="358"/>
      <c r="D238" s="322"/>
      <c r="E238" s="371"/>
      <c r="F238" s="20"/>
      <c r="G238" s="21"/>
      <c r="H238" s="359">
        <v>0.379746835443038</v>
      </c>
      <c r="I238" s="360">
        <v>900.6</v>
      </c>
      <c r="J238" s="324">
        <v>20</v>
      </c>
      <c r="K238" s="372">
        <v>68.400000000000006</v>
      </c>
      <c r="L238" s="136">
        <f t="shared" si="53"/>
        <v>16.47756</v>
      </c>
      <c r="M238" s="138">
        <f t="shared" si="54"/>
        <v>84.877560000000003</v>
      </c>
      <c r="N238" s="19"/>
      <c r="O238" s="20"/>
      <c r="P238" s="20"/>
      <c r="Q238" s="20"/>
      <c r="R238" s="20"/>
      <c r="S238" s="21"/>
    </row>
    <row r="239" spans="1:19" ht="14.25" customHeight="1" x14ac:dyDescent="0.3">
      <c r="A239" s="316" t="s">
        <v>209</v>
      </c>
      <c r="B239" s="357"/>
      <c r="C239" s="358"/>
      <c r="D239" s="322"/>
      <c r="E239" s="371"/>
      <c r="F239" s="20"/>
      <c r="G239" s="21"/>
      <c r="H239" s="359">
        <v>1.1772151898734178</v>
      </c>
      <c r="I239" s="360">
        <v>900.6</v>
      </c>
      <c r="J239" s="324">
        <v>20</v>
      </c>
      <c r="K239" s="372">
        <v>212.04000000000002</v>
      </c>
      <c r="L239" s="136">
        <f t="shared" si="53"/>
        <v>51.080436000000006</v>
      </c>
      <c r="M239" s="138">
        <f t="shared" si="54"/>
        <v>263.12043600000004</v>
      </c>
      <c r="N239" s="19"/>
      <c r="O239" s="20"/>
      <c r="P239" s="20"/>
      <c r="Q239" s="20"/>
      <c r="R239" s="20"/>
      <c r="S239" s="21"/>
    </row>
    <row r="240" spans="1:19" ht="14.25" customHeight="1" x14ac:dyDescent="0.3">
      <c r="A240" s="316" t="s">
        <v>209</v>
      </c>
      <c r="B240" s="357"/>
      <c r="C240" s="358"/>
      <c r="D240" s="322"/>
      <c r="E240" s="371"/>
      <c r="F240" s="20"/>
      <c r="G240" s="21"/>
      <c r="H240" s="359">
        <v>0.96202531645569622</v>
      </c>
      <c r="I240" s="360">
        <v>900.59999999999991</v>
      </c>
      <c r="J240" s="324">
        <v>20</v>
      </c>
      <c r="K240" s="372">
        <v>173.28</v>
      </c>
      <c r="L240" s="136">
        <f t="shared" si="53"/>
        <v>41.743152000000002</v>
      </c>
      <c r="M240" s="138">
        <f t="shared" si="54"/>
        <v>215.02315200000001</v>
      </c>
      <c r="N240" s="19"/>
      <c r="O240" s="20"/>
      <c r="P240" s="20"/>
      <c r="Q240" s="20"/>
      <c r="R240" s="20"/>
      <c r="S240" s="21"/>
    </row>
    <row r="241" spans="1:19" ht="14.25" customHeight="1" x14ac:dyDescent="0.3">
      <c r="A241" s="316" t="s">
        <v>209</v>
      </c>
      <c r="B241" s="357"/>
      <c r="C241" s="358"/>
      <c r="D241" s="322"/>
      <c r="E241" s="371"/>
      <c r="F241" s="20"/>
      <c r="G241" s="21"/>
      <c r="H241" s="359">
        <v>0.45569620253164556</v>
      </c>
      <c r="I241" s="360">
        <v>900.59999999999991</v>
      </c>
      <c r="J241" s="324">
        <v>20</v>
      </c>
      <c r="K241" s="372">
        <v>82.08</v>
      </c>
      <c r="L241" s="136">
        <f t="shared" si="53"/>
        <v>19.773071999999999</v>
      </c>
      <c r="M241" s="138">
        <f t="shared" si="54"/>
        <v>101.853072</v>
      </c>
      <c r="N241" s="19"/>
      <c r="O241" s="20"/>
      <c r="P241" s="20"/>
      <c r="Q241" s="20"/>
      <c r="R241" s="20"/>
      <c r="S241" s="21"/>
    </row>
    <row r="242" spans="1:19" ht="14.25" customHeight="1" x14ac:dyDescent="0.3">
      <c r="A242" s="316" t="s">
        <v>209</v>
      </c>
      <c r="B242" s="357"/>
      <c r="C242" s="358"/>
      <c r="D242" s="322"/>
      <c r="E242" s="371"/>
      <c r="F242" s="20"/>
      <c r="G242" s="21"/>
      <c r="H242" s="359">
        <v>0.60759493670886078</v>
      </c>
      <c r="I242" s="360">
        <v>900.6</v>
      </c>
      <c r="J242" s="324">
        <v>20</v>
      </c>
      <c r="K242" s="372">
        <v>109.44000000000001</v>
      </c>
      <c r="L242" s="136">
        <f t="shared" si="53"/>
        <v>26.364096000000004</v>
      </c>
      <c r="M242" s="138">
        <f t="shared" si="54"/>
        <v>135.80409600000002</v>
      </c>
      <c r="N242" s="19"/>
      <c r="O242" s="20"/>
      <c r="P242" s="20"/>
      <c r="Q242" s="20"/>
      <c r="R242" s="20"/>
      <c r="S242" s="21"/>
    </row>
    <row r="243" spans="1:19" ht="14.25" customHeight="1" x14ac:dyDescent="0.3">
      <c r="A243" s="316" t="s">
        <v>209</v>
      </c>
      <c r="B243" s="357"/>
      <c r="C243" s="358"/>
      <c r="D243" s="322"/>
      <c r="E243" s="371"/>
      <c r="F243" s="20"/>
      <c r="G243" s="21"/>
      <c r="H243" s="359">
        <v>0.25316455696202533</v>
      </c>
      <c r="I243" s="360">
        <v>900.6</v>
      </c>
      <c r="J243" s="324">
        <v>20</v>
      </c>
      <c r="K243" s="372">
        <v>45.599999999999994</v>
      </c>
      <c r="L243" s="136">
        <f t="shared" si="53"/>
        <v>10.985039999999998</v>
      </c>
      <c r="M243" s="138">
        <f t="shared" si="54"/>
        <v>56.585039999999992</v>
      </c>
      <c r="N243" s="19"/>
      <c r="O243" s="20"/>
      <c r="P243" s="20"/>
      <c r="Q243" s="20"/>
      <c r="R243" s="20"/>
      <c r="S243" s="21"/>
    </row>
    <row r="244" spans="1:19" x14ac:dyDescent="0.25">
      <c r="A244" s="314" t="s">
        <v>1</v>
      </c>
      <c r="B244" s="171"/>
      <c r="C244" s="20"/>
      <c r="D244" s="211"/>
      <c r="E244" s="211"/>
      <c r="F244" s="20"/>
      <c r="G244" s="21"/>
      <c r="H244" s="133"/>
      <c r="I244" s="315"/>
      <c r="J244" s="211"/>
      <c r="K244" s="210"/>
      <c r="L244" s="136"/>
      <c r="M244" s="138"/>
      <c r="N244" s="19"/>
      <c r="O244" s="20"/>
      <c r="P244" s="20"/>
      <c r="Q244" s="20"/>
      <c r="R244" s="20"/>
      <c r="S244" s="21"/>
    </row>
    <row r="245" spans="1:19" ht="64.5" customHeight="1" x14ac:dyDescent="0.25">
      <c r="A245" s="314" t="s">
        <v>13</v>
      </c>
      <c r="B245" s="346"/>
      <c r="C245" s="325"/>
      <c r="D245" s="325"/>
      <c r="E245" s="325"/>
      <c r="F245" s="325"/>
      <c r="G245" s="326"/>
      <c r="H245" s="356">
        <f>SUM(H246:H260)</f>
        <v>12.19620253164557</v>
      </c>
      <c r="I245" s="340"/>
      <c r="J245" s="325"/>
      <c r="K245" s="327">
        <f>SUM(K246:K260)</f>
        <v>1434.22</v>
      </c>
      <c r="L245" s="327">
        <f>SUM(L246:L260)</f>
        <v>345.50359800000001</v>
      </c>
      <c r="M245" s="328">
        <f>SUM(M246:M260)</f>
        <v>1779.723598</v>
      </c>
      <c r="N245" s="19"/>
      <c r="O245" s="20"/>
      <c r="P245" s="20"/>
      <c r="Q245" s="20"/>
      <c r="R245" s="20"/>
      <c r="S245" s="21"/>
    </row>
    <row r="246" spans="1:19" ht="15" customHeight="1" x14ac:dyDescent="0.3">
      <c r="A246" s="316" t="s">
        <v>98</v>
      </c>
      <c r="B246" s="357"/>
      <c r="C246" s="358"/>
      <c r="D246" s="322"/>
      <c r="E246" s="371"/>
      <c r="F246" s="20"/>
      <c r="G246" s="21"/>
      <c r="H246" s="359">
        <v>1</v>
      </c>
      <c r="I246" s="360">
        <v>521.4</v>
      </c>
      <c r="J246" s="324">
        <v>20</v>
      </c>
      <c r="K246" s="372">
        <v>104.27999999999999</v>
      </c>
      <c r="L246" s="136">
        <f t="shared" ref="L246:L259" si="55">K246*0.2409</f>
        <v>25.121051999999999</v>
      </c>
      <c r="M246" s="138">
        <f t="shared" ref="M246:M259" si="56">K246+L246</f>
        <v>129.40105199999999</v>
      </c>
      <c r="N246" s="19"/>
      <c r="O246" s="20"/>
      <c r="P246" s="20"/>
      <c r="Q246" s="20"/>
      <c r="R246" s="20"/>
      <c r="S246" s="21"/>
    </row>
    <row r="247" spans="1:19" ht="15" customHeight="1" x14ac:dyDescent="0.3">
      <c r="A247" s="316" t="s">
        <v>98</v>
      </c>
      <c r="B247" s="357"/>
      <c r="C247" s="358"/>
      <c r="D247" s="322"/>
      <c r="E247" s="371"/>
      <c r="F247" s="20"/>
      <c r="G247" s="21"/>
      <c r="H247" s="359">
        <v>0.51898734177215189</v>
      </c>
      <c r="I247" s="360">
        <v>521.40000000000009</v>
      </c>
      <c r="J247" s="324">
        <v>20</v>
      </c>
      <c r="K247" s="372">
        <v>54.120000000000005</v>
      </c>
      <c r="L247" s="136">
        <f t="shared" si="55"/>
        <v>13.037508000000001</v>
      </c>
      <c r="M247" s="138">
        <f t="shared" si="56"/>
        <v>67.157508000000007</v>
      </c>
      <c r="N247" s="19"/>
      <c r="O247" s="20"/>
      <c r="P247" s="20"/>
      <c r="Q247" s="20"/>
      <c r="R247" s="20"/>
      <c r="S247" s="21"/>
    </row>
    <row r="248" spans="1:19" ht="15" customHeight="1" x14ac:dyDescent="0.3">
      <c r="A248" s="316" t="s">
        <v>98</v>
      </c>
      <c r="B248" s="357"/>
      <c r="C248" s="358"/>
      <c r="D248" s="322"/>
      <c r="E248" s="371"/>
      <c r="F248" s="20"/>
      <c r="G248" s="21"/>
      <c r="H248" s="359">
        <v>1.018987341772152</v>
      </c>
      <c r="I248" s="360">
        <v>521.4</v>
      </c>
      <c r="J248" s="324">
        <v>20</v>
      </c>
      <c r="K248" s="372">
        <v>106.25999999999999</v>
      </c>
      <c r="L248" s="136">
        <f t="shared" si="55"/>
        <v>25.598033999999998</v>
      </c>
      <c r="M248" s="138">
        <f t="shared" si="56"/>
        <v>131.85803399999998</v>
      </c>
      <c r="N248" s="19"/>
      <c r="O248" s="20"/>
      <c r="P248" s="20"/>
      <c r="Q248" s="20"/>
      <c r="R248" s="20"/>
      <c r="S248" s="21"/>
    </row>
    <row r="249" spans="1:19" ht="15" customHeight="1" x14ac:dyDescent="0.3">
      <c r="A249" s="316" t="s">
        <v>98</v>
      </c>
      <c r="B249" s="357"/>
      <c r="C249" s="358"/>
      <c r="D249" s="322"/>
      <c r="E249" s="371"/>
      <c r="F249" s="20"/>
      <c r="G249" s="21"/>
      <c r="H249" s="359">
        <v>0.61392405063291144</v>
      </c>
      <c r="I249" s="360">
        <v>521.4</v>
      </c>
      <c r="J249" s="324">
        <v>20</v>
      </c>
      <c r="K249" s="372">
        <v>64.02</v>
      </c>
      <c r="L249" s="136">
        <f t="shared" si="55"/>
        <v>15.422417999999999</v>
      </c>
      <c r="M249" s="138">
        <f t="shared" si="56"/>
        <v>79.442417999999989</v>
      </c>
      <c r="N249" s="19"/>
      <c r="O249" s="20"/>
      <c r="P249" s="20"/>
      <c r="Q249" s="20"/>
      <c r="R249" s="20"/>
      <c r="S249" s="21"/>
    </row>
    <row r="250" spans="1:19" ht="15" customHeight="1" x14ac:dyDescent="0.3">
      <c r="A250" s="316" t="s">
        <v>98</v>
      </c>
      <c r="B250" s="357"/>
      <c r="C250" s="358"/>
      <c r="D250" s="322"/>
      <c r="E250" s="371"/>
      <c r="F250" s="20"/>
      <c r="G250" s="21"/>
      <c r="H250" s="359">
        <v>0.620253164556962</v>
      </c>
      <c r="I250" s="360">
        <v>521.4</v>
      </c>
      <c r="J250" s="324">
        <v>20</v>
      </c>
      <c r="K250" s="372">
        <v>64.680000000000007</v>
      </c>
      <c r="L250" s="136">
        <f t="shared" si="55"/>
        <v>15.581412000000002</v>
      </c>
      <c r="M250" s="138">
        <f t="shared" si="56"/>
        <v>80.261412000000007</v>
      </c>
      <c r="N250" s="19"/>
      <c r="O250" s="20"/>
      <c r="P250" s="20"/>
      <c r="Q250" s="20"/>
      <c r="R250" s="20"/>
      <c r="S250" s="21"/>
    </row>
    <row r="251" spans="1:19" ht="15" customHeight="1" x14ac:dyDescent="0.3">
      <c r="A251" s="316" t="s">
        <v>98</v>
      </c>
      <c r="B251" s="357"/>
      <c r="C251" s="358"/>
      <c r="D251" s="322"/>
      <c r="E251" s="371"/>
      <c r="F251" s="20"/>
      <c r="G251" s="21"/>
      <c r="H251" s="359">
        <v>1.0822784810126582</v>
      </c>
      <c r="I251" s="360">
        <v>521.4</v>
      </c>
      <c r="J251" s="324">
        <v>20</v>
      </c>
      <c r="K251" s="372">
        <v>112.86</v>
      </c>
      <c r="L251" s="136">
        <f t="shared" si="55"/>
        <v>27.187974000000001</v>
      </c>
      <c r="M251" s="138">
        <f t="shared" si="56"/>
        <v>140.04797400000001</v>
      </c>
      <c r="N251" s="19"/>
      <c r="O251" s="20"/>
      <c r="P251" s="20"/>
      <c r="Q251" s="20"/>
      <c r="R251" s="20"/>
      <c r="S251" s="21"/>
    </row>
    <row r="252" spans="1:19" ht="15" customHeight="1" x14ac:dyDescent="0.3">
      <c r="A252" s="316" t="s">
        <v>98</v>
      </c>
      <c r="B252" s="357"/>
      <c r="C252" s="358"/>
      <c r="D252" s="322"/>
      <c r="E252" s="371"/>
      <c r="F252" s="20"/>
      <c r="G252" s="21"/>
      <c r="H252" s="359">
        <v>1.0822784810126582</v>
      </c>
      <c r="I252" s="360">
        <v>632</v>
      </c>
      <c r="J252" s="324">
        <v>20</v>
      </c>
      <c r="K252" s="372">
        <v>136.80000000000001</v>
      </c>
      <c r="L252" s="136">
        <f t="shared" si="55"/>
        <v>32.955120000000001</v>
      </c>
      <c r="M252" s="138">
        <f t="shared" si="56"/>
        <v>169.75512000000001</v>
      </c>
      <c r="N252" s="19"/>
      <c r="O252" s="20"/>
      <c r="P252" s="20"/>
      <c r="Q252" s="20"/>
      <c r="R252" s="20"/>
      <c r="S252" s="21"/>
    </row>
    <row r="253" spans="1:19" ht="15" customHeight="1" x14ac:dyDescent="0.3">
      <c r="A253" s="316" t="s">
        <v>98</v>
      </c>
      <c r="B253" s="357"/>
      <c r="C253" s="358"/>
      <c r="D253" s="322"/>
      <c r="E253" s="371"/>
      <c r="F253" s="20"/>
      <c r="G253" s="21"/>
      <c r="H253" s="359">
        <v>0.30379746835443039</v>
      </c>
      <c r="I253" s="360">
        <v>632</v>
      </c>
      <c r="J253" s="324">
        <v>20</v>
      </c>
      <c r="K253" s="372">
        <v>38.4</v>
      </c>
      <c r="L253" s="136">
        <f t="shared" si="55"/>
        <v>9.2505600000000001</v>
      </c>
      <c r="M253" s="138">
        <f t="shared" si="56"/>
        <v>47.650559999999999</v>
      </c>
      <c r="N253" s="19"/>
      <c r="O253" s="20"/>
      <c r="P253" s="20"/>
      <c r="Q253" s="20"/>
      <c r="R253" s="20"/>
      <c r="S253" s="21"/>
    </row>
    <row r="254" spans="1:19" ht="15" customHeight="1" x14ac:dyDescent="0.3">
      <c r="A254" s="316" t="s">
        <v>98</v>
      </c>
      <c r="B254" s="357"/>
      <c r="C254" s="358"/>
      <c r="D254" s="322"/>
      <c r="E254" s="371"/>
      <c r="F254" s="20"/>
      <c r="G254" s="21"/>
      <c r="H254" s="359">
        <v>1.1898734177215189</v>
      </c>
      <c r="I254" s="360">
        <v>632</v>
      </c>
      <c r="J254" s="324">
        <v>20</v>
      </c>
      <c r="K254" s="372">
        <v>150.39999999999998</v>
      </c>
      <c r="L254" s="136">
        <f t="shared" si="55"/>
        <v>36.231359999999995</v>
      </c>
      <c r="M254" s="138">
        <f t="shared" si="56"/>
        <v>186.63135999999997</v>
      </c>
      <c r="N254" s="19"/>
      <c r="O254" s="20"/>
      <c r="P254" s="20"/>
      <c r="Q254" s="20"/>
      <c r="R254" s="20"/>
      <c r="S254" s="21"/>
    </row>
    <row r="255" spans="1:19" ht="15" customHeight="1" x14ac:dyDescent="0.3">
      <c r="A255" s="316" t="s">
        <v>98</v>
      </c>
      <c r="B255" s="357"/>
      <c r="C255" s="358"/>
      <c r="D255" s="322"/>
      <c r="E255" s="371"/>
      <c r="F255" s="20"/>
      <c r="G255" s="21"/>
      <c r="H255" s="359">
        <v>0.56329113924050633</v>
      </c>
      <c r="I255" s="360">
        <v>632</v>
      </c>
      <c r="J255" s="324">
        <v>20</v>
      </c>
      <c r="K255" s="372">
        <v>71.2</v>
      </c>
      <c r="L255" s="136">
        <f t="shared" si="55"/>
        <v>17.152080000000002</v>
      </c>
      <c r="M255" s="138">
        <f t="shared" si="56"/>
        <v>88.352080000000001</v>
      </c>
      <c r="N255" s="19"/>
      <c r="O255" s="20"/>
      <c r="P255" s="20"/>
      <c r="Q255" s="20"/>
      <c r="R255" s="20"/>
      <c r="S255" s="21"/>
    </row>
    <row r="256" spans="1:19" ht="15" customHeight="1" x14ac:dyDescent="0.3">
      <c r="A256" s="316" t="s">
        <v>98</v>
      </c>
      <c r="B256" s="357"/>
      <c r="C256" s="358"/>
      <c r="D256" s="322"/>
      <c r="E256" s="371"/>
      <c r="F256" s="20"/>
      <c r="G256" s="21"/>
      <c r="H256" s="359">
        <v>1.1139240506329113</v>
      </c>
      <c r="I256" s="360">
        <v>632</v>
      </c>
      <c r="J256" s="324">
        <v>20</v>
      </c>
      <c r="K256" s="372">
        <v>140.80000000000001</v>
      </c>
      <c r="L256" s="136">
        <f t="shared" si="55"/>
        <v>33.91872</v>
      </c>
      <c r="M256" s="138">
        <f t="shared" si="56"/>
        <v>174.71872000000002</v>
      </c>
      <c r="N256" s="19"/>
      <c r="O256" s="20"/>
      <c r="P256" s="20"/>
      <c r="Q256" s="20"/>
      <c r="R256" s="20"/>
      <c r="S256" s="21"/>
    </row>
    <row r="257" spans="1:19" ht="15" customHeight="1" x14ac:dyDescent="0.3">
      <c r="A257" s="316" t="s">
        <v>98</v>
      </c>
      <c r="B257" s="357"/>
      <c r="C257" s="358"/>
      <c r="D257" s="322"/>
      <c r="E257" s="371"/>
      <c r="F257" s="20"/>
      <c r="G257" s="21"/>
      <c r="H257" s="359">
        <v>1.0632911392405062</v>
      </c>
      <c r="I257" s="360">
        <v>632</v>
      </c>
      <c r="J257" s="324">
        <v>20</v>
      </c>
      <c r="K257" s="372">
        <v>134.4</v>
      </c>
      <c r="L257" s="136">
        <f t="shared" si="55"/>
        <v>32.376960000000004</v>
      </c>
      <c r="M257" s="138">
        <f t="shared" si="56"/>
        <v>166.77696</v>
      </c>
      <c r="N257" s="19"/>
      <c r="O257" s="20"/>
      <c r="P257" s="20"/>
      <c r="Q257" s="20"/>
      <c r="R257" s="20"/>
      <c r="S257" s="21"/>
    </row>
    <row r="258" spans="1:19" ht="15" customHeight="1" x14ac:dyDescent="0.3">
      <c r="A258" s="316" t="s">
        <v>98</v>
      </c>
      <c r="B258" s="357"/>
      <c r="C258" s="358"/>
      <c r="D258" s="322"/>
      <c r="E258" s="371"/>
      <c r="F258" s="20"/>
      <c r="G258" s="21"/>
      <c r="H258" s="359">
        <v>1.0632911392405062</v>
      </c>
      <c r="I258" s="360">
        <v>632</v>
      </c>
      <c r="J258" s="324">
        <v>20</v>
      </c>
      <c r="K258" s="372">
        <v>134.4</v>
      </c>
      <c r="L258" s="136">
        <f t="shared" si="55"/>
        <v>32.376960000000004</v>
      </c>
      <c r="M258" s="138">
        <f t="shared" si="56"/>
        <v>166.77696</v>
      </c>
      <c r="N258" s="19"/>
      <c r="O258" s="20"/>
      <c r="P258" s="20"/>
      <c r="Q258" s="20"/>
      <c r="R258" s="20"/>
      <c r="S258" s="21"/>
    </row>
    <row r="259" spans="1:19" ht="15" customHeight="1" x14ac:dyDescent="0.3">
      <c r="A259" s="316" t="s">
        <v>98</v>
      </c>
      <c r="B259" s="357"/>
      <c r="C259" s="358"/>
      <c r="D259" s="322"/>
      <c r="E259" s="371"/>
      <c r="F259" s="20"/>
      <c r="G259" s="21"/>
      <c r="H259" s="359">
        <v>0.96202531645569622</v>
      </c>
      <c r="I259" s="360">
        <v>632</v>
      </c>
      <c r="J259" s="324">
        <v>20</v>
      </c>
      <c r="K259" s="372">
        <v>121.6</v>
      </c>
      <c r="L259" s="136">
        <f t="shared" si="55"/>
        <v>29.29344</v>
      </c>
      <c r="M259" s="138">
        <f t="shared" si="56"/>
        <v>150.89344</v>
      </c>
      <c r="N259" s="19"/>
      <c r="O259" s="20"/>
      <c r="P259" s="20"/>
      <c r="Q259" s="20"/>
      <c r="R259" s="20"/>
      <c r="S259" s="21"/>
    </row>
    <row r="260" spans="1:19" x14ac:dyDescent="0.25">
      <c r="A260" s="314" t="s">
        <v>1</v>
      </c>
      <c r="B260" s="171"/>
      <c r="C260" s="20"/>
      <c r="D260" s="211"/>
      <c r="E260" s="211"/>
      <c r="F260" s="20"/>
      <c r="G260" s="21"/>
      <c r="H260" s="133"/>
      <c r="I260" s="315"/>
      <c r="J260" s="211"/>
      <c r="K260" s="210"/>
      <c r="L260" s="136"/>
      <c r="M260" s="138"/>
      <c r="N260" s="19"/>
      <c r="O260" s="20"/>
      <c r="P260" s="20"/>
      <c r="Q260" s="20"/>
      <c r="R260" s="20"/>
      <c r="S260" s="21"/>
    </row>
    <row r="261" spans="1:19" ht="37.5" customHeight="1" x14ac:dyDescent="0.25">
      <c r="A261" s="314" t="s">
        <v>11</v>
      </c>
      <c r="B261" s="171"/>
      <c r="C261" s="20"/>
      <c r="D261" s="211"/>
      <c r="E261" s="211"/>
      <c r="F261" s="20"/>
      <c r="G261" s="21"/>
      <c r="H261" s="133"/>
      <c r="I261" s="315"/>
      <c r="J261" s="211"/>
      <c r="K261" s="210"/>
      <c r="L261" s="136"/>
      <c r="M261" s="138"/>
      <c r="N261" s="19"/>
      <c r="O261" s="20"/>
      <c r="P261" s="20"/>
      <c r="Q261" s="20"/>
      <c r="R261" s="20"/>
      <c r="S261" s="21"/>
    </row>
    <row r="262" spans="1:19" ht="17.25" thickBot="1" x14ac:dyDescent="0.3">
      <c r="A262" s="314" t="s">
        <v>1</v>
      </c>
      <c r="B262" s="348"/>
      <c r="C262" s="180"/>
      <c r="D262" s="349"/>
      <c r="E262" s="349"/>
      <c r="F262" s="180"/>
      <c r="G262" s="182"/>
      <c r="H262" s="201"/>
      <c r="I262" s="350"/>
      <c r="J262" s="349"/>
      <c r="K262" s="351"/>
      <c r="L262" s="352"/>
      <c r="M262" s="353"/>
      <c r="N262" s="22"/>
      <c r="O262" s="23"/>
      <c r="P262" s="23"/>
      <c r="Q262" s="23"/>
      <c r="R262" s="23"/>
      <c r="S262" s="24"/>
    </row>
    <row r="263" spans="1:19" s="1" customFormat="1" ht="24" customHeight="1" x14ac:dyDescent="0.25">
      <c r="A263" s="309" t="s">
        <v>620</v>
      </c>
      <c r="B263" s="354"/>
      <c r="C263" s="335"/>
      <c r="D263" s="335"/>
      <c r="E263" s="335"/>
      <c r="F263" s="335"/>
      <c r="G263" s="336"/>
      <c r="H263" s="338">
        <f t="shared" ref="H263" si="57">H264+H266+H268+H270</f>
        <v>7.6075949367088622</v>
      </c>
      <c r="I263" s="338"/>
      <c r="J263" s="338"/>
      <c r="K263" s="338">
        <f>K264+K266+K268+K270</f>
        <v>584.29</v>
      </c>
      <c r="L263" s="338">
        <f>L264+L266+L268+L270</f>
        <v>140.75546099999997</v>
      </c>
      <c r="M263" s="339">
        <f>M264+M266+M268+M270</f>
        <v>725.04546100000005</v>
      </c>
      <c r="N263" s="15"/>
      <c r="O263" s="16"/>
      <c r="P263" s="16"/>
      <c r="Q263" s="16"/>
      <c r="R263" s="16"/>
      <c r="S263" s="17"/>
    </row>
    <row r="264" spans="1:19" ht="37.5" customHeight="1" x14ac:dyDescent="0.25">
      <c r="A264" s="314" t="s">
        <v>14</v>
      </c>
      <c r="B264" s="171"/>
      <c r="C264" s="20"/>
      <c r="D264" s="211"/>
      <c r="E264" s="211"/>
      <c r="F264" s="20"/>
      <c r="G264" s="21"/>
      <c r="H264" s="133"/>
      <c r="I264" s="315"/>
      <c r="J264" s="211"/>
      <c r="K264" s="210"/>
      <c r="L264" s="136"/>
      <c r="M264" s="138"/>
      <c r="N264" s="19"/>
      <c r="O264" s="20"/>
      <c r="P264" s="20"/>
      <c r="Q264" s="20"/>
      <c r="R264" s="20"/>
      <c r="S264" s="21"/>
    </row>
    <row r="265" spans="1:19" ht="19.5" customHeight="1" x14ac:dyDescent="0.25">
      <c r="A265" s="314" t="s">
        <v>1</v>
      </c>
      <c r="B265" s="171"/>
      <c r="C265" s="20"/>
      <c r="D265" s="211"/>
      <c r="E265" s="211"/>
      <c r="F265" s="20"/>
      <c r="G265" s="21"/>
      <c r="H265" s="133"/>
      <c r="I265" s="315"/>
      <c r="J265" s="211"/>
      <c r="K265" s="210"/>
      <c r="L265" s="136"/>
      <c r="M265" s="138"/>
      <c r="N265" s="19"/>
      <c r="O265" s="20"/>
      <c r="P265" s="20"/>
      <c r="Q265" s="20"/>
      <c r="R265" s="20"/>
      <c r="S265" s="21"/>
    </row>
    <row r="266" spans="1:19" ht="49.5" customHeight="1" x14ac:dyDescent="0.25">
      <c r="A266" s="314" t="s">
        <v>12</v>
      </c>
      <c r="B266" s="171"/>
      <c r="C266" s="20"/>
      <c r="D266" s="211"/>
      <c r="E266" s="211"/>
      <c r="F266" s="20"/>
      <c r="G266" s="21"/>
      <c r="H266" s="133"/>
      <c r="I266" s="315"/>
      <c r="J266" s="211"/>
      <c r="K266" s="210"/>
      <c r="L266" s="136"/>
      <c r="M266" s="138"/>
      <c r="N266" s="19"/>
      <c r="O266" s="20"/>
      <c r="P266" s="20"/>
      <c r="Q266" s="20"/>
      <c r="R266" s="20"/>
      <c r="S266" s="21"/>
    </row>
    <row r="267" spans="1:19" x14ac:dyDescent="0.25">
      <c r="A267" s="314" t="s">
        <v>1</v>
      </c>
      <c r="B267" s="171"/>
      <c r="C267" s="20"/>
      <c r="D267" s="211"/>
      <c r="E267" s="211"/>
      <c r="F267" s="20"/>
      <c r="G267" s="21"/>
      <c r="H267" s="133"/>
      <c r="I267" s="315"/>
      <c r="J267" s="211"/>
      <c r="K267" s="210"/>
      <c r="L267" s="136"/>
      <c r="M267" s="138"/>
      <c r="N267" s="19"/>
      <c r="O267" s="20"/>
      <c r="P267" s="20"/>
      <c r="Q267" s="20"/>
      <c r="R267" s="20"/>
      <c r="S267" s="21"/>
    </row>
    <row r="268" spans="1:19" ht="64.5" customHeight="1" x14ac:dyDescent="0.25">
      <c r="A268" s="314" t="s">
        <v>13</v>
      </c>
      <c r="B268" s="171"/>
      <c r="C268" s="20"/>
      <c r="D268" s="211"/>
      <c r="E268" s="211"/>
      <c r="F268" s="20"/>
      <c r="G268" s="21"/>
      <c r="H268" s="133"/>
      <c r="I268" s="315"/>
      <c r="J268" s="211"/>
      <c r="K268" s="210"/>
      <c r="L268" s="136"/>
      <c r="M268" s="138"/>
      <c r="N268" s="19"/>
      <c r="O268" s="20"/>
      <c r="P268" s="20"/>
      <c r="Q268" s="20"/>
      <c r="R268" s="20"/>
      <c r="S268" s="21"/>
    </row>
    <row r="269" spans="1:19" x14ac:dyDescent="0.25">
      <c r="A269" s="314" t="s">
        <v>1</v>
      </c>
      <c r="B269" s="171"/>
      <c r="C269" s="20"/>
      <c r="D269" s="211"/>
      <c r="E269" s="211"/>
      <c r="F269" s="20"/>
      <c r="G269" s="21"/>
      <c r="H269" s="133"/>
      <c r="I269" s="315"/>
      <c r="J269" s="211"/>
      <c r="K269" s="210"/>
      <c r="L269" s="136"/>
      <c r="M269" s="138"/>
      <c r="N269" s="19"/>
      <c r="O269" s="20"/>
      <c r="P269" s="20"/>
      <c r="Q269" s="20"/>
      <c r="R269" s="20"/>
      <c r="S269" s="21"/>
    </row>
    <row r="270" spans="1:19" ht="37.5" customHeight="1" x14ac:dyDescent="0.25">
      <c r="A270" s="314" t="s">
        <v>11</v>
      </c>
      <c r="B270" s="346"/>
      <c r="C270" s="325"/>
      <c r="D270" s="325"/>
      <c r="E270" s="325"/>
      <c r="F270" s="325"/>
      <c r="G270" s="326"/>
      <c r="H270" s="373">
        <f>SUM(H271:H282)</f>
        <v>7.6075949367088622</v>
      </c>
      <c r="I270" s="327"/>
      <c r="J270" s="325"/>
      <c r="K270" s="327">
        <f>SUM(K271:K282)</f>
        <v>584.29</v>
      </c>
      <c r="L270" s="327">
        <f t="shared" ref="L270:M270" si="58">SUM(L271:L282)</f>
        <v>140.75546099999997</v>
      </c>
      <c r="M270" s="327">
        <f t="shared" si="58"/>
        <v>725.04546100000005</v>
      </c>
      <c r="N270" s="19"/>
      <c r="O270" s="20"/>
      <c r="P270" s="20"/>
      <c r="Q270" s="20"/>
      <c r="R270" s="20"/>
      <c r="S270" s="21"/>
    </row>
    <row r="271" spans="1:19" ht="17.25" x14ac:dyDescent="0.3">
      <c r="A271" s="316" t="s">
        <v>621</v>
      </c>
      <c r="B271" s="357"/>
      <c r="C271" s="358"/>
      <c r="D271" s="322"/>
      <c r="E271" s="361"/>
      <c r="F271" s="20"/>
      <c r="G271" s="21"/>
      <c r="H271" s="359">
        <v>1</v>
      </c>
      <c r="I271" s="360">
        <v>1870</v>
      </c>
      <c r="J271" s="324">
        <v>10</v>
      </c>
      <c r="K271" s="362">
        <v>187</v>
      </c>
      <c r="L271" s="136">
        <f t="shared" ref="L271:L279" si="59">K271*0.2409</f>
        <v>45.048299999999998</v>
      </c>
      <c r="M271" s="138">
        <f t="shared" ref="M271:M279" si="60">K271+L271</f>
        <v>232.04829999999998</v>
      </c>
      <c r="N271" s="19"/>
      <c r="O271" s="20"/>
      <c r="P271" s="20"/>
      <c r="Q271" s="20"/>
      <c r="R271" s="20"/>
      <c r="S271" s="21"/>
    </row>
    <row r="272" spans="1:19" ht="17.25" x14ac:dyDescent="0.3">
      <c r="A272" s="316" t="s">
        <v>622</v>
      </c>
      <c r="B272" s="357"/>
      <c r="C272" s="358"/>
      <c r="D272" s="322"/>
      <c r="E272" s="361"/>
      <c r="F272" s="20"/>
      <c r="G272" s="21"/>
      <c r="H272" s="359">
        <v>1</v>
      </c>
      <c r="I272" s="360">
        <v>650</v>
      </c>
      <c r="J272" s="324">
        <v>10</v>
      </c>
      <c r="K272" s="362">
        <v>65</v>
      </c>
      <c r="L272" s="136">
        <f t="shared" si="59"/>
        <v>15.6585</v>
      </c>
      <c r="M272" s="138">
        <f t="shared" si="60"/>
        <v>80.658500000000004</v>
      </c>
      <c r="N272" s="19"/>
      <c r="O272" s="20"/>
      <c r="P272" s="20"/>
      <c r="Q272" s="20"/>
      <c r="R272" s="20"/>
      <c r="S272" s="21"/>
    </row>
    <row r="273" spans="1:19" ht="17.25" x14ac:dyDescent="0.3">
      <c r="A273" s="316" t="s">
        <v>623</v>
      </c>
      <c r="B273" s="357"/>
      <c r="C273" s="358"/>
      <c r="D273" s="322"/>
      <c r="E273" s="361"/>
      <c r="F273" s="20"/>
      <c r="G273" s="21"/>
      <c r="H273" s="359">
        <v>0.34810126582278483</v>
      </c>
      <c r="I273" s="360">
        <v>616.20000000000005</v>
      </c>
      <c r="J273" s="324">
        <v>10</v>
      </c>
      <c r="K273" s="362">
        <v>21.45</v>
      </c>
      <c r="L273" s="136">
        <f t="shared" si="59"/>
        <v>5.1673049999999998</v>
      </c>
      <c r="M273" s="138">
        <f t="shared" si="60"/>
        <v>26.617304999999998</v>
      </c>
      <c r="N273" s="19"/>
      <c r="O273" s="20"/>
      <c r="P273" s="20"/>
      <c r="Q273" s="20"/>
      <c r="R273" s="20"/>
      <c r="S273" s="21"/>
    </row>
    <row r="274" spans="1:19" ht="17.25" x14ac:dyDescent="0.3">
      <c r="A274" s="316" t="s">
        <v>623</v>
      </c>
      <c r="B274" s="357"/>
      <c r="C274" s="358"/>
      <c r="D274" s="322"/>
      <c r="E274" s="361"/>
      <c r="F274" s="20"/>
      <c r="G274" s="21"/>
      <c r="H274" s="359">
        <v>1</v>
      </c>
      <c r="I274" s="360">
        <v>616.20000000000005</v>
      </c>
      <c r="J274" s="324">
        <v>10</v>
      </c>
      <c r="K274" s="362">
        <v>61.62</v>
      </c>
      <c r="L274" s="136">
        <f t="shared" si="59"/>
        <v>14.844258</v>
      </c>
      <c r="M274" s="138">
        <f t="shared" si="60"/>
        <v>76.464258000000001</v>
      </c>
      <c r="N274" s="179"/>
      <c r="O274" s="180"/>
      <c r="P274" s="180"/>
      <c r="Q274" s="180"/>
      <c r="R274" s="180"/>
      <c r="S274" s="182"/>
    </row>
    <row r="275" spans="1:19" ht="17.25" x14ac:dyDescent="0.3">
      <c r="A275" s="316" t="s">
        <v>623</v>
      </c>
      <c r="B275" s="357"/>
      <c r="C275" s="358"/>
      <c r="D275" s="322"/>
      <c r="E275" s="361"/>
      <c r="F275" s="20"/>
      <c r="G275" s="21"/>
      <c r="H275" s="359">
        <v>0.75316455696202533</v>
      </c>
      <c r="I275" s="360">
        <v>616.20000000000005</v>
      </c>
      <c r="J275" s="324">
        <v>10</v>
      </c>
      <c r="K275" s="362">
        <v>46.41</v>
      </c>
      <c r="L275" s="136">
        <f t="shared" si="59"/>
        <v>11.180168999999999</v>
      </c>
      <c r="M275" s="138">
        <f t="shared" si="60"/>
        <v>57.590168999999996</v>
      </c>
      <c r="N275" s="179"/>
      <c r="O275" s="180"/>
      <c r="P275" s="180"/>
      <c r="Q275" s="180"/>
      <c r="R275" s="180"/>
      <c r="S275" s="182"/>
    </row>
    <row r="276" spans="1:19" ht="17.25" x14ac:dyDescent="0.3">
      <c r="A276" s="316" t="s">
        <v>623</v>
      </c>
      <c r="B276" s="357"/>
      <c r="C276" s="358"/>
      <c r="D276" s="322"/>
      <c r="E276" s="361"/>
      <c r="F276" s="20"/>
      <c r="G276" s="21"/>
      <c r="H276" s="359">
        <v>0.55696202531645567</v>
      </c>
      <c r="I276" s="360">
        <v>616.19999999999993</v>
      </c>
      <c r="J276" s="324">
        <v>10</v>
      </c>
      <c r="K276" s="362">
        <v>34.32</v>
      </c>
      <c r="L276" s="136">
        <f t="shared" si="59"/>
        <v>8.2676879999999997</v>
      </c>
      <c r="M276" s="138">
        <f t="shared" si="60"/>
        <v>42.587688</v>
      </c>
      <c r="N276" s="179"/>
      <c r="O276" s="180"/>
      <c r="P276" s="180"/>
      <c r="Q276" s="180"/>
      <c r="R276" s="180"/>
      <c r="S276" s="182"/>
    </row>
    <row r="277" spans="1:19" ht="17.25" x14ac:dyDescent="0.3">
      <c r="A277" s="316" t="s">
        <v>624</v>
      </c>
      <c r="B277" s="357"/>
      <c r="C277" s="358"/>
      <c r="D277" s="322"/>
      <c r="E277" s="361"/>
      <c r="F277" s="20"/>
      <c r="G277" s="21"/>
      <c r="H277" s="359">
        <v>0.89873417721518989</v>
      </c>
      <c r="I277" s="360">
        <v>703.1</v>
      </c>
      <c r="J277" s="324">
        <v>10</v>
      </c>
      <c r="K277" s="362">
        <v>63.19</v>
      </c>
      <c r="L277" s="136">
        <f t="shared" si="59"/>
        <v>15.222471000000001</v>
      </c>
      <c r="M277" s="138">
        <f t="shared" si="60"/>
        <v>78.412470999999996</v>
      </c>
      <c r="N277" s="179"/>
      <c r="O277" s="180"/>
      <c r="P277" s="180"/>
      <c r="Q277" s="180"/>
      <c r="R277" s="180"/>
      <c r="S277" s="182"/>
    </row>
    <row r="278" spans="1:19" ht="17.25" x14ac:dyDescent="0.3">
      <c r="A278" s="316" t="s">
        <v>625</v>
      </c>
      <c r="B278" s="357"/>
      <c r="C278" s="358"/>
      <c r="D278" s="322"/>
      <c r="E278" s="361"/>
      <c r="F278" s="20"/>
      <c r="G278" s="21"/>
      <c r="H278" s="359">
        <v>1.0253164556962024</v>
      </c>
      <c r="I278" s="360">
        <v>513.5</v>
      </c>
      <c r="J278" s="324">
        <v>10</v>
      </c>
      <c r="K278" s="362">
        <v>52.65</v>
      </c>
      <c r="L278" s="136">
        <f t="shared" si="59"/>
        <v>12.683384999999999</v>
      </c>
      <c r="M278" s="138">
        <f t="shared" si="60"/>
        <v>65.333384999999993</v>
      </c>
      <c r="N278" s="19"/>
      <c r="O278" s="20"/>
      <c r="P278" s="20"/>
      <c r="Q278" s="20"/>
      <c r="R278" s="20"/>
      <c r="S278" s="21"/>
    </row>
    <row r="279" spans="1:19" ht="17.25" x14ac:dyDescent="0.3">
      <c r="A279" s="316" t="s">
        <v>625</v>
      </c>
      <c r="B279" s="357"/>
      <c r="C279" s="358"/>
      <c r="D279" s="322"/>
      <c r="E279" s="361"/>
      <c r="F279" s="20"/>
      <c r="G279" s="21"/>
      <c r="H279" s="359">
        <v>1.0253164556962024</v>
      </c>
      <c r="I279" s="360">
        <v>513.5</v>
      </c>
      <c r="J279" s="324">
        <v>10</v>
      </c>
      <c r="K279" s="362">
        <v>52.65</v>
      </c>
      <c r="L279" s="136">
        <f t="shared" si="59"/>
        <v>12.683384999999999</v>
      </c>
      <c r="M279" s="138">
        <f t="shared" si="60"/>
        <v>65.333384999999993</v>
      </c>
      <c r="N279" s="179"/>
      <c r="O279" s="180"/>
      <c r="P279" s="180"/>
      <c r="Q279" s="180"/>
      <c r="R279" s="180"/>
      <c r="S279" s="182"/>
    </row>
    <row r="280" spans="1:19" ht="17.25" x14ac:dyDescent="0.3">
      <c r="A280" s="374"/>
      <c r="B280" s="364"/>
      <c r="C280" s="365"/>
      <c r="D280" s="366"/>
      <c r="E280" s="367"/>
      <c r="F280" s="180"/>
      <c r="G280" s="182"/>
      <c r="H280" s="375"/>
      <c r="I280" s="369"/>
      <c r="J280" s="366"/>
      <c r="K280" s="370"/>
      <c r="L280" s="352"/>
      <c r="M280" s="353"/>
      <c r="N280" s="179"/>
      <c r="O280" s="180"/>
      <c r="P280" s="180"/>
      <c r="Q280" s="180"/>
      <c r="R280" s="180"/>
      <c r="S280" s="182"/>
    </row>
    <row r="281" spans="1:19" ht="17.25" x14ac:dyDescent="0.3">
      <c r="A281" s="374"/>
      <c r="B281" s="364"/>
      <c r="C281" s="365"/>
      <c r="D281" s="366"/>
      <c r="E281" s="367"/>
      <c r="F281" s="180"/>
      <c r="G281" s="182"/>
      <c r="H281" s="375"/>
      <c r="I281" s="369"/>
      <c r="J281" s="366"/>
      <c r="K281" s="370"/>
      <c r="L281" s="352"/>
      <c r="M281" s="353"/>
      <c r="N281" s="179"/>
      <c r="O281" s="180"/>
      <c r="P281" s="180"/>
      <c r="Q281" s="180"/>
      <c r="R281" s="180"/>
      <c r="S281" s="182"/>
    </row>
    <row r="282" spans="1:19" ht="17.25" thickBot="1" x14ac:dyDescent="0.3">
      <c r="A282" s="314" t="s">
        <v>1</v>
      </c>
      <c r="B282" s="348"/>
      <c r="C282" s="180"/>
      <c r="D282" s="349"/>
      <c r="E282" s="349"/>
      <c r="F282" s="180"/>
      <c r="G282" s="182"/>
      <c r="H282" s="201"/>
      <c r="I282" s="350"/>
      <c r="J282" s="349"/>
      <c r="K282" s="351"/>
      <c r="L282" s="352"/>
      <c r="M282" s="353"/>
      <c r="N282" s="22"/>
      <c r="O282" s="23"/>
      <c r="P282" s="23"/>
      <c r="Q282" s="23"/>
      <c r="R282" s="23"/>
      <c r="S282" s="24"/>
    </row>
    <row r="283" spans="1:19" s="1" customFormat="1" ht="24" customHeight="1" x14ac:dyDescent="0.25">
      <c r="A283" s="309" t="s">
        <v>626</v>
      </c>
      <c r="B283" s="354"/>
      <c r="C283" s="335"/>
      <c r="D283" s="335"/>
      <c r="E283" s="335"/>
      <c r="F283" s="335"/>
      <c r="G283" s="336"/>
      <c r="H283" s="355">
        <f>H284+H290+H307+H324</f>
        <v>19.132911392405063</v>
      </c>
      <c r="I283" s="337"/>
      <c r="J283" s="335"/>
      <c r="K283" s="338">
        <f>K284+K290+K307+K324</f>
        <v>3032.6499999999996</v>
      </c>
      <c r="L283" s="338">
        <f t="shared" ref="L283:M283" si="61">L284+L290+L307+L324</f>
        <v>730.56538500000011</v>
      </c>
      <c r="M283" s="339">
        <f t="shared" si="61"/>
        <v>3763.215385</v>
      </c>
      <c r="N283" s="15"/>
      <c r="O283" s="16"/>
      <c r="P283" s="16"/>
      <c r="Q283" s="16"/>
      <c r="R283" s="16"/>
      <c r="S283" s="17"/>
    </row>
    <row r="284" spans="1:19" ht="37.5" customHeight="1" x14ac:dyDescent="0.25">
      <c r="A284" s="314" t="s">
        <v>14</v>
      </c>
      <c r="B284" s="346"/>
      <c r="C284" s="325"/>
      <c r="D284" s="325"/>
      <c r="E284" s="325"/>
      <c r="F284" s="325"/>
      <c r="G284" s="326"/>
      <c r="H284" s="356">
        <f>SUM(H285:H289)</f>
        <v>2.1329113924050631</v>
      </c>
      <c r="I284" s="340"/>
      <c r="J284" s="325"/>
      <c r="K284" s="327">
        <f>SUM(K285:K289)</f>
        <v>614.49</v>
      </c>
      <c r="L284" s="327">
        <f>SUM(L285:L289)</f>
        <v>148.030641</v>
      </c>
      <c r="M284" s="328">
        <f>SUM(M285:M289)</f>
        <v>762.52064099999996</v>
      </c>
      <c r="N284" s="19"/>
      <c r="O284" s="20"/>
      <c r="P284" s="20"/>
      <c r="Q284" s="20"/>
      <c r="R284" s="20"/>
      <c r="S284" s="21"/>
    </row>
    <row r="285" spans="1:19" ht="16.5" customHeight="1" x14ac:dyDescent="0.3">
      <c r="A285" s="316" t="s">
        <v>627</v>
      </c>
      <c r="B285" s="357"/>
      <c r="C285" s="358"/>
      <c r="D285" s="322"/>
      <c r="E285" s="361"/>
      <c r="F285" s="20"/>
      <c r="G285" s="21"/>
      <c r="H285" s="359">
        <v>0.64556962025316456</v>
      </c>
      <c r="I285" s="360">
        <v>1350.9</v>
      </c>
      <c r="J285" s="324">
        <v>20</v>
      </c>
      <c r="K285" s="362">
        <v>174.42</v>
      </c>
      <c r="L285" s="136">
        <f t="shared" ref="L285:L288" si="62">K285*0.2409</f>
        <v>42.017778</v>
      </c>
      <c r="M285" s="138">
        <f t="shared" ref="M285:M288" si="63">K285+L285</f>
        <v>216.43777799999998</v>
      </c>
      <c r="N285" s="19"/>
      <c r="O285" s="20"/>
      <c r="P285" s="20"/>
      <c r="Q285" s="20"/>
      <c r="R285" s="20"/>
      <c r="S285" s="21"/>
    </row>
    <row r="286" spans="1:19" ht="16.5" customHeight="1" x14ac:dyDescent="0.3">
      <c r="A286" s="316" t="s">
        <v>627</v>
      </c>
      <c r="B286" s="357"/>
      <c r="C286" s="358"/>
      <c r="D286" s="322"/>
      <c r="E286" s="361"/>
      <c r="F286" s="20"/>
      <c r="G286" s="21"/>
      <c r="H286" s="359">
        <v>0.41772151898734178</v>
      </c>
      <c r="I286" s="360">
        <v>1350.8999999999999</v>
      </c>
      <c r="J286" s="324">
        <v>20</v>
      </c>
      <c r="K286" s="362">
        <v>112.86</v>
      </c>
      <c r="L286" s="136">
        <f t="shared" si="62"/>
        <v>27.187974000000001</v>
      </c>
      <c r="M286" s="138">
        <f t="shared" si="63"/>
        <v>140.04797400000001</v>
      </c>
      <c r="N286" s="19"/>
      <c r="O286" s="20"/>
      <c r="P286" s="20"/>
      <c r="Q286" s="20"/>
      <c r="R286" s="20"/>
      <c r="S286" s="21"/>
    </row>
    <row r="287" spans="1:19" ht="16.5" customHeight="1" x14ac:dyDescent="0.3">
      <c r="A287" s="316" t="s">
        <v>627</v>
      </c>
      <c r="B287" s="357"/>
      <c r="C287" s="358"/>
      <c r="D287" s="322"/>
      <c r="E287" s="361"/>
      <c r="F287" s="20"/>
      <c r="G287" s="21"/>
      <c r="H287" s="359">
        <v>0.49367088607594939</v>
      </c>
      <c r="I287" s="360">
        <v>1350.8999999999999</v>
      </c>
      <c r="J287" s="324">
        <v>20</v>
      </c>
      <c r="K287" s="362">
        <v>133.38</v>
      </c>
      <c r="L287" s="136">
        <f t="shared" si="62"/>
        <v>32.131242</v>
      </c>
      <c r="M287" s="138">
        <f t="shared" si="63"/>
        <v>165.51124199999998</v>
      </c>
      <c r="N287" s="19"/>
      <c r="O287" s="20"/>
      <c r="P287" s="20"/>
      <c r="Q287" s="20"/>
      <c r="R287" s="20"/>
      <c r="S287" s="21"/>
    </row>
    <row r="288" spans="1:19" ht="16.5" customHeight="1" x14ac:dyDescent="0.3">
      <c r="A288" s="316" t="s">
        <v>628</v>
      </c>
      <c r="B288" s="357"/>
      <c r="C288" s="358"/>
      <c r="D288" s="322"/>
      <c r="E288" s="361"/>
      <c r="F288" s="20"/>
      <c r="G288" s="21"/>
      <c r="H288" s="359">
        <v>0.57594936708860756</v>
      </c>
      <c r="I288" s="360">
        <v>1682.6999999999998</v>
      </c>
      <c r="J288" s="324">
        <v>20</v>
      </c>
      <c r="K288" s="362">
        <v>193.83</v>
      </c>
      <c r="L288" s="136">
        <f t="shared" si="62"/>
        <v>46.693647000000006</v>
      </c>
      <c r="M288" s="138">
        <f t="shared" si="63"/>
        <v>240.52364700000001</v>
      </c>
      <c r="N288" s="19"/>
      <c r="O288" s="20"/>
      <c r="P288" s="20"/>
      <c r="Q288" s="20"/>
      <c r="R288" s="20"/>
      <c r="S288" s="21"/>
    </row>
    <row r="289" spans="1:19" ht="19.5" customHeight="1" x14ac:dyDescent="0.25">
      <c r="A289" s="314" t="s">
        <v>1</v>
      </c>
      <c r="B289" s="171"/>
      <c r="C289" s="20"/>
      <c r="D289" s="211"/>
      <c r="E289" s="211"/>
      <c r="F289" s="20"/>
      <c r="G289" s="21"/>
      <c r="H289" s="323"/>
      <c r="I289" s="315"/>
      <c r="J289" s="211"/>
      <c r="K289" s="210"/>
      <c r="L289" s="136"/>
      <c r="M289" s="138"/>
      <c r="N289" s="19"/>
      <c r="O289" s="20"/>
      <c r="P289" s="20"/>
      <c r="Q289" s="20"/>
      <c r="R289" s="20"/>
      <c r="S289" s="21"/>
    </row>
    <row r="290" spans="1:19" ht="49.5" customHeight="1" x14ac:dyDescent="0.25">
      <c r="A290" s="314" t="s">
        <v>12</v>
      </c>
      <c r="B290" s="346"/>
      <c r="C290" s="325"/>
      <c r="D290" s="325"/>
      <c r="E290" s="325"/>
      <c r="F290" s="325"/>
      <c r="G290" s="326"/>
      <c r="H290" s="356">
        <f>SUM(H291:H306)</f>
        <v>9.3164556962025316</v>
      </c>
      <c r="I290" s="340"/>
      <c r="J290" s="325"/>
      <c r="K290" s="327">
        <f>SUM(K291:K306)</f>
        <v>1561.7599999999998</v>
      </c>
      <c r="L290" s="327">
        <f t="shared" ref="L290:M290" si="64">SUM(L291:L306)</f>
        <v>376.22798400000011</v>
      </c>
      <c r="M290" s="328">
        <f t="shared" si="64"/>
        <v>1937.9879839999999</v>
      </c>
      <c r="N290" s="19"/>
      <c r="O290" s="20"/>
      <c r="P290" s="20"/>
      <c r="Q290" s="20"/>
      <c r="R290" s="20"/>
      <c r="S290" s="21"/>
    </row>
    <row r="291" spans="1:19" ht="17.25" x14ac:dyDescent="0.3">
      <c r="A291" s="316" t="s">
        <v>199</v>
      </c>
      <c r="B291" s="357"/>
      <c r="C291" s="358"/>
      <c r="D291" s="322"/>
      <c r="E291" s="361"/>
      <c r="F291" s="20"/>
      <c r="G291" s="21"/>
      <c r="H291" s="359">
        <v>0.89240506329113922</v>
      </c>
      <c r="I291" s="360">
        <v>742.6</v>
      </c>
      <c r="J291" s="324">
        <v>20</v>
      </c>
      <c r="K291" s="362">
        <v>132.54</v>
      </c>
      <c r="L291" s="136">
        <f t="shared" ref="L291:L321" si="65">K291*0.2409</f>
        <v>31.928885999999999</v>
      </c>
      <c r="M291" s="138">
        <f t="shared" ref="M291:M306" si="66">K291+L291</f>
        <v>164.468886</v>
      </c>
      <c r="N291" s="19"/>
      <c r="O291" s="20"/>
      <c r="P291" s="20"/>
      <c r="Q291" s="20"/>
      <c r="R291" s="20"/>
      <c r="S291" s="21"/>
    </row>
    <row r="292" spans="1:19" ht="17.25" x14ac:dyDescent="0.3">
      <c r="A292" s="316" t="s">
        <v>181</v>
      </c>
      <c r="B292" s="357"/>
      <c r="C292" s="358"/>
      <c r="D292" s="322"/>
      <c r="E292" s="361"/>
      <c r="F292" s="20"/>
      <c r="G292" s="21"/>
      <c r="H292" s="359">
        <v>0.23417721518987342</v>
      </c>
      <c r="I292" s="360">
        <v>742.6</v>
      </c>
      <c r="J292" s="324">
        <v>20</v>
      </c>
      <c r="K292" s="362">
        <v>34.78</v>
      </c>
      <c r="L292" s="136">
        <f t="shared" si="65"/>
        <v>8.378502000000001</v>
      </c>
      <c r="M292" s="138">
        <f t="shared" si="66"/>
        <v>43.158501999999999</v>
      </c>
      <c r="N292" s="19"/>
      <c r="O292" s="20"/>
      <c r="P292" s="20"/>
      <c r="Q292" s="20"/>
      <c r="R292" s="20"/>
      <c r="S292" s="21"/>
    </row>
    <row r="293" spans="1:19" ht="17.25" x14ac:dyDescent="0.3">
      <c r="A293" s="316" t="s">
        <v>629</v>
      </c>
      <c r="B293" s="357"/>
      <c r="C293" s="358"/>
      <c r="D293" s="322"/>
      <c r="E293" s="361"/>
      <c r="F293" s="20"/>
      <c r="G293" s="21"/>
      <c r="H293" s="359">
        <v>0.66455696202531644</v>
      </c>
      <c r="I293" s="360">
        <v>742.6</v>
      </c>
      <c r="J293" s="324">
        <v>20</v>
      </c>
      <c r="K293" s="362">
        <v>98.7</v>
      </c>
      <c r="L293" s="136">
        <f t="shared" si="65"/>
        <v>23.77683</v>
      </c>
      <c r="M293" s="138">
        <f t="shared" si="66"/>
        <v>122.47683000000001</v>
      </c>
      <c r="N293" s="19"/>
      <c r="O293" s="20"/>
      <c r="P293" s="20"/>
      <c r="Q293" s="20"/>
      <c r="R293" s="20"/>
      <c r="S293" s="21"/>
    </row>
    <row r="294" spans="1:19" ht="17.25" x14ac:dyDescent="0.3">
      <c r="A294" s="316" t="s">
        <v>629</v>
      </c>
      <c r="B294" s="357"/>
      <c r="C294" s="358"/>
      <c r="D294" s="322"/>
      <c r="E294" s="361"/>
      <c r="F294" s="20"/>
      <c r="G294" s="21"/>
      <c r="H294" s="359">
        <v>1.3101265822784811</v>
      </c>
      <c r="I294" s="360">
        <v>749.77487922705313</v>
      </c>
      <c r="J294" s="324">
        <v>20</v>
      </c>
      <c r="K294" s="362">
        <v>194.58</v>
      </c>
      <c r="L294" s="136">
        <f t="shared" si="65"/>
        <v>46.874322000000006</v>
      </c>
      <c r="M294" s="138">
        <f t="shared" si="66"/>
        <v>241.45432200000002</v>
      </c>
      <c r="N294" s="19"/>
      <c r="O294" s="20"/>
      <c r="P294" s="20"/>
      <c r="Q294" s="20"/>
      <c r="R294" s="20"/>
      <c r="S294" s="21"/>
    </row>
    <row r="295" spans="1:19" ht="17.25" x14ac:dyDescent="0.3">
      <c r="A295" s="316" t="s">
        <v>629</v>
      </c>
      <c r="B295" s="357"/>
      <c r="C295" s="358"/>
      <c r="D295" s="322"/>
      <c r="E295" s="361"/>
      <c r="F295" s="20"/>
      <c r="G295" s="21"/>
      <c r="H295" s="359">
        <v>0.48734177215189872</v>
      </c>
      <c r="I295" s="360">
        <v>742.59999999999991</v>
      </c>
      <c r="J295" s="324">
        <v>20</v>
      </c>
      <c r="K295" s="362">
        <v>72.38</v>
      </c>
      <c r="L295" s="136">
        <f t="shared" si="65"/>
        <v>17.436342</v>
      </c>
      <c r="M295" s="138">
        <f t="shared" si="66"/>
        <v>89.816341999999992</v>
      </c>
      <c r="N295" s="19"/>
      <c r="O295" s="20"/>
      <c r="P295" s="20"/>
      <c r="Q295" s="20"/>
      <c r="R295" s="20"/>
      <c r="S295" s="21"/>
    </row>
    <row r="296" spans="1:19" ht="17.25" x14ac:dyDescent="0.3">
      <c r="A296" s="316" t="s">
        <v>629</v>
      </c>
      <c r="B296" s="357"/>
      <c r="C296" s="358"/>
      <c r="D296" s="322"/>
      <c r="E296" s="361"/>
      <c r="F296" s="20"/>
      <c r="G296" s="21"/>
      <c r="H296" s="359">
        <v>0.78481012658227844</v>
      </c>
      <c r="I296" s="360">
        <v>742.59999999999991</v>
      </c>
      <c r="J296" s="324">
        <v>20</v>
      </c>
      <c r="K296" s="362">
        <v>116.56</v>
      </c>
      <c r="L296" s="136">
        <f t="shared" si="65"/>
        <v>28.079304</v>
      </c>
      <c r="M296" s="138">
        <f t="shared" si="66"/>
        <v>144.63930400000001</v>
      </c>
      <c r="N296" s="19"/>
      <c r="O296" s="20"/>
      <c r="P296" s="20"/>
      <c r="Q296" s="20"/>
      <c r="R296" s="20"/>
      <c r="S296" s="21"/>
    </row>
    <row r="297" spans="1:19" ht="17.25" x14ac:dyDescent="0.3">
      <c r="A297" s="316" t="s">
        <v>629</v>
      </c>
      <c r="B297" s="357"/>
      <c r="C297" s="358"/>
      <c r="D297" s="322"/>
      <c r="E297" s="361"/>
      <c r="F297" s="20"/>
      <c r="G297" s="21"/>
      <c r="H297" s="359">
        <v>0.26582278481012656</v>
      </c>
      <c r="I297" s="360">
        <v>742.6</v>
      </c>
      <c r="J297" s="324">
        <v>20</v>
      </c>
      <c r="K297" s="362">
        <v>39.479999999999997</v>
      </c>
      <c r="L297" s="136">
        <f t="shared" si="65"/>
        <v>9.5107319999999991</v>
      </c>
      <c r="M297" s="138">
        <f t="shared" si="66"/>
        <v>48.990731999999994</v>
      </c>
      <c r="N297" s="19"/>
      <c r="O297" s="20"/>
      <c r="P297" s="20"/>
      <c r="Q297" s="20"/>
      <c r="R297" s="20"/>
      <c r="S297" s="21"/>
    </row>
    <row r="298" spans="1:19" ht="17.25" x14ac:dyDescent="0.3">
      <c r="A298" s="316" t="s">
        <v>629</v>
      </c>
      <c r="B298" s="357"/>
      <c r="C298" s="358"/>
      <c r="D298" s="322"/>
      <c r="E298" s="361"/>
      <c r="F298" s="20"/>
      <c r="G298" s="21"/>
      <c r="H298" s="359">
        <v>0.41772151898734178</v>
      </c>
      <c r="I298" s="360">
        <v>742.6</v>
      </c>
      <c r="J298" s="324">
        <v>20</v>
      </c>
      <c r="K298" s="362">
        <v>62.04</v>
      </c>
      <c r="L298" s="136">
        <f t="shared" si="65"/>
        <v>14.945436000000001</v>
      </c>
      <c r="M298" s="138">
        <f t="shared" si="66"/>
        <v>76.985435999999993</v>
      </c>
      <c r="N298" s="19"/>
      <c r="O298" s="20"/>
      <c r="P298" s="20"/>
      <c r="Q298" s="20"/>
      <c r="R298" s="20"/>
      <c r="S298" s="21"/>
    </row>
    <row r="299" spans="1:19" ht="17.25" x14ac:dyDescent="0.3">
      <c r="A299" s="316" t="s">
        <v>629</v>
      </c>
      <c r="B299" s="357"/>
      <c r="C299" s="358"/>
      <c r="D299" s="322"/>
      <c r="E299" s="361"/>
      <c r="F299" s="20"/>
      <c r="G299" s="21"/>
      <c r="H299" s="359">
        <v>0.17088607594936708</v>
      </c>
      <c r="I299" s="360">
        <v>900.6</v>
      </c>
      <c r="J299" s="324">
        <v>20</v>
      </c>
      <c r="K299" s="362">
        <v>30.78</v>
      </c>
      <c r="L299" s="136">
        <f t="shared" si="65"/>
        <v>7.4149020000000005</v>
      </c>
      <c r="M299" s="138">
        <f t="shared" si="66"/>
        <v>38.194901999999999</v>
      </c>
      <c r="N299" s="19"/>
      <c r="O299" s="20"/>
      <c r="P299" s="20"/>
      <c r="Q299" s="20"/>
      <c r="R299" s="20"/>
      <c r="S299" s="21"/>
    </row>
    <row r="300" spans="1:19" ht="17.25" x14ac:dyDescent="0.3">
      <c r="A300" s="316" t="s">
        <v>629</v>
      </c>
      <c r="B300" s="357"/>
      <c r="C300" s="358"/>
      <c r="D300" s="322"/>
      <c r="E300" s="361"/>
      <c r="F300" s="20"/>
      <c r="G300" s="21"/>
      <c r="H300" s="359">
        <v>1.0506329113924051</v>
      </c>
      <c r="I300" s="360">
        <v>900.6</v>
      </c>
      <c r="J300" s="324">
        <v>20</v>
      </c>
      <c r="K300" s="362">
        <v>189.24</v>
      </c>
      <c r="L300" s="136">
        <f t="shared" si="65"/>
        <v>45.587916</v>
      </c>
      <c r="M300" s="138">
        <f t="shared" si="66"/>
        <v>234.82791600000002</v>
      </c>
      <c r="N300" s="19"/>
      <c r="O300" s="20"/>
      <c r="P300" s="20"/>
      <c r="Q300" s="20"/>
      <c r="R300" s="20"/>
      <c r="S300" s="21"/>
    </row>
    <row r="301" spans="1:19" ht="17.25" x14ac:dyDescent="0.3">
      <c r="A301" s="316" t="s">
        <v>629</v>
      </c>
      <c r="B301" s="357"/>
      <c r="C301" s="358"/>
      <c r="D301" s="322"/>
      <c r="E301" s="361"/>
      <c r="F301" s="20"/>
      <c r="G301" s="21"/>
      <c r="H301" s="359">
        <v>0.21518987341772153</v>
      </c>
      <c r="I301" s="360">
        <v>900.6</v>
      </c>
      <c r="J301" s="324">
        <v>20</v>
      </c>
      <c r="K301" s="362">
        <v>38.76</v>
      </c>
      <c r="L301" s="136">
        <f t="shared" si="65"/>
        <v>9.3372840000000004</v>
      </c>
      <c r="M301" s="138">
        <f t="shared" si="66"/>
        <v>48.097284000000002</v>
      </c>
      <c r="N301" s="19"/>
      <c r="O301" s="20"/>
      <c r="P301" s="20"/>
      <c r="Q301" s="20"/>
      <c r="R301" s="20"/>
      <c r="S301" s="21"/>
    </row>
    <row r="302" spans="1:19" ht="17.25" x14ac:dyDescent="0.3">
      <c r="A302" s="316" t="s">
        <v>629</v>
      </c>
      <c r="B302" s="357"/>
      <c r="C302" s="358"/>
      <c r="D302" s="322"/>
      <c r="E302" s="361"/>
      <c r="F302" s="20"/>
      <c r="G302" s="21"/>
      <c r="H302" s="359">
        <v>0.24050632911392406</v>
      </c>
      <c r="I302" s="360">
        <v>900.59999999999991</v>
      </c>
      <c r="J302" s="324">
        <v>20</v>
      </c>
      <c r="K302" s="362">
        <v>43.32</v>
      </c>
      <c r="L302" s="136">
        <f t="shared" si="65"/>
        <v>10.435788000000001</v>
      </c>
      <c r="M302" s="138">
        <f t="shared" si="66"/>
        <v>53.755788000000003</v>
      </c>
      <c r="N302" s="19"/>
      <c r="O302" s="20"/>
      <c r="P302" s="20"/>
      <c r="Q302" s="20"/>
      <c r="R302" s="20"/>
      <c r="S302" s="21"/>
    </row>
    <row r="303" spans="1:19" ht="17.25" x14ac:dyDescent="0.3">
      <c r="A303" s="316" t="s">
        <v>629</v>
      </c>
      <c r="B303" s="357"/>
      <c r="C303" s="358"/>
      <c r="D303" s="322"/>
      <c r="E303" s="361"/>
      <c r="F303" s="20"/>
      <c r="G303" s="21"/>
      <c r="H303" s="359">
        <v>1.4050632911392404</v>
      </c>
      <c r="I303" s="360">
        <v>900.6</v>
      </c>
      <c r="J303" s="324">
        <v>20</v>
      </c>
      <c r="K303" s="362">
        <v>253.08</v>
      </c>
      <c r="L303" s="136">
        <f t="shared" si="65"/>
        <v>60.966972000000005</v>
      </c>
      <c r="M303" s="138">
        <f t="shared" si="66"/>
        <v>314.04697200000004</v>
      </c>
      <c r="N303" s="19"/>
      <c r="O303" s="20"/>
      <c r="P303" s="20"/>
      <c r="Q303" s="20"/>
      <c r="R303" s="20"/>
      <c r="S303" s="21"/>
    </row>
    <row r="304" spans="1:19" ht="17.25" x14ac:dyDescent="0.3">
      <c r="A304" s="316" t="s">
        <v>629</v>
      </c>
      <c r="B304" s="357"/>
      <c r="C304" s="358"/>
      <c r="D304" s="322"/>
      <c r="E304" s="361"/>
      <c r="F304" s="20"/>
      <c r="G304" s="21"/>
      <c r="H304" s="359">
        <v>0.36708860759493672</v>
      </c>
      <c r="I304" s="360">
        <v>900.6</v>
      </c>
      <c r="J304" s="324">
        <v>20</v>
      </c>
      <c r="K304" s="362">
        <v>66.12</v>
      </c>
      <c r="L304" s="136">
        <f t="shared" si="65"/>
        <v>15.928308000000001</v>
      </c>
      <c r="M304" s="138">
        <f t="shared" si="66"/>
        <v>82.048308000000006</v>
      </c>
      <c r="N304" s="19"/>
      <c r="O304" s="20"/>
      <c r="P304" s="20"/>
      <c r="Q304" s="20"/>
      <c r="R304" s="20"/>
      <c r="S304" s="21"/>
    </row>
    <row r="305" spans="1:19" ht="17.25" x14ac:dyDescent="0.3">
      <c r="A305" s="316" t="s">
        <v>629</v>
      </c>
      <c r="B305" s="357"/>
      <c r="C305" s="358"/>
      <c r="D305" s="322"/>
      <c r="E305" s="361"/>
      <c r="F305" s="20"/>
      <c r="G305" s="21"/>
      <c r="H305" s="359">
        <v>0.26582278481012656</v>
      </c>
      <c r="I305" s="360">
        <v>900.60000000000014</v>
      </c>
      <c r="J305" s="324">
        <v>20</v>
      </c>
      <c r="K305" s="362">
        <v>47.88</v>
      </c>
      <c r="L305" s="136">
        <f t="shared" si="65"/>
        <v>11.534292000000001</v>
      </c>
      <c r="M305" s="138">
        <f t="shared" si="66"/>
        <v>59.414292000000003</v>
      </c>
      <c r="N305" s="19"/>
      <c r="O305" s="20"/>
      <c r="P305" s="20"/>
      <c r="Q305" s="20"/>
      <c r="R305" s="20"/>
      <c r="S305" s="21"/>
    </row>
    <row r="306" spans="1:19" ht="17.25" x14ac:dyDescent="0.3">
      <c r="A306" s="316" t="s">
        <v>96</v>
      </c>
      <c r="B306" s="357"/>
      <c r="C306" s="358"/>
      <c r="D306" s="322"/>
      <c r="E306" s="361"/>
      <c r="F306" s="20"/>
      <c r="G306" s="21"/>
      <c r="H306" s="359">
        <v>0.54430379746835444</v>
      </c>
      <c r="I306" s="360">
        <v>1299.9909302325582</v>
      </c>
      <c r="J306" s="324">
        <v>20</v>
      </c>
      <c r="K306" s="362">
        <v>141.52000000000001</v>
      </c>
      <c r="L306" s="136">
        <f t="shared" si="65"/>
        <v>34.092168000000001</v>
      </c>
      <c r="M306" s="138">
        <f t="shared" si="66"/>
        <v>175.612168</v>
      </c>
      <c r="N306" s="19"/>
      <c r="O306" s="20"/>
      <c r="P306" s="20"/>
      <c r="Q306" s="20"/>
      <c r="R306" s="20"/>
      <c r="S306" s="21"/>
    </row>
    <row r="307" spans="1:19" ht="64.5" customHeight="1" x14ac:dyDescent="0.25">
      <c r="A307" s="314" t="s">
        <v>13</v>
      </c>
      <c r="B307" s="346"/>
      <c r="C307" s="325"/>
      <c r="D307" s="325"/>
      <c r="E307" s="325"/>
      <c r="F307" s="325"/>
      <c r="G307" s="326"/>
      <c r="H307" s="356">
        <f>SUM(H308:H323)</f>
        <v>7.6835443037974684</v>
      </c>
      <c r="I307" s="340"/>
      <c r="J307" s="376"/>
      <c r="K307" s="327">
        <f>SUM(K308:K323)</f>
        <v>856.39999999999986</v>
      </c>
      <c r="L307" s="327">
        <f t="shared" ref="L307:M307" si="67">SUM(L308:L323)</f>
        <v>206.30676</v>
      </c>
      <c r="M307" s="328">
        <f t="shared" si="67"/>
        <v>1062.70676</v>
      </c>
      <c r="N307" s="19"/>
      <c r="O307" s="20"/>
      <c r="P307" s="20"/>
      <c r="Q307" s="20"/>
      <c r="R307" s="20"/>
      <c r="S307" s="21"/>
    </row>
    <row r="308" spans="1:19" ht="16.5" customHeight="1" x14ac:dyDescent="0.3">
      <c r="A308" s="316" t="s">
        <v>98</v>
      </c>
      <c r="B308" s="357"/>
      <c r="C308" s="358"/>
      <c r="D308" s="322"/>
      <c r="E308" s="361"/>
      <c r="F308" s="20"/>
      <c r="G308" s="21"/>
      <c r="H308" s="359">
        <v>1.1518987341772151</v>
      </c>
      <c r="I308" s="360">
        <v>521.4</v>
      </c>
      <c r="J308" s="324">
        <v>20</v>
      </c>
      <c r="K308" s="362">
        <v>120.12</v>
      </c>
      <c r="L308" s="136">
        <f t="shared" si="65"/>
        <v>28.936908000000003</v>
      </c>
      <c r="M308" s="138">
        <f t="shared" ref="M308:M321" si="68">K308+L308</f>
        <v>149.05690800000002</v>
      </c>
      <c r="N308" s="19"/>
      <c r="O308" s="20"/>
      <c r="P308" s="20"/>
      <c r="Q308" s="20"/>
      <c r="R308" s="20"/>
      <c r="S308" s="21"/>
    </row>
    <row r="309" spans="1:19" ht="16.5" customHeight="1" x14ac:dyDescent="0.3">
      <c r="A309" s="316" t="s">
        <v>98</v>
      </c>
      <c r="B309" s="357"/>
      <c r="C309" s="358"/>
      <c r="D309" s="322"/>
      <c r="E309" s="361"/>
      <c r="F309" s="20"/>
      <c r="G309" s="21"/>
      <c r="H309" s="359">
        <v>0.15189873417721519</v>
      </c>
      <c r="I309" s="360">
        <v>521.4</v>
      </c>
      <c r="J309" s="324">
        <v>20</v>
      </c>
      <c r="K309" s="362">
        <v>15.84</v>
      </c>
      <c r="L309" s="136">
        <f t="shared" si="65"/>
        <v>3.8158560000000001</v>
      </c>
      <c r="M309" s="138">
        <f t="shared" si="68"/>
        <v>19.655856</v>
      </c>
      <c r="N309" s="19"/>
      <c r="O309" s="20"/>
      <c r="P309" s="20"/>
      <c r="Q309" s="20"/>
      <c r="R309" s="20"/>
      <c r="S309" s="21"/>
    </row>
    <row r="310" spans="1:19" ht="16.5" customHeight="1" x14ac:dyDescent="0.3">
      <c r="A310" s="316" t="s">
        <v>98</v>
      </c>
      <c r="B310" s="357"/>
      <c r="C310" s="358"/>
      <c r="D310" s="322"/>
      <c r="E310" s="361"/>
      <c r="F310" s="20"/>
      <c r="G310" s="21"/>
      <c r="H310" s="359">
        <v>1.0632911392405062</v>
      </c>
      <c r="I310" s="360">
        <v>521.4</v>
      </c>
      <c r="J310" s="324">
        <v>20</v>
      </c>
      <c r="K310" s="362">
        <v>110.88</v>
      </c>
      <c r="L310" s="136">
        <f t="shared" si="65"/>
        <v>26.710992000000001</v>
      </c>
      <c r="M310" s="138">
        <f t="shared" si="68"/>
        <v>137.590992</v>
      </c>
      <c r="N310" s="19"/>
      <c r="O310" s="20"/>
      <c r="P310" s="20"/>
      <c r="Q310" s="20"/>
      <c r="R310" s="20"/>
      <c r="S310" s="21"/>
    </row>
    <row r="311" spans="1:19" ht="16.5" customHeight="1" x14ac:dyDescent="0.3">
      <c r="A311" s="316" t="s">
        <v>98</v>
      </c>
      <c r="B311" s="357"/>
      <c r="C311" s="358"/>
      <c r="D311" s="322"/>
      <c r="E311" s="361"/>
      <c r="F311" s="20"/>
      <c r="G311" s="21"/>
      <c r="H311" s="359">
        <v>0.2848101265822785</v>
      </c>
      <c r="I311" s="360">
        <v>521.4</v>
      </c>
      <c r="J311" s="324">
        <v>20</v>
      </c>
      <c r="K311" s="362">
        <v>29.7</v>
      </c>
      <c r="L311" s="136">
        <f t="shared" si="65"/>
        <v>7.1547299999999998</v>
      </c>
      <c r="M311" s="138">
        <f t="shared" si="68"/>
        <v>36.854729999999996</v>
      </c>
      <c r="N311" s="19"/>
      <c r="O311" s="20"/>
      <c r="P311" s="20"/>
      <c r="Q311" s="20"/>
      <c r="R311" s="20"/>
      <c r="S311" s="21"/>
    </row>
    <row r="312" spans="1:19" ht="16.5" customHeight="1" x14ac:dyDescent="0.3">
      <c r="A312" s="316" t="s">
        <v>98</v>
      </c>
      <c r="B312" s="357"/>
      <c r="C312" s="358"/>
      <c r="D312" s="322"/>
      <c r="E312" s="361"/>
      <c r="F312" s="20"/>
      <c r="G312" s="21"/>
      <c r="H312" s="359">
        <v>0.45569620253164556</v>
      </c>
      <c r="I312" s="360">
        <v>521.4</v>
      </c>
      <c r="J312" s="324">
        <v>20</v>
      </c>
      <c r="K312" s="362">
        <v>47.52</v>
      </c>
      <c r="L312" s="136">
        <f t="shared" si="65"/>
        <v>11.447568</v>
      </c>
      <c r="M312" s="138">
        <f t="shared" si="68"/>
        <v>58.967568</v>
      </c>
      <c r="N312" s="19"/>
      <c r="O312" s="20"/>
      <c r="P312" s="20"/>
      <c r="Q312" s="20"/>
      <c r="R312" s="20"/>
      <c r="S312" s="21"/>
    </row>
    <row r="313" spans="1:19" ht="16.5" customHeight="1" x14ac:dyDescent="0.3">
      <c r="A313" s="316" t="s">
        <v>98</v>
      </c>
      <c r="B313" s="357"/>
      <c r="C313" s="358"/>
      <c r="D313" s="322"/>
      <c r="E313" s="361"/>
      <c r="F313" s="20"/>
      <c r="G313" s="21"/>
      <c r="H313" s="359">
        <v>0.34810126582278483</v>
      </c>
      <c r="I313" s="360">
        <v>521.4</v>
      </c>
      <c r="J313" s="324">
        <v>20</v>
      </c>
      <c r="K313" s="362">
        <v>36.299999999999997</v>
      </c>
      <c r="L313" s="136">
        <f t="shared" si="65"/>
        <v>8.7446699999999993</v>
      </c>
      <c r="M313" s="138">
        <f t="shared" si="68"/>
        <v>45.044669999999996</v>
      </c>
      <c r="N313" s="19"/>
      <c r="O313" s="20"/>
      <c r="P313" s="20"/>
      <c r="Q313" s="20"/>
      <c r="R313" s="20"/>
      <c r="S313" s="21"/>
    </row>
    <row r="314" spans="1:19" ht="16.5" customHeight="1" x14ac:dyDescent="0.3">
      <c r="A314" s="316" t="s">
        <v>98</v>
      </c>
      <c r="B314" s="357"/>
      <c r="C314" s="358"/>
      <c r="D314" s="322"/>
      <c r="E314" s="361"/>
      <c r="F314" s="20"/>
      <c r="G314" s="21"/>
      <c r="H314" s="359">
        <v>0.54430379746835444</v>
      </c>
      <c r="I314" s="360">
        <v>521.4</v>
      </c>
      <c r="J314" s="324">
        <v>20</v>
      </c>
      <c r="K314" s="362">
        <v>56.76</v>
      </c>
      <c r="L314" s="136">
        <f t="shared" si="65"/>
        <v>13.673484</v>
      </c>
      <c r="M314" s="138">
        <f t="shared" si="68"/>
        <v>70.433483999999993</v>
      </c>
      <c r="N314" s="19"/>
      <c r="O314" s="20"/>
      <c r="P314" s="20"/>
      <c r="Q314" s="20"/>
      <c r="R314" s="20"/>
      <c r="S314" s="21"/>
    </row>
    <row r="315" spans="1:19" ht="16.5" customHeight="1" x14ac:dyDescent="0.3">
      <c r="A315" s="316" t="s">
        <v>98</v>
      </c>
      <c r="B315" s="357"/>
      <c r="C315" s="358"/>
      <c r="D315" s="322"/>
      <c r="E315" s="361"/>
      <c r="F315" s="20"/>
      <c r="G315" s="21"/>
      <c r="H315" s="359">
        <v>0.66455696202531644</v>
      </c>
      <c r="I315" s="360">
        <v>521.4</v>
      </c>
      <c r="J315" s="324">
        <v>20</v>
      </c>
      <c r="K315" s="362">
        <v>69.3</v>
      </c>
      <c r="L315" s="136">
        <f t="shared" si="65"/>
        <v>16.694369999999999</v>
      </c>
      <c r="M315" s="138">
        <f t="shared" si="68"/>
        <v>85.994370000000004</v>
      </c>
      <c r="N315" s="19"/>
      <c r="O315" s="20"/>
      <c r="P315" s="20"/>
      <c r="Q315" s="20"/>
      <c r="R315" s="20"/>
      <c r="S315" s="21"/>
    </row>
    <row r="316" spans="1:19" ht="16.5" customHeight="1" x14ac:dyDescent="0.3">
      <c r="A316" s="316" t="s">
        <v>98</v>
      </c>
      <c r="B316" s="357"/>
      <c r="C316" s="358"/>
      <c r="D316" s="322"/>
      <c r="E316" s="361"/>
      <c r="F316" s="20"/>
      <c r="G316" s="21"/>
      <c r="H316" s="359">
        <v>0.42405063291139239</v>
      </c>
      <c r="I316" s="360">
        <v>521.4</v>
      </c>
      <c r="J316" s="324">
        <v>20</v>
      </c>
      <c r="K316" s="362">
        <v>44.22</v>
      </c>
      <c r="L316" s="136">
        <f t="shared" si="65"/>
        <v>10.652597999999999</v>
      </c>
      <c r="M316" s="138">
        <f t="shared" si="68"/>
        <v>54.872597999999996</v>
      </c>
      <c r="N316" s="19"/>
      <c r="O316" s="20"/>
      <c r="P316" s="20"/>
      <c r="Q316" s="20"/>
      <c r="R316" s="20"/>
      <c r="S316" s="21"/>
    </row>
    <row r="317" spans="1:19" ht="16.5" customHeight="1" x14ac:dyDescent="0.3">
      <c r="A317" s="316" t="s">
        <v>98</v>
      </c>
      <c r="B317" s="357"/>
      <c r="C317" s="358"/>
      <c r="D317" s="322"/>
      <c r="E317" s="361"/>
      <c r="F317" s="20"/>
      <c r="G317" s="21"/>
      <c r="H317" s="359">
        <v>0.10126582278481013</v>
      </c>
      <c r="I317" s="360">
        <v>521.4</v>
      </c>
      <c r="J317" s="324">
        <v>20</v>
      </c>
      <c r="K317" s="362">
        <v>10.56</v>
      </c>
      <c r="L317" s="136">
        <f t="shared" si="65"/>
        <v>2.5439039999999999</v>
      </c>
      <c r="M317" s="138">
        <f t="shared" si="68"/>
        <v>13.103904</v>
      </c>
      <c r="N317" s="19"/>
      <c r="O317" s="20"/>
      <c r="P317" s="20"/>
      <c r="Q317" s="20"/>
      <c r="R317" s="20"/>
      <c r="S317" s="21"/>
    </row>
    <row r="318" spans="1:19" ht="16.5" customHeight="1" x14ac:dyDescent="0.3">
      <c r="A318" s="316" t="s">
        <v>98</v>
      </c>
      <c r="B318" s="357"/>
      <c r="C318" s="358"/>
      <c r="D318" s="322"/>
      <c r="E318" s="361"/>
      <c r="F318" s="20"/>
      <c r="G318" s="21"/>
      <c r="H318" s="359">
        <v>1.0632911392405062</v>
      </c>
      <c r="I318" s="360">
        <v>632</v>
      </c>
      <c r="J318" s="324">
        <v>20</v>
      </c>
      <c r="K318" s="362">
        <v>134.4</v>
      </c>
      <c r="L318" s="136">
        <f t="shared" si="65"/>
        <v>32.376960000000004</v>
      </c>
      <c r="M318" s="138">
        <f t="shared" si="68"/>
        <v>166.77696</v>
      </c>
      <c r="N318" s="19"/>
      <c r="O318" s="20"/>
      <c r="P318" s="20"/>
      <c r="Q318" s="20"/>
      <c r="R318" s="20"/>
      <c r="S318" s="21"/>
    </row>
    <row r="319" spans="1:19" ht="16.5" customHeight="1" x14ac:dyDescent="0.3">
      <c r="A319" s="316" t="s">
        <v>98</v>
      </c>
      <c r="B319" s="357"/>
      <c r="C319" s="358"/>
      <c r="D319" s="322"/>
      <c r="E319" s="361"/>
      <c r="F319" s="20"/>
      <c r="G319" s="21"/>
      <c r="H319" s="359">
        <v>0.54430379746835444</v>
      </c>
      <c r="I319" s="360">
        <v>632</v>
      </c>
      <c r="J319" s="324">
        <v>20</v>
      </c>
      <c r="K319" s="362">
        <v>68.8</v>
      </c>
      <c r="L319" s="136">
        <f t="shared" si="65"/>
        <v>16.573920000000001</v>
      </c>
      <c r="M319" s="138">
        <f t="shared" si="68"/>
        <v>85.373919999999998</v>
      </c>
      <c r="N319" s="19"/>
      <c r="O319" s="20"/>
      <c r="P319" s="20"/>
      <c r="Q319" s="20"/>
      <c r="R319" s="20"/>
      <c r="S319" s="21"/>
    </row>
    <row r="320" spans="1:19" ht="16.5" customHeight="1" x14ac:dyDescent="0.3">
      <c r="A320" s="316" t="s">
        <v>98</v>
      </c>
      <c r="B320" s="357"/>
      <c r="C320" s="358"/>
      <c r="D320" s="322"/>
      <c r="E320" s="361"/>
      <c r="F320" s="20"/>
      <c r="G320" s="21"/>
      <c r="H320" s="359">
        <v>0.21518987341772153</v>
      </c>
      <c r="I320" s="360">
        <v>632</v>
      </c>
      <c r="J320" s="324">
        <v>20</v>
      </c>
      <c r="K320" s="362">
        <v>27.2</v>
      </c>
      <c r="L320" s="136">
        <f t="shared" si="65"/>
        <v>6.5524800000000001</v>
      </c>
      <c r="M320" s="138">
        <f t="shared" si="68"/>
        <v>33.752479999999998</v>
      </c>
      <c r="N320" s="19"/>
      <c r="O320" s="20"/>
      <c r="P320" s="20"/>
      <c r="Q320" s="20"/>
      <c r="R320" s="20"/>
      <c r="S320" s="21"/>
    </row>
    <row r="321" spans="1:19" ht="16.5" customHeight="1" x14ac:dyDescent="0.3">
      <c r="A321" s="316" t="s">
        <v>98</v>
      </c>
      <c r="B321" s="357"/>
      <c r="C321" s="358"/>
      <c r="D321" s="322"/>
      <c r="E321" s="361"/>
      <c r="F321" s="20"/>
      <c r="G321" s="21"/>
      <c r="H321" s="359">
        <v>0.67088607594936711</v>
      </c>
      <c r="I321" s="360">
        <v>632</v>
      </c>
      <c r="J321" s="324">
        <v>20</v>
      </c>
      <c r="K321" s="362">
        <v>84.8</v>
      </c>
      <c r="L321" s="136">
        <f t="shared" si="65"/>
        <v>20.428319999999999</v>
      </c>
      <c r="M321" s="138">
        <f t="shared" si="68"/>
        <v>105.22832</v>
      </c>
      <c r="N321" s="19"/>
      <c r="O321" s="20"/>
      <c r="P321" s="20"/>
      <c r="Q321" s="20"/>
      <c r="R321" s="20"/>
      <c r="S321" s="21"/>
    </row>
    <row r="322" spans="1:19" x14ac:dyDescent="0.25">
      <c r="A322" s="314" t="s">
        <v>1</v>
      </c>
      <c r="B322" s="171"/>
      <c r="C322" s="20"/>
      <c r="D322" s="211"/>
      <c r="E322" s="211"/>
      <c r="F322" s="20"/>
      <c r="G322" s="21"/>
      <c r="H322" s="133"/>
      <c r="I322" s="315"/>
      <c r="J322" s="211"/>
      <c r="K322" s="210"/>
      <c r="L322" s="136"/>
      <c r="M322" s="138"/>
      <c r="N322" s="19"/>
      <c r="O322" s="20"/>
      <c r="P322" s="20"/>
      <c r="Q322" s="20"/>
      <c r="R322" s="20"/>
      <c r="S322" s="21"/>
    </row>
    <row r="323" spans="1:19" x14ac:dyDescent="0.25">
      <c r="A323" s="314" t="s">
        <v>1</v>
      </c>
      <c r="B323" s="171"/>
      <c r="C323" s="20"/>
      <c r="D323" s="211"/>
      <c r="E323" s="211"/>
      <c r="F323" s="20"/>
      <c r="G323" s="21"/>
      <c r="H323" s="133"/>
      <c r="I323" s="315"/>
      <c r="J323" s="211"/>
      <c r="K323" s="210"/>
      <c r="L323" s="136"/>
      <c r="M323" s="138"/>
      <c r="N323" s="19"/>
      <c r="O323" s="20"/>
      <c r="P323" s="20"/>
      <c r="Q323" s="20"/>
      <c r="R323" s="20"/>
      <c r="S323" s="21"/>
    </row>
    <row r="324" spans="1:19" ht="37.5" customHeight="1" x14ac:dyDescent="0.25">
      <c r="A324" s="314" t="s">
        <v>11</v>
      </c>
      <c r="B324" s="171"/>
      <c r="C324" s="20"/>
      <c r="D324" s="211"/>
      <c r="E324" s="211"/>
      <c r="F324" s="20"/>
      <c r="G324" s="21"/>
      <c r="H324" s="133"/>
      <c r="I324" s="315"/>
      <c r="J324" s="211"/>
      <c r="K324" s="210"/>
      <c r="L324" s="136"/>
      <c r="M324" s="138"/>
      <c r="N324" s="19"/>
      <c r="O324" s="20"/>
      <c r="P324" s="20"/>
      <c r="Q324" s="20"/>
      <c r="R324" s="20"/>
      <c r="S324" s="21"/>
    </row>
    <row r="325" spans="1:19" x14ac:dyDescent="0.25">
      <c r="A325" s="314" t="s">
        <v>1</v>
      </c>
      <c r="B325" s="171"/>
      <c r="C325" s="20"/>
      <c r="D325" s="211"/>
      <c r="E325" s="211"/>
      <c r="F325" s="20"/>
      <c r="G325" s="21"/>
      <c r="H325" s="133"/>
      <c r="I325" s="315"/>
      <c r="J325" s="211"/>
      <c r="K325" s="210"/>
      <c r="L325" s="136"/>
      <c r="M325" s="138"/>
      <c r="N325" s="19"/>
      <c r="O325" s="20"/>
      <c r="P325" s="20"/>
      <c r="Q325" s="20"/>
      <c r="R325" s="20"/>
      <c r="S325" s="21"/>
    </row>
    <row r="326" spans="1:19" ht="17.25" thickBot="1" x14ac:dyDescent="0.3">
      <c r="A326" s="314" t="s">
        <v>1</v>
      </c>
      <c r="B326" s="348"/>
      <c r="C326" s="180"/>
      <c r="D326" s="349"/>
      <c r="E326" s="349"/>
      <c r="F326" s="180"/>
      <c r="G326" s="182"/>
      <c r="H326" s="201"/>
      <c r="I326" s="350"/>
      <c r="J326" s="349"/>
      <c r="K326" s="351"/>
      <c r="L326" s="352"/>
      <c r="M326" s="353"/>
      <c r="N326" s="22"/>
      <c r="O326" s="23"/>
      <c r="P326" s="23"/>
      <c r="Q326" s="23"/>
      <c r="R326" s="23"/>
      <c r="S326" s="24"/>
    </row>
    <row r="327" spans="1:19" s="1" customFormat="1" ht="24" customHeight="1" x14ac:dyDescent="0.25">
      <c r="A327" s="309" t="s">
        <v>630</v>
      </c>
      <c r="B327" s="354"/>
      <c r="C327" s="335"/>
      <c r="D327" s="335"/>
      <c r="E327" s="335"/>
      <c r="F327" s="335"/>
      <c r="G327" s="336"/>
      <c r="H327" s="355">
        <f>H328+H333+H345+H354</f>
        <v>12.14240506329114</v>
      </c>
      <c r="I327" s="337"/>
      <c r="J327" s="335"/>
      <c r="K327" s="338">
        <f>K328+K333+K345+K354</f>
        <v>2129.556</v>
      </c>
      <c r="L327" s="338">
        <f t="shared" ref="L327:M327" si="69">L328+L333+L345+L354</f>
        <v>513.01004039999998</v>
      </c>
      <c r="M327" s="339">
        <f t="shared" si="69"/>
        <v>2642.5660404</v>
      </c>
      <c r="N327" s="15"/>
      <c r="O327" s="16"/>
      <c r="P327" s="16"/>
      <c r="Q327" s="16"/>
      <c r="R327" s="16"/>
      <c r="S327" s="17"/>
    </row>
    <row r="328" spans="1:19" ht="37.5" customHeight="1" x14ac:dyDescent="0.25">
      <c r="A328" s="314" t="s">
        <v>14</v>
      </c>
      <c r="B328" s="346"/>
      <c r="C328" s="325"/>
      <c r="D328" s="325"/>
      <c r="E328" s="325"/>
      <c r="F328" s="325"/>
      <c r="G328" s="326"/>
      <c r="H328" s="356">
        <f>SUM(H329:H332)</f>
        <v>1.0886075949367089</v>
      </c>
      <c r="I328" s="340"/>
      <c r="J328" s="325"/>
      <c r="K328" s="327">
        <f>SUM(K329:K332)</f>
        <v>339.63200000000001</v>
      </c>
      <c r="L328" s="327">
        <f t="shared" ref="L328:M328" si="70">SUM(L329:L332)</f>
        <v>81.817348800000005</v>
      </c>
      <c r="M328" s="328">
        <f t="shared" si="70"/>
        <v>421.4493488</v>
      </c>
      <c r="N328" s="19"/>
      <c r="O328" s="20"/>
      <c r="P328" s="20"/>
      <c r="Q328" s="20"/>
      <c r="R328" s="20"/>
      <c r="S328" s="21"/>
    </row>
    <row r="329" spans="1:19" ht="18.75" customHeight="1" x14ac:dyDescent="0.3">
      <c r="A329" s="316" t="s">
        <v>95</v>
      </c>
      <c r="B329" s="357"/>
      <c r="C329" s="358"/>
      <c r="D329" s="322"/>
      <c r="E329" s="371"/>
      <c r="F329" s="20"/>
      <c r="G329" s="21"/>
      <c r="H329" s="359">
        <v>0.17088607594936708</v>
      </c>
      <c r="I329" s="360">
        <v>1232.3999999999999</v>
      </c>
      <c r="J329" s="324">
        <v>20</v>
      </c>
      <c r="K329" s="372">
        <v>42.12</v>
      </c>
      <c r="L329" s="136">
        <f t="shared" ref="L329:L331" si="71">K329*0.2409</f>
        <v>10.146708</v>
      </c>
      <c r="M329" s="138">
        <f t="shared" ref="M329:M331" si="72">K329+L329</f>
        <v>52.266707999999994</v>
      </c>
      <c r="N329" s="19"/>
      <c r="O329" s="20"/>
      <c r="P329" s="20"/>
      <c r="Q329" s="20"/>
      <c r="R329" s="20"/>
      <c r="S329" s="21"/>
    </row>
    <row r="330" spans="1:19" ht="18.75" customHeight="1" x14ac:dyDescent="0.3">
      <c r="A330" s="316" t="s">
        <v>631</v>
      </c>
      <c r="B330" s="357"/>
      <c r="C330" s="358"/>
      <c r="D330" s="322"/>
      <c r="E330" s="371"/>
      <c r="F330" s="20"/>
      <c r="G330" s="21"/>
      <c r="H330" s="359">
        <v>0.17088607594936708</v>
      </c>
      <c r="I330" s="360">
        <v>1350.8999999999999</v>
      </c>
      <c r="J330" s="324">
        <v>20</v>
      </c>
      <c r="K330" s="372">
        <v>46.172000000000004</v>
      </c>
      <c r="L330" s="136">
        <f t="shared" si="71"/>
        <v>11.122834800000001</v>
      </c>
      <c r="M330" s="138">
        <f t="shared" si="72"/>
        <v>57.294834800000004</v>
      </c>
      <c r="N330" s="19"/>
      <c r="O330" s="20"/>
      <c r="P330" s="20"/>
      <c r="Q330" s="20"/>
      <c r="R330" s="20"/>
      <c r="S330" s="21"/>
    </row>
    <row r="331" spans="1:19" ht="18.75" customHeight="1" x14ac:dyDescent="0.3">
      <c r="A331" s="316" t="s">
        <v>632</v>
      </c>
      <c r="B331" s="357"/>
      <c r="C331" s="358"/>
      <c r="D331" s="322"/>
      <c r="E331" s="371"/>
      <c r="F331" s="20"/>
      <c r="G331" s="21"/>
      <c r="H331" s="359">
        <v>0.74683544303797467</v>
      </c>
      <c r="I331" s="360">
        <v>1682.7</v>
      </c>
      <c r="J331" s="324">
        <v>20</v>
      </c>
      <c r="K331" s="372">
        <v>251.34</v>
      </c>
      <c r="L331" s="136">
        <f t="shared" si="71"/>
        <v>60.547806000000001</v>
      </c>
      <c r="M331" s="138">
        <f t="shared" si="72"/>
        <v>311.88780600000001</v>
      </c>
      <c r="N331" s="19"/>
      <c r="O331" s="20"/>
      <c r="P331" s="20"/>
      <c r="Q331" s="20"/>
      <c r="R331" s="20"/>
      <c r="S331" s="21"/>
    </row>
    <row r="332" spans="1:19" ht="19.5" customHeight="1" x14ac:dyDescent="0.25">
      <c r="A332" s="314" t="s">
        <v>1</v>
      </c>
      <c r="B332" s="171"/>
      <c r="C332" s="20"/>
      <c r="D332" s="211"/>
      <c r="E332" s="211"/>
      <c r="F332" s="20"/>
      <c r="G332" s="21"/>
      <c r="H332" s="133"/>
      <c r="I332" s="315"/>
      <c r="J332" s="211"/>
      <c r="K332" s="210"/>
      <c r="L332" s="136"/>
      <c r="M332" s="138"/>
      <c r="N332" s="19"/>
      <c r="O332" s="20"/>
      <c r="P332" s="20"/>
      <c r="Q332" s="20"/>
      <c r="R332" s="20"/>
      <c r="S332" s="21"/>
    </row>
    <row r="333" spans="1:19" ht="49.5" customHeight="1" x14ac:dyDescent="0.25">
      <c r="A333" s="314" t="s">
        <v>12</v>
      </c>
      <c r="B333" s="346"/>
      <c r="C333" s="325"/>
      <c r="D333" s="325"/>
      <c r="E333" s="325"/>
      <c r="F333" s="325"/>
      <c r="G333" s="326"/>
      <c r="H333" s="356">
        <f>SUM(H334:H344)</f>
        <v>6.2436708860759502</v>
      </c>
      <c r="I333" s="347"/>
      <c r="J333" s="325"/>
      <c r="K333" s="327">
        <f>SUM(K334:K344)</f>
        <v>1197.444</v>
      </c>
      <c r="L333" s="327">
        <f t="shared" ref="L333:M333" si="73">SUM(L334:L344)</f>
        <v>288.46425959999999</v>
      </c>
      <c r="M333" s="328">
        <f t="shared" si="73"/>
        <v>1485.9082595999998</v>
      </c>
      <c r="N333" s="19"/>
      <c r="O333" s="20"/>
      <c r="P333" s="20"/>
      <c r="Q333" s="20"/>
      <c r="R333" s="20"/>
      <c r="S333" s="21"/>
    </row>
    <row r="334" spans="1:19" ht="17.25" x14ac:dyDescent="0.3">
      <c r="A334" s="316" t="s">
        <v>633</v>
      </c>
      <c r="B334" s="357"/>
      <c r="C334" s="358"/>
      <c r="D334" s="322"/>
      <c r="E334" s="371"/>
      <c r="F334" s="20"/>
      <c r="G334" s="21"/>
      <c r="H334" s="359">
        <v>0.16455696202531644</v>
      </c>
      <c r="I334" s="360">
        <v>742.60000000000014</v>
      </c>
      <c r="J334" s="324">
        <v>20</v>
      </c>
      <c r="K334" s="372">
        <v>24.439999999999998</v>
      </c>
      <c r="L334" s="136">
        <f t="shared" ref="L334:L343" si="74">K334*0.2409</f>
        <v>5.8875959999999994</v>
      </c>
      <c r="M334" s="138">
        <f t="shared" ref="M334:M343" si="75">K334+L334</f>
        <v>30.327595999999996</v>
      </c>
      <c r="N334" s="19"/>
      <c r="O334" s="20"/>
      <c r="P334" s="20"/>
      <c r="Q334" s="20"/>
      <c r="R334" s="20"/>
      <c r="S334" s="21"/>
    </row>
    <row r="335" spans="1:19" ht="17.25" x14ac:dyDescent="0.3">
      <c r="A335" s="316" t="s">
        <v>633</v>
      </c>
      <c r="B335" s="357"/>
      <c r="C335" s="358"/>
      <c r="D335" s="322"/>
      <c r="E335" s="371"/>
      <c r="F335" s="20"/>
      <c r="G335" s="21"/>
      <c r="H335" s="359">
        <v>0.35443037974683544</v>
      </c>
      <c r="I335" s="360">
        <v>742.6</v>
      </c>
      <c r="J335" s="324">
        <v>20</v>
      </c>
      <c r="K335" s="372">
        <v>52.639999999999993</v>
      </c>
      <c r="L335" s="136">
        <f t="shared" si="74"/>
        <v>12.680975999999999</v>
      </c>
      <c r="M335" s="138">
        <f t="shared" si="75"/>
        <v>65.320975999999987</v>
      </c>
      <c r="N335" s="19"/>
      <c r="O335" s="20"/>
      <c r="P335" s="20"/>
      <c r="Q335" s="20"/>
      <c r="R335" s="20"/>
      <c r="S335" s="21"/>
    </row>
    <row r="336" spans="1:19" ht="17.25" x14ac:dyDescent="0.3">
      <c r="A336" s="316" t="s">
        <v>634</v>
      </c>
      <c r="B336" s="357"/>
      <c r="C336" s="358"/>
      <c r="D336" s="322"/>
      <c r="E336" s="371"/>
      <c r="F336" s="20"/>
      <c r="G336" s="21"/>
      <c r="H336" s="359">
        <v>0.45569620253164556</v>
      </c>
      <c r="I336" s="360">
        <v>900.59999999999991</v>
      </c>
      <c r="J336" s="324">
        <v>20</v>
      </c>
      <c r="K336" s="372">
        <v>82.08</v>
      </c>
      <c r="L336" s="136">
        <f t="shared" si="74"/>
        <v>19.773071999999999</v>
      </c>
      <c r="M336" s="138">
        <f t="shared" si="75"/>
        <v>101.853072</v>
      </c>
      <c r="N336" s="19"/>
      <c r="O336" s="20"/>
      <c r="P336" s="20"/>
      <c r="Q336" s="20"/>
      <c r="R336" s="20"/>
      <c r="S336" s="21"/>
    </row>
    <row r="337" spans="1:19" ht="17.25" x14ac:dyDescent="0.3">
      <c r="A337" s="316" t="s">
        <v>633</v>
      </c>
      <c r="B337" s="357"/>
      <c r="C337" s="358"/>
      <c r="D337" s="322"/>
      <c r="E337" s="371"/>
      <c r="F337" s="20"/>
      <c r="G337" s="21"/>
      <c r="H337" s="359">
        <v>1.1265822784810127</v>
      </c>
      <c r="I337" s="360">
        <v>900.60000000000014</v>
      </c>
      <c r="J337" s="324">
        <v>20</v>
      </c>
      <c r="K337" s="372">
        <v>202.92000000000002</v>
      </c>
      <c r="L337" s="136">
        <f t="shared" si="74"/>
        <v>48.883428000000002</v>
      </c>
      <c r="M337" s="138">
        <f t="shared" si="75"/>
        <v>251.80342800000003</v>
      </c>
      <c r="N337" s="19"/>
      <c r="O337" s="20"/>
      <c r="P337" s="20"/>
      <c r="Q337" s="20"/>
      <c r="R337" s="20"/>
      <c r="S337" s="21"/>
    </row>
    <row r="338" spans="1:19" ht="17.25" x14ac:dyDescent="0.3">
      <c r="A338" s="316" t="s">
        <v>633</v>
      </c>
      <c r="B338" s="357"/>
      <c r="C338" s="358"/>
      <c r="D338" s="322"/>
      <c r="E338" s="371"/>
      <c r="F338" s="20"/>
      <c r="G338" s="21"/>
      <c r="H338" s="359">
        <v>0.59493670886075944</v>
      </c>
      <c r="I338" s="360">
        <v>900.59999999999991</v>
      </c>
      <c r="J338" s="324">
        <v>20</v>
      </c>
      <c r="K338" s="372">
        <v>107.16</v>
      </c>
      <c r="L338" s="136">
        <f t="shared" si="74"/>
        <v>25.814844000000001</v>
      </c>
      <c r="M338" s="138">
        <f t="shared" si="75"/>
        <v>132.97484399999999</v>
      </c>
      <c r="N338" s="19"/>
      <c r="O338" s="20"/>
      <c r="P338" s="20"/>
      <c r="Q338" s="20"/>
      <c r="R338" s="20"/>
      <c r="S338" s="21"/>
    </row>
    <row r="339" spans="1:19" ht="17.25" x14ac:dyDescent="0.3">
      <c r="A339" s="316" t="s">
        <v>633</v>
      </c>
      <c r="B339" s="357"/>
      <c r="C339" s="358"/>
      <c r="D339" s="322"/>
      <c r="E339" s="371"/>
      <c r="F339" s="20"/>
      <c r="G339" s="21"/>
      <c r="H339" s="359">
        <v>0.54430379746835444</v>
      </c>
      <c r="I339" s="360">
        <v>900.59999999999991</v>
      </c>
      <c r="J339" s="324">
        <v>20</v>
      </c>
      <c r="K339" s="372">
        <v>98.04</v>
      </c>
      <c r="L339" s="136">
        <f t="shared" si="74"/>
        <v>23.617836</v>
      </c>
      <c r="M339" s="138">
        <f t="shared" si="75"/>
        <v>121.657836</v>
      </c>
      <c r="N339" s="19"/>
      <c r="O339" s="20"/>
      <c r="P339" s="20"/>
      <c r="Q339" s="20"/>
      <c r="R339" s="20"/>
      <c r="S339" s="21"/>
    </row>
    <row r="340" spans="1:19" ht="17.25" x14ac:dyDescent="0.3">
      <c r="A340" s="316" t="s">
        <v>96</v>
      </c>
      <c r="B340" s="357"/>
      <c r="C340" s="358"/>
      <c r="D340" s="322"/>
      <c r="E340" s="371"/>
      <c r="F340" s="20"/>
      <c r="G340" s="21"/>
      <c r="H340" s="359">
        <v>1.1170886075949367</v>
      </c>
      <c r="I340" s="360">
        <v>1300.0043059490085</v>
      </c>
      <c r="J340" s="324">
        <v>20</v>
      </c>
      <c r="K340" s="372">
        <v>290.44400000000002</v>
      </c>
      <c r="L340" s="136">
        <f t="shared" si="74"/>
        <v>69.9679596</v>
      </c>
      <c r="M340" s="138">
        <f t="shared" si="75"/>
        <v>360.41195960000005</v>
      </c>
      <c r="N340" s="19"/>
      <c r="O340" s="20"/>
      <c r="P340" s="20"/>
      <c r="Q340" s="20"/>
      <c r="R340" s="20"/>
      <c r="S340" s="21"/>
    </row>
    <row r="341" spans="1:19" ht="17.25" x14ac:dyDescent="0.3">
      <c r="A341" s="316" t="s">
        <v>209</v>
      </c>
      <c r="B341" s="357"/>
      <c r="C341" s="358"/>
      <c r="D341" s="322"/>
      <c r="E341" s="371"/>
      <c r="F341" s="20"/>
      <c r="G341" s="21"/>
      <c r="H341" s="359">
        <v>1.0253164556962024</v>
      </c>
      <c r="I341" s="360">
        <v>900.59999999999991</v>
      </c>
      <c r="J341" s="324">
        <v>20</v>
      </c>
      <c r="K341" s="372">
        <v>184.68</v>
      </c>
      <c r="L341" s="136">
        <f t="shared" si="74"/>
        <v>44.489412000000002</v>
      </c>
      <c r="M341" s="138">
        <f t="shared" si="75"/>
        <v>229.16941200000002</v>
      </c>
      <c r="N341" s="19"/>
      <c r="O341" s="20"/>
      <c r="P341" s="20"/>
      <c r="Q341" s="20"/>
      <c r="R341" s="20"/>
      <c r="S341" s="21"/>
    </row>
    <row r="342" spans="1:19" ht="17.25" x14ac:dyDescent="0.3">
      <c r="A342" s="316" t="s">
        <v>633</v>
      </c>
      <c r="B342" s="357"/>
      <c r="C342" s="358"/>
      <c r="D342" s="322"/>
      <c r="E342" s="371"/>
      <c r="F342" s="20"/>
      <c r="G342" s="21"/>
      <c r="H342" s="359">
        <v>0.30379746835443039</v>
      </c>
      <c r="I342" s="360">
        <v>900.6</v>
      </c>
      <c r="J342" s="324">
        <v>20</v>
      </c>
      <c r="K342" s="372">
        <v>54.720000000000006</v>
      </c>
      <c r="L342" s="136">
        <f t="shared" si="74"/>
        <v>13.182048000000002</v>
      </c>
      <c r="M342" s="138">
        <f t="shared" si="75"/>
        <v>67.902048000000008</v>
      </c>
      <c r="N342" s="19"/>
      <c r="O342" s="20"/>
      <c r="P342" s="20"/>
      <c r="Q342" s="20"/>
      <c r="R342" s="20"/>
      <c r="S342" s="21"/>
    </row>
    <row r="343" spans="1:19" ht="17.25" x14ac:dyDescent="0.3">
      <c r="A343" s="316" t="s">
        <v>633</v>
      </c>
      <c r="B343" s="357"/>
      <c r="C343" s="358"/>
      <c r="D343" s="322"/>
      <c r="E343" s="371"/>
      <c r="F343" s="20"/>
      <c r="G343" s="21"/>
      <c r="H343" s="359">
        <v>0.55696202531645567</v>
      </c>
      <c r="I343" s="360">
        <v>900.6</v>
      </c>
      <c r="J343" s="324">
        <v>20</v>
      </c>
      <c r="K343" s="377">
        <v>100.32</v>
      </c>
      <c r="L343" s="136">
        <f t="shared" si="74"/>
        <v>24.167088</v>
      </c>
      <c r="M343" s="138">
        <f t="shared" si="75"/>
        <v>124.487088</v>
      </c>
      <c r="N343" s="19"/>
      <c r="O343" s="20"/>
      <c r="P343" s="20"/>
      <c r="Q343" s="20"/>
      <c r="R343" s="20"/>
      <c r="S343" s="21"/>
    </row>
    <row r="344" spans="1:19" x14ac:dyDescent="0.25">
      <c r="A344" s="314" t="s">
        <v>1</v>
      </c>
      <c r="B344" s="171"/>
      <c r="C344" s="20"/>
      <c r="D344" s="211"/>
      <c r="E344" s="211"/>
      <c r="F344" s="20"/>
      <c r="G344" s="21"/>
      <c r="H344" s="133"/>
      <c r="I344" s="315"/>
      <c r="J344" s="211"/>
      <c r="K344" s="210"/>
      <c r="L344" s="136"/>
      <c r="M344" s="138"/>
      <c r="N344" s="19"/>
      <c r="O344" s="20"/>
      <c r="P344" s="20"/>
      <c r="Q344" s="20"/>
      <c r="R344" s="20"/>
      <c r="S344" s="21"/>
    </row>
    <row r="345" spans="1:19" ht="64.5" customHeight="1" x14ac:dyDescent="0.25">
      <c r="A345" s="314" t="s">
        <v>13</v>
      </c>
      <c r="B345" s="346"/>
      <c r="C345" s="325"/>
      <c r="D345" s="325"/>
      <c r="E345" s="325"/>
      <c r="F345" s="325"/>
      <c r="G345" s="326"/>
      <c r="H345" s="356">
        <f>SUM(H346:H353)</f>
        <v>4.8101265822784809</v>
      </c>
      <c r="I345" s="340"/>
      <c r="J345" s="325"/>
      <c r="K345" s="327">
        <f>SUM(K346:K353)</f>
        <v>592.48</v>
      </c>
      <c r="L345" s="327">
        <f t="shared" ref="L345:M345" si="76">SUM(L346:L353)</f>
        <v>142.728432</v>
      </c>
      <c r="M345" s="328">
        <f t="shared" si="76"/>
        <v>735.20843200000002</v>
      </c>
      <c r="N345" s="19"/>
      <c r="O345" s="20"/>
      <c r="P345" s="20"/>
      <c r="Q345" s="20"/>
      <c r="R345" s="20"/>
      <c r="S345" s="21"/>
    </row>
    <row r="346" spans="1:19" ht="17.25" x14ac:dyDescent="0.3">
      <c r="A346" s="316" t="s">
        <v>98</v>
      </c>
      <c r="B346" s="357"/>
      <c r="C346" s="358"/>
      <c r="D346" s="322"/>
      <c r="E346" s="371"/>
      <c r="F346" s="20"/>
      <c r="G346" s="21"/>
      <c r="H346" s="359">
        <v>0.68354430379746833</v>
      </c>
      <c r="I346" s="360">
        <v>521.4</v>
      </c>
      <c r="J346" s="324">
        <v>20</v>
      </c>
      <c r="K346" s="372">
        <v>71.279999999999987</v>
      </c>
      <c r="L346" s="136">
        <f t="shared" ref="L346:L352" si="77">K346*0.2409</f>
        <v>17.171351999999999</v>
      </c>
      <c r="M346" s="138">
        <f t="shared" ref="M346:M352" si="78">K346+L346</f>
        <v>88.451351999999986</v>
      </c>
      <c r="N346" s="19"/>
      <c r="O346" s="20"/>
      <c r="P346" s="20"/>
      <c r="Q346" s="20"/>
      <c r="R346" s="20"/>
      <c r="S346" s="21"/>
    </row>
    <row r="347" spans="1:19" ht="17.25" x14ac:dyDescent="0.3">
      <c r="A347" s="316" t="s">
        <v>98</v>
      </c>
      <c r="B347" s="357"/>
      <c r="C347" s="358"/>
      <c r="D347" s="322"/>
      <c r="E347" s="371"/>
      <c r="F347" s="20"/>
      <c r="G347" s="21"/>
      <c r="H347" s="359">
        <v>1.0506329113924051</v>
      </c>
      <c r="I347" s="360">
        <v>632</v>
      </c>
      <c r="J347" s="324">
        <v>20</v>
      </c>
      <c r="K347" s="372">
        <v>132.79999999999998</v>
      </c>
      <c r="L347" s="136">
        <f t="shared" si="77"/>
        <v>31.991519999999998</v>
      </c>
      <c r="M347" s="138">
        <f t="shared" si="78"/>
        <v>164.79151999999999</v>
      </c>
      <c r="N347" s="19"/>
      <c r="O347" s="20"/>
      <c r="P347" s="20"/>
      <c r="Q347" s="20"/>
      <c r="R347" s="20"/>
      <c r="S347" s="21"/>
    </row>
    <row r="348" spans="1:19" ht="17.25" x14ac:dyDescent="0.3">
      <c r="A348" s="316" t="s">
        <v>98</v>
      </c>
      <c r="B348" s="357"/>
      <c r="C348" s="358"/>
      <c r="D348" s="322"/>
      <c r="E348" s="371"/>
      <c r="F348" s="20"/>
      <c r="G348" s="21"/>
      <c r="H348" s="359">
        <v>0.50632911392405067</v>
      </c>
      <c r="I348" s="360">
        <v>632</v>
      </c>
      <c r="J348" s="324">
        <v>20</v>
      </c>
      <c r="K348" s="372">
        <v>64</v>
      </c>
      <c r="L348" s="136">
        <f t="shared" si="77"/>
        <v>15.4176</v>
      </c>
      <c r="M348" s="138">
        <f t="shared" si="78"/>
        <v>79.417599999999993</v>
      </c>
      <c r="N348" s="19"/>
      <c r="O348" s="20"/>
      <c r="P348" s="20"/>
      <c r="Q348" s="20"/>
      <c r="R348" s="20"/>
      <c r="S348" s="21"/>
    </row>
    <row r="349" spans="1:19" ht="17.25" x14ac:dyDescent="0.3">
      <c r="A349" s="316" t="s">
        <v>98</v>
      </c>
      <c r="B349" s="357"/>
      <c r="C349" s="358"/>
      <c r="D349" s="322"/>
      <c r="E349" s="371"/>
      <c r="F349" s="20"/>
      <c r="G349" s="21"/>
      <c r="H349" s="359">
        <v>0.96202531645569622</v>
      </c>
      <c r="I349" s="360">
        <v>632</v>
      </c>
      <c r="J349" s="324">
        <v>20</v>
      </c>
      <c r="K349" s="372">
        <v>121.6</v>
      </c>
      <c r="L349" s="136">
        <f t="shared" si="77"/>
        <v>29.29344</v>
      </c>
      <c r="M349" s="138">
        <f t="shared" si="78"/>
        <v>150.89344</v>
      </c>
      <c r="N349" s="19"/>
      <c r="O349" s="20"/>
      <c r="P349" s="20"/>
      <c r="Q349" s="20"/>
      <c r="R349" s="20"/>
      <c r="S349" s="21"/>
    </row>
    <row r="350" spans="1:19" ht="17.25" x14ac:dyDescent="0.3">
      <c r="A350" s="316" t="s">
        <v>98</v>
      </c>
      <c r="B350" s="357"/>
      <c r="C350" s="358"/>
      <c r="D350" s="322"/>
      <c r="E350" s="371"/>
      <c r="F350" s="20"/>
      <c r="G350" s="21"/>
      <c r="H350" s="359">
        <v>0.44303797468354428</v>
      </c>
      <c r="I350" s="360">
        <v>632</v>
      </c>
      <c r="J350" s="324">
        <v>20</v>
      </c>
      <c r="K350" s="372">
        <v>55.6</v>
      </c>
      <c r="L350" s="136">
        <f t="shared" si="77"/>
        <v>13.39404</v>
      </c>
      <c r="M350" s="138">
        <f t="shared" si="78"/>
        <v>68.994039999999998</v>
      </c>
      <c r="N350" s="19"/>
      <c r="O350" s="20"/>
      <c r="P350" s="20"/>
      <c r="Q350" s="20"/>
      <c r="R350" s="20"/>
      <c r="S350" s="21"/>
    </row>
    <row r="351" spans="1:19" ht="17.25" x14ac:dyDescent="0.3">
      <c r="A351" s="316" t="s">
        <v>98</v>
      </c>
      <c r="B351" s="357"/>
      <c r="C351" s="358"/>
      <c r="D351" s="322"/>
      <c r="E351" s="371"/>
      <c r="F351" s="20"/>
      <c r="G351" s="21"/>
      <c r="H351" s="359">
        <v>1.0126582278481013</v>
      </c>
      <c r="I351" s="360">
        <v>632</v>
      </c>
      <c r="J351" s="324">
        <v>20</v>
      </c>
      <c r="K351" s="372">
        <v>128</v>
      </c>
      <c r="L351" s="136">
        <f t="shared" si="77"/>
        <v>30.8352</v>
      </c>
      <c r="M351" s="138">
        <f t="shared" si="78"/>
        <v>158.83519999999999</v>
      </c>
      <c r="N351" s="19"/>
      <c r="O351" s="20"/>
      <c r="P351" s="20"/>
      <c r="Q351" s="20"/>
      <c r="R351" s="20"/>
      <c r="S351" s="21"/>
    </row>
    <row r="352" spans="1:19" ht="17.25" x14ac:dyDescent="0.3">
      <c r="A352" s="316" t="s">
        <v>98</v>
      </c>
      <c r="B352" s="357"/>
      <c r="C352" s="358"/>
      <c r="D352" s="322"/>
      <c r="E352" s="371"/>
      <c r="F352" s="20"/>
      <c r="G352" s="21"/>
      <c r="H352" s="359">
        <v>0.15189873417721519</v>
      </c>
      <c r="I352" s="360">
        <v>632</v>
      </c>
      <c r="J352" s="324">
        <v>20</v>
      </c>
      <c r="K352" s="372">
        <v>19.2</v>
      </c>
      <c r="L352" s="136">
        <f t="shared" si="77"/>
        <v>4.6252800000000001</v>
      </c>
      <c r="M352" s="138">
        <f t="shared" si="78"/>
        <v>23.825279999999999</v>
      </c>
      <c r="N352" s="19"/>
      <c r="O352" s="20"/>
      <c r="P352" s="20"/>
      <c r="Q352" s="20"/>
      <c r="R352" s="20"/>
      <c r="S352" s="21"/>
    </row>
    <row r="353" spans="1:19" x14ac:dyDescent="0.25">
      <c r="A353" s="314" t="s">
        <v>1</v>
      </c>
      <c r="B353" s="171"/>
      <c r="C353" s="20"/>
      <c r="D353" s="211"/>
      <c r="E353" s="211"/>
      <c r="F353" s="20"/>
      <c r="G353" s="21"/>
      <c r="H353" s="133"/>
      <c r="I353" s="315"/>
      <c r="J353" s="211"/>
      <c r="K353" s="210"/>
      <c r="L353" s="136"/>
      <c r="M353" s="138"/>
      <c r="N353" s="19"/>
      <c r="O353" s="20"/>
      <c r="P353" s="20"/>
      <c r="Q353" s="20"/>
      <c r="R353" s="20"/>
      <c r="S353" s="21"/>
    </row>
    <row r="354" spans="1:19" ht="37.5" customHeight="1" x14ac:dyDescent="0.25">
      <c r="A354" s="314" t="s">
        <v>11</v>
      </c>
      <c r="B354" s="171"/>
      <c r="C354" s="20"/>
      <c r="D354" s="211"/>
      <c r="E354" s="211"/>
      <c r="F354" s="20"/>
      <c r="G354" s="21"/>
      <c r="H354" s="133"/>
      <c r="I354" s="315"/>
      <c r="J354" s="211"/>
      <c r="K354" s="210"/>
      <c r="L354" s="136"/>
      <c r="M354" s="138"/>
      <c r="N354" s="19"/>
      <c r="O354" s="20"/>
      <c r="P354" s="20"/>
      <c r="Q354" s="20"/>
      <c r="R354" s="20"/>
      <c r="S354" s="21"/>
    </row>
    <row r="355" spans="1:19" x14ac:dyDescent="0.25">
      <c r="A355" s="314" t="s">
        <v>1</v>
      </c>
      <c r="B355" s="171"/>
      <c r="C355" s="20"/>
      <c r="D355" s="211"/>
      <c r="E355" s="211"/>
      <c r="F355" s="20"/>
      <c r="G355" s="21"/>
      <c r="H355" s="133"/>
      <c r="I355" s="315"/>
      <c r="J355" s="211"/>
      <c r="K355" s="210"/>
      <c r="L355" s="136"/>
      <c r="M355" s="138"/>
      <c r="N355" s="19"/>
      <c r="O355" s="20"/>
      <c r="P355" s="20"/>
      <c r="Q355" s="20"/>
      <c r="R355" s="20"/>
      <c r="S355" s="21"/>
    </row>
    <row r="356" spans="1:19" ht="17.25" thickBot="1" x14ac:dyDescent="0.3">
      <c r="A356" s="314" t="s">
        <v>1</v>
      </c>
      <c r="B356" s="348"/>
      <c r="C356" s="180"/>
      <c r="D356" s="349"/>
      <c r="E356" s="349"/>
      <c r="F356" s="180"/>
      <c r="G356" s="182"/>
      <c r="H356" s="201"/>
      <c r="I356" s="350"/>
      <c r="J356" s="349"/>
      <c r="K356" s="351"/>
      <c r="L356" s="352"/>
      <c r="M356" s="353"/>
      <c r="N356" s="22"/>
      <c r="O356" s="23"/>
      <c r="P356" s="23"/>
      <c r="Q356" s="23"/>
      <c r="R356" s="23"/>
      <c r="S356" s="24"/>
    </row>
    <row r="357" spans="1:19" s="1" customFormat="1" ht="24" customHeight="1" x14ac:dyDescent="0.25">
      <c r="A357" s="309" t="s">
        <v>635</v>
      </c>
      <c r="B357" s="354"/>
      <c r="C357" s="335"/>
      <c r="D357" s="335"/>
      <c r="E357" s="335"/>
      <c r="F357" s="335"/>
      <c r="G357" s="336"/>
      <c r="H357" s="355">
        <v>1</v>
      </c>
      <c r="I357" s="378"/>
      <c r="J357" s="335"/>
      <c r="K357" s="338">
        <f>K358+K361+K364+K367</f>
        <v>135</v>
      </c>
      <c r="L357" s="338">
        <f t="shared" ref="L357:M357" si="79">L358+L361+L364+L367</f>
        <v>32.521500000000003</v>
      </c>
      <c r="M357" s="339">
        <f t="shared" si="79"/>
        <v>167.5215</v>
      </c>
      <c r="N357" s="15"/>
      <c r="O357" s="16"/>
      <c r="P357" s="16"/>
      <c r="Q357" s="16"/>
      <c r="R357" s="16"/>
      <c r="S357" s="17"/>
    </row>
    <row r="358" spans="1:19" ht="37.5" customHeight="1" x14ac:dyDescent="0.25">
      <c r="A358" s="314" t="s">
        <v>14</v>
      </c>
      <c r="B358" s="171"/>
      <c r="C358" s="20"/>
      <c r="D358" s="211"/>
      <c r="E358" s="211"/>
      <c r="F358" s="20"/>
      <c r="G358" s="21"/>
      <c r="H358" s="133"/>
      <c r="I358" s="315"/>
      <c r="J358" s="211"/>
      <c r="K358" s="210"/>
      <c r="L358" s="136"/>
      <c r="M358" s="138"/>
      <c r="N358" s="19"/>
      <c r="O358" s="20"/>
      <c r="P358" s="20"/>
      <c r="Q358" s="20"/>
      <c r="R358" s="20"/>
      <c r="S358" s="21"/>
    </row>
    <row r="359" spans="1:19" ht="18.75" customHeight="1" x14ac:dyDescent="0.25">
      <c r="A359" s="314" t="s">
        <v>1</v>
      </c>
      <c r="B359" s="171"/>
      <c r="C359" s="20"/>
      <c r="D359" s="211"/>
      <c r="E359" s="211"/>
      <c r="F359" s="20"/>
      <c r="G359" s="21"/>
      <c r="H359" s="133"/>
      <c r="I359" s="315"/>
      <c r="J359" s="211"/>
      <c r="K359" s="210"/>
      <c r="L359" s="136"/>
      <c r="M359" s="138"/>
      <c r="N359" s="19"/>
      <c r="O359" s="20"/>
      <c r="P359" s="20"/>
      <c r="Q359" s="20"/>
      <c r="R359" s="20"/>
      <c r="S359" s="21"/>
    </row>
    <row r="360" spans="1:19" ht="19.5" customHeight="1" x14ac:dyDescent="0.25">
      <c r="A360" s="314" t="s">
        <v>1</v>
      </c>
      <c r="B360" s="171"/>
      <c r="C360" s="20"/>
      <c r="D360" s="211"/>
      <c r="E360" s="211"/>
      <c r="F360" s="20"/>
      <c r="G360" s="21"/>
      <c r="H360" s="133"/>
      <c r="I360" s="315"/>
      <c r="J360" s="211"/>
      <c r="K360" s="210"/>
      <c r="L360" s="136"/>
      <c r="M360" s="138"/>
      <c r="N360" s="19"/>
      <c r="O360" s="20"/>
      <c r="P360" s="20"/>
      <c r="Q360" s="20"/>
      <c r="R360" s="20"/>
      <c r="S360" s="21"/>
    </row>
    <row r="361" spans="1:19" ht="49.5" customHeight="1" x14ac:dyDescent="0.25">
      <c r="A361" s="314" t="s">
        <v>12</v>
      </c>
      <c r="B361" s="171"/>
      <c r="C361" s="20"/>
      <c r="D361" s="211"/>
      <c r="E361" s="211"/>
      <c r="F361" s="20"/>
      <c r="G361" s="21"/>
      <c r="H361" s="133"/>
      <c r="I361" s="315"/>
      <c r="J361" s="211"/>
      <c r="K361" s="210"/>
      <c r="L361" s="136"/>
      <c r="M361" s="138"/>
      <c r="N361" s="19"/>
      <c r="O361" s="20"/>
      <c r="P361" s="20"/>
      <c r="Q361" s="20"/>
      <c r="R361" s="20"/>
      <c r="S361" s="21"/>
    </row>
    <row r="362" spans="1:19" x14ac:dyDescent="0.25">
      <c r="A362" s="314" t="s">
        <v>1</v>
      </c>
      <c r="B362" s="171"/>
      <c r="C362" s="20"/>
      <c r="D362" s="211"/>
      <c r="E362" s="211"/>
      <c r="F362" s="20"/>
      <c r="G362" s="21"/>
      <c r="H362" s="133"/>
      <c r="I362" s="315"/>
      <c r="J362" s="211"/>
      <c r="K362" s="210"/>
      <c r="L362" s="136"/>
      <c r="M362" s="138"/>
      <c r="N362" s="19"/>
      <c r="O362" s="20"/>
      <c r="P362" s="20"/>
      <c r="Q362" s="20"/>
      <c r="R362" s="20"/>
      <c r="S362" s="21"/>
    </row>
    <row r="363" spans="1:19" x14ac:dyDescent="0.25">
      <c r="A363" s="314" t="s">
        <v>1</v>
      </c>
      <c r="B363" s="171"/>
      <c r="C363" s="20"/>
      <c r="D363" s="211"/>
      <c r="E363" s="211"/>
      <c r="F363" s="20"/>
      <c r="G363" s="21"/>
      <c r="H363" s="133"/>
      <c r="I363" s="315"/>
      <c r="J363" s="211"/>
      <c r="K363" s="210"/>
      <c r="L363" s="136"/>
      <c r="M363" s="138"/>
      <c r="N363" s="19"/>
      <c r="O363" s="20"/>
      <c r="P363" s="20"/>
      <c r="Q363" s="20"/>
      <c r="R363" s="20"/>
      <c r="S363" s="21"/>
    </row>
    <row r="364" spans="1:19" ht="64.5" customHeight="1" x14ac:dyDescent="0.25">
      <c r="A364" s="314" t="s">
        <v>13</v>
      </c>
      <c r="B364" s="171"/>
      <c r="C364" s="20"/>
      <c r="D364" s="211"/>
      <c r="E364" s="211"/>
      <c r="F364" s="20"/>
      <c r="G364" s="21"/>
      <c r="H364" s="133"/>
      <c r="I364" s="315"/>
      <c r="J364" s="211"/>
      <c r="K364" s="210"/>
      <c r="L364" s="136"/>
      <c r="M364" s="138"/>
      <c r="N364" s="19"/>
      <c r="O364" s="20"/>
      <c r="P364" s="20"/>
      <c r="Q364" s="20"/>
      <c r="R364" s="20"/>
      <c r="S364" s="21"/>
    </row>
    <row r="365" spans="1:19" x14ac:dyDescent="0.25">
      <c r="A365" s="314" t="s">
        <v>1</v>
      </c>
      <c r="B365" s="171"/>
      <c r="C365" s="20"/>
      <c r="D365" s="211"/>
      <c r="E365" s="211"/>
      <c r="F365" s="20"/>
      <c r="G365" s="21"/>
      <c r="H365" s="133"/>
      <c r="I365" s="315"/>
      <c r="J365" s="211"/>
      <c r="K365" s="210"/>
      <c r="L365" s="136"/>
      <c r="M365" s="138"/>
      <c r="N365" s="19"/>
      <c r="O365" s="20"/>
      <c r="P365" s="20"/>
      <c r="Q365" s="20"/>
      <c r="R365" s="20"/>
      <c r="S365" s="21"/>
    </row>
    <row r="366" spans="1:19" x14ac:dyDescent="0.25">
      <c r="A366" s="314" t="s">
        <v>1</v>
      </c>
      <c r="B366" s="171"/>
      <c r="C366" s="20"/>
      <c r="D366" s="211"/>
      <c r="E366" s="211"/>
      <c r="F366" s="20"/>
      <c r="G366" s="21"/>
      <c r="H366" s="133"/>
      <c r="I366" s="315"/>
      <c r="J366" s="211"/>
      <c r="K366" s="210"/>
      <c r="L366" s="136"/>
      <c r="M366" s="138"/>
      <c r="N366" s="19"/>
      <c r="O366" s="20"/>
      <c r="P366" s="20"/>
      <c r="Q366" s="20"/>
      <c r="R366" s="20"/>
      <c r="S366" s="21"/>
    </row>
    <row r="367" spans="1:19" ht="37.5" customHeight="1" x14ac:dyDescent="0.25">
      <c r="A367" s="314" t="s">
        <v>11</v>
      </c>
      <c r="B367" s="346"/>
      <c r="C367" s="325"/>
      <c r="D367" s="325"/>
      <c r="E367" s="325"/>
      <c r="F367" s="325"/>
      <c r="G367" s="326"/>
      <c r="H367" s="340">
        <v>1</v>
      </c>
      <c r="I367" s="347"/>
      <c r="J367" s="325"/>
      <c r="K367" s="327">
        <f>K368</f>
        <v>135</v>
      </c>
      <c r="L367" s="327">
        <f t="shared" ref="L367:M367" si="80">L368</f>
        <v>32.521500000000003</v>
      </c>
      <c r="M367" s="328">
        <f t="shared" si="80"/>
        <v>167.5215</v>
      </c>
      <c r="N367" s="19"/>
      <c r="O367" s="20"/>
      <c r="P367" s="20"/>
      <c r="Q367" s="20"/>
      <c r="R367" s="20"/>
      <c r="S367" s="21"/>
    </row>
    <row r="368" spans="1:19" ht="17.25" x14ac:dyDescent="0.3">
      <c r="A368" s="316" t="s">
        <v>636</v>
      </c>
      <c r="B368" s="357"/>
      <c r="C368" s="358"/>
      <c r="D368" s="322"/>
      <c r="E368" s="361"/>
      <c r="F368" s="20"/>
      <c r="G368" s="21"/>
      <c r="H368" s="363">
        <v>1</v>
      </c>
      <c r="I368" s="360">
        <v>1350</v>
      </c>
      <c r="J368" s="324">
        <v>10</v>
      </c>
      <c r="K368" s="362">
        <v>135</v>
      </c>
      <c r="L368" s="136">
        <f t="shared" ref="L368" si="81">K368*0.2409</f>
        <v>32.521500000000003</v>
      </c>
      <c r="M368" s="138">
        <f t="shared" ref="M368" si="82">K368+L368</f>
        <v>167.5215</v>
      </c>
      <c r="N368" s="19"/>
      <c r="O368" s="20"/>
      <c r="P368" s="20"/>
      <c r="Q368" s="20"/>
      <c r="R368" s="20"/>
      <c r="S368" s="21"/>
    </row>
    <row r="369" spans="1:19" ht="17.25" thickBot="1" x14ac:dyDescent="0.3">
      <c r="A369" s="314" t="s">
        <v>1</v>
      </c>
      <c r="B369" s="348"/>
      <c r="C369" s="180"/>
      <c r="D369" s="349"/>
      <c r="E369" s="349"/>
      <c r="F369" s="180"/>
      <c r="G369" s="182"/>
      <c r="H369" s="201"/>
      <c r="I369" s="350"/>
      <c r="J369" s="349"/>
      <c r="K369" s="351"/>
      <c r="L369" s="352"/>
      <c r="M369" s="353"/>
      <c r="N369" s="22"/>
      <c r="O369" s="23"/>
      <c r="P369" s="23"/>
      <c r="Q369" s="23"/>
      <c r="R369" s="23"/>
      <c r="S369" s="24"/>
    </row>
    <row r="370" spans="1:19" ht="17.25" thickBot="1" x14ac:dyDescent="0.3">
      <c r="A370" s="314" t="s">
        <v>1</v>
      </c>
      <c r="B370" s="184"/>
      <c r="C370" s="23"/>
      <c r="D370" s="225"/>
      <c r="E370" s="225"/>
      <c r="F370" s="23"/>
      <c r="G370" s="24"/>
      <c r="H370" s="141"/>
      <c r="I370" s="332"/>
      <c r="J370" s="225"/>
      <c r="K370" s="333"/>
      <c r="L370" s="142"/>
      <c r="M370" s="143"/>
      <c r="N370" s="22"/>
      <c r="O370" s="23"/>
      <c r="P370" s="23"/>
      <c r="Q370" s="23"/>
      <c r="R370" s="23"/>
      <c r="S370" s="24"/>
    </row>
    <row r="371" spans="1:19" ht="36" customHeight="1" x14ac:dyDescent="0.25">
      <c r="A371" s="901" t="s">
        <v>33</v>
      </c>
      <c r="B371" s="901"/>
      <c r="C371" s="901"/>
      <c r="D371" s="901"/>
      <c r="E371" s="901"/>
      <c r="F371" s="901"/>
      <c r="G371" s="901"/>
      <c r="H371" s="901"/>
      <c r="I371" s="901"/>
      <c r="J371" s="901"/>
      <c r="K371" s="901"/>
      <c r="L371" s="901"/>
      <c r="M371" s="901"/>
      <c r="N371" s="25"/>
      <c r="O371" s="25"/>
    </row>
    <row r="374" spans="1:19" ht="18" customHeight="1" x14ac:dyDescent="0.25"/>
  </sheetData>
  <mergeCells count="6">
    <mergeCell ref="N6:S6"/>
    <mergeCell ref="A2:M2"/>
    <mergeCell ref="A371:M371"/>
    <mergeCell ref="A6:A7"/>
    <mergeCell ref="B6:G6"/>
    <mergeCell ref="H6:M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4"/>
  <sheetViews>
    <sheetView zoomScale="55" zoomScaleNormal="55" workbookViewId="0">
      <selection activeCell="F143" sqref="F143"/>
    </sheetView>
  </sheetViews>
  <sheetFormatPr defaultColWidth="9.140625" defaultRowHeight="16.5" x14ac:dyDescent="0.25"/>
  <cols>
    <col min="1" max="1" width="42.7109375" style="2" customWidth="1"/>
    <col min="2" max="2" width="14" style="2" customWidth="1"/>
    <col min="3" max="3" width="16" style="2" customWidth="1"/>
    <col min="4" max="19" width="14" style="2" customWidth="1"/>
    <col min="20" max="20" width="15.85546875" style="2" customWidth="1"/>
    <col min="21" max="16384" width="9.140625" style="2"/>
  </cols>
  <sheetData>
    <row r="2" spans="1:19" s="1" customFormat="1" ht="48.75" customHeight="1" x14ac:dyDescent="0.25">
      <c r="A2" s="860" t="s">
        <v>15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4" spans="1:19" x14ac:dyDescent="0.25">
      <c r="A4" s="2" t="s">
        <v>1015</v>
      </c>
    </row>
    <row r="5" spans="1:19" ht="17.25" thickBot="1" x14ac:dyDescent="0.3"/>
    <row r="6" spans="1:19" ht="24" customHeight="1" x14ac:dyDescent="0.25">
      <c r="A6" s="906"/>
      <c r="B6" s="857" t="s">
        <v>2</v>
      </c>
      <c r="C6" s="858"/>
      <c r="D6" s="858"/>
      <c r="E6" s="858"/>
      <c r="F6" s="858"/>
      <c r="G6" s="859"/>
      <c r="H6" s="857" t="s">
        <v>4</v>
      </c>
      <c r="I6" s="858"/>
      <c r="J6" s="858"/>
      <c r="K6" s="858"/>
      <c r="L6" s="858"/>
      <c r="M6" s="859"/>
      <c r="N6" s="857" t="s">
        <v>5</v>
      </c>
      <c r="O6" s="858"/>
      <c r="P6" s="858"/>
      <c r="Q6" s="858"/>
      <c r="R6" s="858"/>
      <c r="S6" s="859"/>
    </row>
    <row r="7" spans="1:19" ht="104.25" customHeight="1" x14ac:dyDescent="0.25">
      <c r="A7" s="907"/>
      <c r="B7" s="3" t="s">
        <v>27</v>
      </c>
      <c r="C7" s="4" t="s">
        <v>10</v>
      </c>
      <c r="D7" s="4" t="s">
        <v>6</v>
      </c>
      <c r="E7" s="4" t="s">
        <v>7</v>
      </c>
      <c r="F7" s="4" t="s">
        <v>8</v>
      </c>
      <c r="G7" s="5" t="s">
        <v>9</v>
      </c>
      <c r="H7" s="3" t="s">
        <v>28</v>
      </c>
      <c r="I7" s="4" t="s">
        <v>10</v>
      </c>
      <c r="J7" s="4" t="s">
        <v>6</v>
      </c>
      <c r="K7" s="4" t="s">
        <v>7</v>
      </c>
      <c r="L7" s="4" t="s">
        <v>8</v>
      </c>
      <c r="M7" s="5" t="s">
        <v>9</v>
      </c>
      <c r="N7" s="3" t="s">
        <v>28</v>
      </c>
      <c r="O7" s="4" t="s">
        <v>10</v>
      </c>
      <c r="P7" s="4" t="s">
        <v>6</v>
      </c>
      <c r="Q7" s="4" t="s">
        <v>7</v>
      </c>
      <c r="R7" s="4" t="s">
        <v>8</v>
      </c>
      <c r="S7" s="5" t="s">
        <v>9</v>
      </c>
    </row>
    <row r="8" spans="1:19" ht="13.5" customHeight="1" x14ac:dyDescent="0.25">
      <c r="A8" s="6"/>
      <c r="B8" s="7"/>
      <c r="C8" s="8"/>
      <c r="D8" s="8"/>
      <c r="E8" s="8"/>
      <c r="F8" s="8"/>
      <c r="G8" s="9"/>
      <c r="H8" s="7"/>
      <c r="I8" s="8"/>
      <c r="J8" s="8"/>
      <c r="K8" s="8"/>
      <c r="L8" s="8"/>
      <c r="M8" s="9"/>
      <c r="N8" s="7"/>
      <c r="O8" s="8"/>
      <c r="P8" s="8"/>
      <c r="Q8" s="8"/>
      <c r="R8" s="8"/>
      <c r="S8" s="9"/>
    </row>
    <row r="9" spans="1:19" s="1" customFormat="1" ht="26.25" customHeight="1" x14ac:dyDescent="0.25">
      <c r="A9" s="10" t="s">
        <v>0</v>
      </c>
      <c r="B9" s="11"/>
      <c r="C9" s="12"/>
      <c r="D9" s="12"/>
      <c r="E9" s="12"/>
      <c r="F9" s="12"/>
      <c r="G9" s="13"/>
      <c r="H9" s="427">
        <f>H10+H46</f>
        <v>29.270000000000003</v>
      </c>
      <c r="I9" s="12"/>
      <c r="J9" s="12"/>
      <c r="K9" s="12">
        <f>K10+K46</f>
        <v>7015.8044200000004</v>
      </c>
      <c r="L9" s="12">
        <f>L10+L46</f>
        <v>1690.1072847780001</v>
      </c>
      <c r="M9" s="12">
        <f>M10+M46</f>
        <v>8705.9117047780001</v>
      </c>
      <c r="N9" s="11"/>
      <c r="O9" s="12"/>
      <c r="P9" s="12"/>
      <c r="Q9" s="12"/>
      <c r="R9" s="12"/>
      <c r="S9" s="13"/>
    </row>
    <row r="10" spans="1:19" s="1" customFormat="1" ht="21.75" customHeight="1" x14ac:dyDescent="0.25">
      <c r="A10" s="14" t="s">
        <v>92</v>
      </c>
      <c r="B10" s="15"/>
      <c r="C10" s="16"/>
      <c r="D10" s="16"/>
      <c r="E10" s="16"/>
      <c r="F10" s="16"/>
      <c r="G10" s="17"/>
      <c r="H10" s="311">
        <f>H11+H28+H36</f>
        <v>24.830000000000002</v>
      </c>
      <c r="I10" s="428"/>
      <c r="J10" s="15"/>
      <c r="K10" s="428">
        <f>K11+K28+K36+K43</f>
        <v>6062.2032200000003</v>
      </c>
      <c r="L10" s="428">
        <f>L11+L28+L36+L43</f>
        <v>1460.3847556980002</v>
      </c>
      <c r="M10" s="428">
        <f>M11+M28+M36+M43</f>
        <v>7522.5879756979994</v>
      </c>
      <c r="N10" s="428"/>
      <c r="O10" s="16"/>
      <c r="P10" s="16"/>
      <c r="Q10" s="16"/>
      <c r="R10" s="16"/>
      <c r="S10" s="17"/>
    </row>
    <row r="11" spans="1:19" ht="37.5" customHeight="1" x14ac:dyDescent="0.25">
      <c r="A11" s="18" t="s">
        <v>14</v>
      </c>
      <c r="B11" s="19"/>
      <c r="C11" s="20"/>
      <c r="D11" s="20"/>
      <c r="E11" s="20"/>
      <c r="F11" s="20"/>
      <c r="G11" s="21"/>
      <c r="H11" s="410">
        <f>SUM(H12:H27)</f>
        <v>13.700000000000003</v>
      </c>
      <c r="I11" s="410">
        <f>SUM(I12:I27)</f>
        <v>16975.78</v>
      </c>
      <c r="J11" s="429">
        <v>20</v>
      </c>
      <c r="K11" s="430">
        <f>SUM(K12:K27)</f>
        <v>4449.2202200000002</v>
      </c>
      <c r="L11" s="430">
        <f t="shared" ref="L11:M11" si="0">SUM(L12:L27)</f>
        <v>1071.8171509980002</v>
      </c>
      <c r="M11" s="430">
        <f t="shared" si="0"/>
        <v>5521.0373709979995</v>
      </c>
      <c r="N11" s="19"/>
      <c r="O11" s="20"/>
      <c r="P11" s="20"/>
      <c r="Q11" s="20"/>
      <c r="R11" s="20"/>
      <c r="S11" s="21"/>
    </row>
    <row r="12" spans="1:19" ht="18.75" customHeight="1" x14ac:dyDescent="0.25">
      <c r="A12" s="18" t="s">
        <v>749</v>
      </c>
      <c r="B12" s="19"/>
      <c r="C12" s="20"/>
      <c r="D12" s="20"/>
      <c r="E12" s="20"/>
      <c r="F12" s="20"/>
      <c r="G12" s="21"/>
      <c r="H12" s="19">
        <v>2.25</v>
      </c>
      <c r="I12" s="20">
        <v>3485.52</v>
      </c>
      <c r="J12" s="137">
        <v>20</v>
      </c>
      <c r="K12" s="20">
        <f t="shared" ref="K12:K26" si="1">I12*20%*H12</f>
        <v>1568.4840000000002</v>
      </c>
      <c r="L12" s="20">
        <f t="shared" ref="L12:L26" si="2">K12*24.09%</f>
        <v>377.84779560000004</v>
      </c>
      <c r="M12" s="21">
        <f t="shared" ref="M12:M26" si="3">K12+L12</f>
        <v>1946.3317956000001</v>
      </c>
      <c r="N12" s="19"/>
      <c r="O12" s="20"/>
      <c r="P12" s="20"/>
      <c r="Q12" s="20"/>
      <c r="R12" s="20"/>
      <c r="S12" s="21"/>
    </row>
    <row r="13" spans="1:19" ht="18.75" customHeight="1" x14ac:dyDescent="0.25">
      <c r="A13" s="18" t="s">
        <v>750</v>
      </c>
      <c r="B13" s="19"/>
      <c r="C13" s="20"/>
      <c r="D13" s="20"/>
      <c r="E13" s="20"/>
      <c r="F13" s="20"/>
      <c r="G13" s="21"/>
      <c r="H13" s="19">
        <v>1</v>
      </c>
      <c r="I13" s="20">
        <v>1327.56</v>
      </c>
      <c r="J13" s="137">
        <v>20</v>
      </c>
      <c r="K13" s="20">
        <f t="shared" si="1"/>
        <v>265.512</v>
      </c>
      <c r="L13" s="20">
        <f t="shared" si="2"/>
        <v>63.961840799999997</v>
      </c>
      <c r="M13" s="21">
        <f t="shared" si="3"/>
        <v>329.4738408</v>
      </c>
      <c r="N13" s="19"/>
      <c r="O13" s="20"/>
      <c r="P13" s="20"/>
      <c r="Q13" s="20"/>
      <c r="R13" s="20"/>
      <c r="S13" s="21"/>
    </row>
    <row r="14" spans="1:19" ht="18.75" customHeight="1" x14ac:dyDescent="0.25">
      <c r="A14" s="18" t="s">
        <v>751</v>
      </c>
      <c r="B14" s="19"/>
      <c r="C14" s="20"/>
      <c r="D14" s="20"/>
      <c r="E14" s="20"/>
      <c r="F14" s="20"/>
      <c r="G14" s="21"/>
      <c r="H14" s="19">
        <v>0.5</v>
      </c>
      <c r="I14" s="20">
        <v>692.64</v>
      </c>
      <c r="J14" s="137">
        <v>20</v>
      </c>
      <c r="K14" s="20">
        <f t="shared" si="1"/>
        <v>69.263999999999996</v>
      </c>
      <c r="L14" s="20">
        <f t="shared" si="2"/>
        <v>16.685697599999997</v>
      </c>
      <c r="M14" s="21">
        <f t="shared" si="3"/>
        <v>85.949697599999993</v>
      </c>
      <c r="N14" s="19"/>
      <c r="O14" s="20"/>
      <c r="P14" s="20"/>
      <c r="Q14" s="20"/>
      <c r="R14" s="20"/>
      <c r="S14" s="21"/>
    </row>
    <row r="15" spans="1:19" ht="18.75" customHeight="1" x14ac:dyDescent="0.25">
      <c r="A15" s="18" t="s">
        <v>752</v>
      </c>
      <c r="B15" s="19"/>
      <c r="C15" s="20"/>
      <c r="D15" s="20"/>
      <c r="E15" s="20"/>
      <c r="F15" s="20"/>
      <c r="G15" s="21"/>
      <c r="H15" s="19">
        <v>0.5</v>
      </c>
      <c r="I15" s="20">
        <v>630</v>
      </c>
      <c r="J15" s="137">
        <v>20</v>
      </c>
      <c r="K15" s="20">
        <f t="shared" si="1"/>
        <v>63</v>
      </c>
      <c r="L15" s="20">
        <f t="shared" si="2"/>
        <v>15.1767</v>
      </c>
      <c r="M15" s="21">
        <f t="shared" si="3"/>
        <v>78.176699999999997</v>
      </c>
      <c r="N15" s="19"/>
      <c r="O15" s="20"/>
      <c r="P15" s="20"/>
      <c r="Q15" s="20"/>
      <c r="R15" s="20"/>
      <c r="S15" s="21"/>
    </row>
    <row r="16" spans="1:19" ht="18.75" customHeight="1" x14ac:dyDescent="0.25">
      <c r="A16" s="18" t="s">
        <v>753</v>
      </c>
      <c r="B16" s="19"/>
      <c r="C16" s="20"/>
      <c r="D16" s="20"/>
      <c r="E16" s="20"/>
      <c r="F16" s="20"/>
      <c r="G16" s="21"/>
      <c r="H16" s="19">
        <v>0.25</v>
      </c>
      <c r="I16" s="20">
        <v>230.88</v>
      </c>
      <c r="J16" s="137">
        <v>20</v>
      </c>
      <c r="K16" s="20">
        <f t="shared" si="1"/>
        <v>11.544</v>
      </c>
      <c r="L16" s="20">
        <f t="shared" si="2"/>
        <v>2.7809496</v>
      </c>
      <c r="M16" s="21">
        <f t="shared" si="3"/>
        <v>14.3249496</v>
      </c>
      <c r="N16" s="19"/>
      <c r="O16" s="20"/>
      <c r="P16" s="20"/>
      <c r="Q16" s="20"/>
      <c r="R16" s="20"/>
      <c r="S16" s="21"/>
    </row>
    <row r="17" spans="1:19" ht="18.75" customHeight="1" x14ac:dyDescent="0.25">
      <c r="A17" s="18" t="s">
        <v>754</v>
      </c>
      <c r="B17" s="19"/>
      <c r="C17" s="20"/>
      <c r="D17" s="20"/>
      <c r="E17" s="20"/>
      <c r="F17" s="20"/>
      <c r="G17" s="21"/>
      <c r="H17" s="19">
        <v>1.22</v>
      </c>
      <c r="I17" s="20">
        <v>1389.39</v>
      </c>
      <c r="J17" s="137">
        <v>20</v>
      </c>
      <c r="K17" s="20">
        <f t="shared" si="1"/>
        <v>339.01116000000002</v>
      </c>
      <c r="L17" s="20">
        <f t="shared" si="2"/>
        <v>81.66778844400001</v>
      </c>
      <c r="M17" s="21">
        <f t="shared" si="3"/>
        <v>420.67894844400001</v>
      </c>
      <c r="N17" s="19"/>
      <c r="O17" s="20"/>
      <c r="P17" s="20"/>
      <c r="Q17" s="20"/>
      <c r="R17" s="20"/>
      <c r="S17" s="21"/>
    </row>
    <row r="18" spans="1:19" ht="18.75" customHeight="1" x14ac:dyDescent="0.25">
      <c r="A18" s="18" t="s">
        <v>755</v>
      </c>
      <c r="B18" s="19"/>
      <c r="C18" s="20"/>
      <c r="D18" s="20"/>
      <c r="E18" s="20"/>
      <c r="F18" s="20"/>
      <c r="G18" s="21"/>
      <c r="H18" s="19">
        <v>0.15</v>
      </c>
      <c r="I18" s="20">
        <v>172.56</v>
      </c>
      <c r="J18" s="137">
        <v>20</v>
      </c>
      <c r="K18" s="20">
        <f t="shared" si="1"/>
        <v>5.1768000000000001</v>
      </c>
      <c r="L18" s="20">
        <f t="shared" si="2"/>
        <v>1.2470911200000001</v>
      </c>
      <c r="M18" s="21">
        <f t="shared" si="3"/>
        <v>6.4238911200000004</v>
      </c>
      <c r="N18" s="19"/>
      <c r="O18" s="20"/>
      <c r="P18" s="20"/>
      <c r="Q18" s="20"/>
      <c r="R18" s="20"/>
      <c r="S18" s="21"/>
    </row>
    <row r="19" spans="1:19" ht="18.75" customHeight="1" x14ac:dyDescent="0.25">
      <c r="A19" s="18" t="s">
        <v>756</v>
      </c>
      <c r="B19" s="19"/>
      <c r="C19" s="20"/>
      <c r="D19" s="20"/>
      <c r="E19" s="20"/>
      <c r="F19" s="20"/>
      <c r="G19" s="21"/>
      <c r="H19" s="19">
        <v>1.47</v>
      </c>
      <c r="I19" s="20">
        <v>1683.87</v>
      </c>
      <c r="J19" s="137">
        <v>20</v>
      </c>
      <c r="K19" s="20">
        <f t="shared" si="1"/>
        <v>495.05777999999998</v>
      </c>
      <c r="L19" s="20">
        <f t="shared" si="2"/>
        <v>119.259419202</v>
      </c>
      <c r="M19" s="21">
        <f t="shared" si="3"/>
        <v>614.31719920199998</v>
      </c>
      <c r="N19" s="19"/>
      <c r="O19" s="20"/>
      <c r="P19" s="20"/>
      <c r="Q19" s="20"/>
      <c r="R19" s="20"/>
      <c r="S19" s="21"/>
    </row>
    <row r="20" spans="1:19" ht="18.75" customHeight="1" x14ac:dyDescent="0.25">
      <c r="A20" s="18" t="s">
        <v>757</v>
      </c>
      <c r="B20" s="19"/>
      <c r="C20" s="20"/>
      <c r="D20" s="20"/>
      <c r="E20" s="20"/>
      <c r="F20" s="20"/>
      <c r="G20" s="21"/>
      <c r="H20" s="19">
        <v>1.72</v>
      </c>
      <c r="I20" s="20">
        <v>1971.07</v>
      </c>
      <c r="J20" s="137">
        <v>20</v>
      </c>
      <c r="K20" s="20">
        <f t="shared" si="1"/>
        <v>678.04808000000003</v>
      </c>
      <c r="L20" s="20">
        <f t="shared" si="2"/>
        <v>163.34178247200001</v>
      </c>
      <c r="M20" s="21">
        <f t="shared" si="3"/>
        <v>841.389862472</v>
      </c>
      <c r="N20" s="19"/>
      <c r="O20" s="20"/>
      <c r="P20" s="20"/>
      <c r="Q20" s="20"/>
      <c r="R20" s="20"/>
      <c r="S20" s="21"/>
    </row>
    <row r="21" spans="1:19" ht="18.75" customHeight="1" x14ac:dyDescent="0.25">
      <c r="A21" s="18" t="s">
        <v>758</v>
      </c>
      <c r="B21" s="19"/>
      <c r="C21" s="20"/>
      <c r="D21" s="20"/>
      <c r="E21" s="20"/>
      <c r="F21" s="20"/>
      <c r="G21" s="21"/>
      <c r="H21" s="19">
        <v>0.46</v>
      </c>
      <c r="I21" s="20">
        <v>517.67999999999995</v>
      </c>
      <c r="J21" s="137">
        <v>20</v>
      </c>
      <c r="K21" s="20">
        <f t="shared" si="1"/>
        <v>47.626560000000005</v>
      </c>
      <c r="L21" s="20">
        <f t="shared" si="2"/>
        <v>11.473238304000001</v>
      </c>
      <c r="M21" s="21">
        <f t="shared" si="3"/>
        <v>59.099798304000004</v>
      </c>
      <c r="N21" s="19"/>
      <c r="O21" s="20"/>
      <c r="P21" s="20"/>
      <c r="Q21" s="20"/>
      <c r="R21" s="20"/>
      <c r="S21" s="21"/>
    </row>
    <row r="22" spans="1:19" ht="18.75" customHeight="1" x14ac:dyDescent="0.25">
      <c r="A22" s="18" t="s">
        <v>759</v>
      </c>
      <c r="B22" s="19"/>
      <c r="C22" s="20"/>
      <c r="D22" s="20"/>
      <c r="E22" s="20"/>
      <c r="F22" s="20"/>
      <c r="G22" s="21"/>
      <c r="H22" s="19">
        <v>0.76</v>
      </c>
      <c r="I22" s="20">
        <v>862.8</v>
      </c>
      <c r="J22" s="137">
        <v>20</v>
      </c>
      <c r="K22" s="20">
        <f t="shared" si="1"/>
        <v>131.1456</v>
      </c>
      <c r="L22" s="20">
        <f t="shared" si="2"/>
        <v>31.592975040000002</v>
      </c>
      <c r="M22" s="21">
        <f t="shared" si="3"/>
        <v>162.73857504</v>
      </c>
      <c r="N22" s="19"/>
      <c r="O22" s="20"/>
      <c r="P22" s="20"/>
      <c r="Q22" s="20"/>
      <c r="R22" s="20"/>
      <c r="S22" s="21"/>
    </row>
    <row r="23" spans="1:19" ht="18.75" customHeight="1" x14ac:dyDescent="0.25">
      <c r="A23" s="18" t="s">
        <v>760</v>
      </c>
      <c r="B23" s="19"/>
      <c r="C23" s="20"/>
      <c r="D23" s="20"/>
      <c r="E23" s="20"/>
      <c r="F23" s="20"/>
      <c r="G23" s="21"/>
      <c r="H23" s="19">
        <v>1.06</v>
      </c>
      <c r="I23" s="20">
        <v>1271.9000000000001</v>
      </c>
      <c r="J23" s="137">
        <v>20</v>
      </c>
      <c r="K23" s="20">
        <f t="shared" si="1"/>
        <v>269.64280000000002</v>
      </c>
      <c r="L23" s="20">
        <f t="shared" si="2"/>
        <v>64.956950520000007</v>
      </c>
      <c r="M23" s="21">
        <f t="shared" si="3"/>
        <v>334.59975052000004</v>
      </c>
      <c r="N23" s="19"/>
      <c r="O23" s="20"/>
      <c r="P23" s="20"/>
      <c r="Q23" s="20"/>
      <c r="R23" s="20"/>
      <c r="S23" s="21"/>
    </row>
    <row r="24" spans="1:19" ht="18.75" customHeight="1" x14ac:dyDescent="0.25">
      <c r="A24" s="18" t="s">
        <v>761</v>
      </c>
      <c r="B24" s="19"/>
      <c r="C24" s="20"/>
      <c r="D24" s="20"/>
      <c r="E24" s="20"/>
      <c r="F24" s="20"/>
      <c r="G24" s="21"/>
      <c r="H24" s="19">
        <v>0.6</v>
      </c>
      <c r="I24" s="20">
        <v>729.11</v>
      </c>
      <c r="J24" s="137">
        <v>20</v>
      </c>
      <c r="K24" s="20">
        <f t="shared" si="1"/>
        <v>87.493200000000002</v>
      </c>
      <c r="L24" s="20">
        <f t="shared" si="2"/>
        <v>21.07711188</v>
      </c>
      <c r="M24" s="21">
        <f t="shared" si="3"/>
        <v>108.57031188000001</v>
      </c>
      <c r="N24" s="19"/>
      <c r="O24" s="20"/>
      <c r="P24" s="20"/>
      <c r="Q24" s="20"/>
      <c r="R24" s="20"/>
      <c r="S24" s="21"/>
    </row>
    <row r="25" spans="1:19" ht="18.75" customHeight="1" x14ac:dyDescent="0.25">
      <c r="A25" s="18" t="s">
        <v>762</v>
      </c>
      <c r="B25" s="19"/>
      <c r="C25" s="20"/>
      <c r="D25" s="20"/>
      <c r="E25" s="20"/>
      <c r="F25" s="20"/>
      <c r="G25" s="21"/>
      <c r="H25" s="19">
        <v>0.15</v>
      </c>
      <c r="I25" s="20">
        <v>150.96</v>
      </c>
      <c r="J25" s="137">
        <v>20</v>
      </c>
      <c r="K25" s="20">
        <f t="shared" si="1"/>
        <v>4.5288000000000004</v>
      </c>
      <c r="L25" s="20">
        <f t="shared" si="2"/>
        <v>1.0909879200000001</v>
      </c>
      <c r="M25" s="21">
        <f t="shared" si="3"/>
        <v>5.6197879200000003</v>
      </c>
      <c r="N25" s="19"/>
      <c r="O25" s="20"/>
      <c r="P25" s="20"/>
      <c r="Q25" s="20"/>
      <c r="R25" s="20"/>
      <c r="S25" s="21"/>
    </row>
    <row r="26" spans="1:19" ht="18.75" customHeight="1" x14ac:dyDescent="0.25">
      <c r="A26" s="18" t="s">
        <v>763</v>
      </c>
      <c r="B26" s="19"/>
      <c r="C26" s="20"/>
      <c r="D26" s="20"/>
      <c r="E26" s="20"/>
      <c r="F26" s="20"/>
      <c r="G26" s="21"/>
      <c r="H26" s="19">
        <v>0.3</v>
      </c>
      <c r="I26" s="20">
        <v>364.32</v>
      </c>
      <c r="J26" s="137">
        <v>20</v>
      </c>
      <c r="K26" s="20">
        <f t="shared" si="1"/>
        <v>21.859200000000001</v>
      </c>
      <c r="L26" s="20">
        <f t="shared" si="2"/>
        <v>5.2658812800000003</v>
      </c>
      <c r="M26" s="21">
        <f t="shared" si="3"/>
        <v>27.125081280000003</v>
      </c>
      <c r="N26" s="19"/>
      <c r="O26" s="20"/>
      <c r="P26" s="20"/>
      <c r="Q26" s="20"/>
      <c r="R26" s="20"/>
      <c r="S26" s="21"/>
    </row>
    <row r="27" spans="1:19" ht="19.5" customHeight="1" x14ac:dyDescent="0.25">
      <c r="A27" s="18" t="s">
        <v>764</v>
      </c>
      <c r="B27" s="19"/>
      <c r="C27" s="20"/>
      <c r="D27" s="20"/>
      <c r="E27" s="20"/>
      <c r="F27" s="20"/>
      <c r="G27" s="21"/>
      <c r="H27" s="19">
        <v>1.31</v>
      </c>
      <c r="I27" s="20">
        <v>1495.52</v>
      </c>
      <c r="J27" s="137">
        <v>20</v>
      </c>
      <c r="K27" s="20">
        <f>I27*20%*H27</f>
        <v>391.82623999999998</v>
      </c>
      <c r="L27" s="20">
        <f>K27*24.09%</f>
        <v>94.390941216000002</v>
      </c>
      <c r="M27" s="21">
        <f>K27+L27</f>
        <v>486.21718121599997</v>
      </c>
      <c r="N27" s="19"/>
      <c r="O27" s="20"/>
      <c r="P27" s="20"/>
      <c r="Q27" s="20"/>
      <c r="R27" s="20"/>
      <c r="S27" s="21"/>
    </row>
    <row r="28" spans="1:19" ht="49.5" customHeight="1" x14ac:dyDescent="0.25">
      <c r="A28" s="18" t="s">
        <v>12</v>
      </c>
      <c r="B28" s="19"/>
      <c r="C28" s="20"/>
      <c r="D28" s="20"/>
      <c r="E28" s="20"/>
      <c r="F28" s="20"/>
      <c r="G28" s="21"/>
      <c r="H28" s="431">
        <f>SUM(H29:H35)</f>
        <v>5.58</v>
      </c>
      <c r="I28" s="431">
        <f>SUM(I29:I35)</f>
        <v>4373.01</v>
      </c>
      <c r="J28" s="429">
        <v>20</v>
      </c>
      <c r="K28" s="430">
        <f>SUM(K29:K35)</f>
        <v>895.88700000000006</v>
      </c>
      <c r="L28" s="430">
        <f t="shared" ref="L28:M28" si="4">SUM(L29:L35)</f>
        <v>215.81917829999998</v>
      </c>
      <c r="M28" s="430">
        <f t="shared" si="4"/>
        <v>1111.7061782999999</v>
      </c>
      <c r="N28" s="19"/>
      <c r="O28" s="20"/>
      <c r="P28" s="20"/>
      <c r="Q28" s="20"/>
      <c r="R28" s="20"/>
      <c r="S28" s="21"/>
    </row>
    <row r="29" spans="1:19" x14ac:dyDescent="0.25">
      <c r="A29" s="18" t="s">
        <v>133</v>
      </c>
      <c r="B29" s="19"/>
      <c r="C29" s="20"/>
      <c r="D29" s="20"/>
      <c r="E29" s="20"/>
      <c r="F29" s="20"/>
      <c r="G29" s="21"/>
      <c r="H29" s="19">
        <v>1</v>
      </c>
      <c r="I29" s="20">
        <v>960</v>
      </c>
      <c r="J29" s="137">
        <v>20</v>
      </c>
      <c r="K29" s="20">
        <f t="shared" ref="K29:K58" si="5">I29*20%*H29</f>
        <v>192</v>
      </c>
      <c r="L29" s="20">
        <f t="shared" ref="L29:L58" si="6">K29*24.09%</f>
        <v>46.252800000000001</v>
      </c>
      <c r="M29" s="21">
        <f t="shared" ref="M29:M58" si="7">K29+L29</f>
        <v>238.25280000000001</v>
      </c>
      <c r="N29" s="19"/>
      <c r="O29" s="432"/>
      <c r="P29" s="20"/>
      <c r="Q29" s="20"/>
      <c r="R29" s="20"/>
      <c r="S29" s="21"/>
    </row>
    <row r="30" spans="1:19" x14ac:dyDescent="0.25">
      <c r="A30" s="18" t="s">
        <v>765</v>
      </c>
      <c r="B30" s="19"/>
      <c r="C30" s="20"/>
      <c r="D30" s="20"/>
      <c r="E30" s="20"/>
      <c r="F30" s="20"/>
      <c r="G30" s="21"/>
      <c r="H30" s="19">
        <v>0.89</v>
      </c>
      <c r="I30" s="20">
        <v>663.6</v>
      </c>
      <c r="J30" s="137">
        <v>20</v>
      </c>
      <c r="K30" s="20">
        <f t="shared" si="5"/>
        <v>118.1208</v>
      </c>
      <c r="L30" s="20">
        <f t="shared" si="6"/>
        <v>28.45530072</v>
      </c>
      <c r="M30" s="21">
        <f t="shared" si="7"/>
        <v>146.57610072</v>
      </c>
      <c r="N30" s="19"/>
      <c r="O30" s="432"/>
      <c r="P30" s="20"/>
      <c r="Q30" s="20"/>
      <c r="R30" s="20"/>
      <c r="S30" s="21"/>
    </row>
    <row r="31" spans="1:19" x14ac:dyDescent="0.25">
      <c r="A31" s="18" t="s">
        <v>766</v>
      </c>
      <c r="B31" s="19"/>
      <c r="C31" s="20"/>
      <c r="D31" s="20"/>
      <c r="E31" s="20"/>
      <c r="F31" s="20"/>
      <c r="G31" s="21"/>
      <c r="H31" s="19">
        <v>1.1399999999999999</v>
      </c>
      <c r="I31" s="20">
        <v>837</v>
      </c>
      <c r="J31" s="137">
        <v>20</v>
      </c>
      <c r="K31" s="20">
        <f t="shared" si="5"/>
        <v>190.83599999999998</v>
      </c>
      <c r="L31" s="20">
        <f t="shared" si="6"/>
        <v>45.972392399999997</v>
      </c>
      <c r="M31" s="21">
        <f t="shared" si="7"/>
        <v>236.80839239999997</v>
      </c>
      <c r="N31" s="19"/>
      <c r="O31" s="432"/>
      <c r="P31" s="20"/>
      <c r="Q31" s="20"/>
      <c r="R31" s="20"/>
      <c r="S31" s="21"/>
    </row>
    <row r="32" spans="1:19" x14ac:dyDescent="0.25">
      <c r="A32" s="18" t="s">
        <v>767</v>
      </c>
      <c r="B32" s="19"/>
      <c r="C32" s="20"/>
      <c r="D32" s="20"/>
      <c r="E32" s="20"/>
      <c r="F32" s="20"/>
      <c r="G32" s="21"/>
      <c r="H32" s="19">
        <v>1.5</v>
      </c>
      <c r="I32" s="20">
        <v>1111.3499999999999</v>
      </c>
      <c r="J32" s="137">
        <v>20</v>
      </c>
      <c r="K32" s="20">
        <f t="shared" si="5"/>
        <v>333.40499999999997</v>
      </c>
      <c r="L32" s="20">
        <f t="shared" si="6"/>
        <v>80.317264499999993</v>
      </c>
      <c r="M32" s="21">
        <f t="shared" si="7"/>
        <v>413.72226449999994</v>
      </c>
      <c r="N32" s="19"/>
      <c r="O32" s="432"/>
      <c r="P32" s="20"/>
      <c r="Q32" s="20"/>
      <c r="R32" s="20"/>
      <c r="S32" s="21"/>
    </row>
    <row r="33" spans="1:19" x14ac:dyDescent="0.25">
      <c r="A33" s="18" t="s">
        <v>768</v>
      </c>
      <c r="B33" s="19"/>
      <c r="C33" s="20"/>
      <c r="D33" s="20"/>
      <c r="E33" s="20"/>
      <c r="F33" s="20"/>
      <c r="G33" s="21"/>
      <c r="H33" s="19">
        <v>0.5</v>
      </c>
      <c r="I33" s="20">
        <v>383.94</v>
      </c>
      <c r="J33" s="137">
        <v>20</v>
      </c>
      <c r="K33" s="20">
        <f t="shared" si="5"/>
        <v>38.394000000000005</v>
      </c>
      <c r="L33" s="20">
        <f t="shared" si="6"/>
        <v>9.2491146000000022</v>
      </c>
      <c r="M33" s="21">
        <f t="shared" si="7"/>
        <v>47.643114600000004</v>
      </c>
      <c r="N33" s="19"/>
      <c r="O33" s="432"/>
      <c r="P33" s="20"/>
      <c r="Q33" s="20"/>
      <c r="R33" s="20"/>
      <c r="S33" s="21"/>
    </row>
    <row r="34" spans="1:19" x14ac:dyDescent="0.25">
      <c r="A34" s="18" t="s">
        <v>769</v>
      </c>
      <c r="B34" s="19"/>
      <c r="C34" s="20"/>
      <c r="D34" s="20"/>
      <c r="E34" s="20"/>
      <c r="F34" s="20"/>
      <c r="G34" s="21"/>
      <c r="H34" s="19">
        <v>0.25</v>
      </c>
      <c r="I34" s="20">
        <v>189.6</v>
      </c>
      <c r="J34" s="137">
        <v>20</v>
      </c>
      <c r="K34" s="20">
        <f t="shared" si="5"/>
        <v>9.48</v>
      </c>
      <c r="L34" s="20">
        <f t="shared" si="6"/>
        <v>2.2837320000000001</v>
      </c>
      <c r="M34" s="21">
        <f t="shared" si="7"/>
        <v>11.763732000000001</v>
      </c>
      <c r="N34" s="19"/>
      <c r="O34" s="432"/>
      <c r="P34" s="20"/>
      <c r="Q34" s="20"/>
      <c r="R34" s="20"/>
      <c r="S34" s="21"/>
    </row>
    <row r="35" spans="1:19" x14ac:dyDescent="0.25">
      <c r="A35" s="18" t="s">
        <v>770</v>
      </c>
      <c r="B35" s="19"/>
      <c r="C35" s="20"/>
      <c r="D35" s="20"/>
      <c r="E35" s="20"/>
      <c r="F35" s="20"/>
      <c r="G35" s="21"/>
      <c r="H35" s="19">
        <v>0.3</v>
      </c>
      <c r="I35" s="20">
        <v>227.52</v>
      </c>
      <c r="J35" s="137">
        <v>20</v>
      </c>
      <c r="K35" s="20">
        <f t="shared" si="5"/>
        <v>13.651200000000001</v>
      </c>
      <c r="L35" s="20">
        <f t="shared" si="6"/>
        <v>3.2885740800000005</v>
      </c>
      <c r="M35" s="21">
        <f t="shared" si="7"/>
        <v>16.939774080000003</v>
      </c>
      <c r="N35" s="19"/>
      <c r="O35" s="432"/>
      <c r="P35" s="20"/>
      <c r="Q35" s="20"/>
      <c r="R35" s="20"/>
      <c r="S35" s="21"/>
    </row>
    <row r="36" spans="1:19" ht="57" customHeight="1" x14ac:dyDescent="0.25">
      <c r="A36" s="18" t="s">
        <v>13</v>
      </c>
      <c r="B36" s="19"/>
      <c r="C36" s="20"/>
      <c r="D36" s="20"/>
      <c r="E36" s="20"/>
      <c r="F36" s="20"/>
      <c r="G36" s="21"/>
      <c r="H36" s="431">
        <f>SUM(H37:H42)</f>
        <v>5.55</v>
      </c>
      <c r="I36" s="431">
        <f>SUM(I37:I42)</f>
        <v>3214.3199999999997</v>
      </c>
      <c r="J36" s="431">
        <v>20</v>
      </c>
      <c r="K36" s="410">
        <f t="shared" ref="K36:M36" si="8">SUM(K37:K42)</f>
        <v>717.09600000000012</v>
      </c>
      <c r="L36" s="410">
        <f t="shared" si="8"/>
        <v>172.74842640000003</v>
      </c>
      <c r="M36" s="410">
        <f t="shared" si="8"/>
        <v>889.84442639999997</v>
      </c>
      <c r="N36" s="19"/>
      <c r="O36" s="20"/>
      <c r="P36" s="20"/>
      <c r="Q36" s="20"/>
      <c r="R36" s="20"/>
      <c r="S36" s="21"/>
    </row>
    <row r="37" spans="1:19" x14ac:dyDescent="0.25">
      <c r="A37" s="18" t="s">
        <v>771</v>
      </c>
      <c r="B37" s="19"/>
      <c r="C37" s="20"/>
      <c r="D37" s="20"/>
      <c r="E37" s="20"/>
      <c r="F37" s="20"/>
      <c r="G37" s="21"/>
      <c r="H37" s="19">
        <v>0.45</v>
      </c>
      <c r="I37" s="20">
        <v>254.88</v>
      </c>
      <c r="J37" s="137">
        <v>20</v>
      </c>
      <c r="K37" s="20">
        <f t="shared" si="5"/>
        <v>22.9392</v>
      </c>
      <c r="L37" s="20">
        <f t="shared" si="6"/>
        <v>5.5260532800000002</v>
      </c>
      <c r="M37" s="21">
        <f t="shared" si="7"/>
        <v>28.465253279999999</v>
      </c>
      <c r="N37" s="19"/>
      <c r="O37" s="20"/>
      <c r="P37" s="20"/>
      <c r="Q37" s="20"/>
      <c r="R37" s="20"/>
      <c r="S37" s="21"/>
    </row>
    <row r="38" spans="1:19" x14ac:dyDescent="0.25">
      <c r="A38" s="18" t="s">
        <v>772</v>
      </c>
      <c r="B38" s="19"/>
      <c r="C38" s="20"/>
      <c r="D38" s="20"/>
      <c r="E38" s="20"/>
      <c r="F38" s="20"/>
      <c r="G38" s="21"/>
      <c r="H38" s="19">
        <v>1.06</v>
      </c>
      <c r="I38" s="20">
        <v>594.72</v>
      </c>
      <c r="J38" s="137">
        <v>20</v>
      </c>
      <c r="K38" s="20">
        <f t="shared" si="5"/>
        <v>126.08064000000003</v>
      </c>
      <c r="L38" s="20">
        <f t="shared" si="6"/>
        <v>30.372826176000007</v>
      </c>
      <c r="M38" s="21">
        <f t="shared" si="7"/>
        <v>156.45346617600003</v>
      </c>
      <c r="N38" s="19"/>
      <c r="O38" s="20"/>
      <c r="P38" s="20"/>
      <c r="Q38" s="20"/>
      <c r="R38" s="20"/>
      <c r="S38" s="21"/>
    </row>
    <row r="39" spans="1:19" x14ac:dyDescent="0.25">
      <c r="A39" s="18" t="s">
        <v>773</v>
      </c>
      <c r="B39" s="19"/>
      <c r="C39" s="20"/>
      <c r="D39" s="20"/>
      <c r="E39" s="20"/>
      <c r="F39" s="20"/>
      <c r="G39" s="21"/>
      <c r="H39" s="19">
        <v>1.37</v>
      </c>
      <c r="I39" s="20">
        <v>803.52</v>
      </c>
      <c r="J39" s="137">
        <v>20</v>
      </c>
      <c r="K39" s="20">
        <f t="shared" si="5"/>
        <v>220.16448000000003</v>
      </c>
      <c r="L39" s="20">
        <f t="shared" si="6"/>
        <v>53.037623232000008</v>
      </c>
      <c r="M39" s="21">
        <f t="shared" si="7"/>
        <v>273.20210323200001</v>
      </c>
      <c r="N39" s="19"/>
      <c r="O39" s="20"/>
      <c r="P39" s="20"/>
      <c r="Q39" s="20"/>
      <c r="R39" s="20"/>
      <c r="S39" s="21"/>
    </row>
    <row r="40" spans="1:19" x14ac:dyDescent="0.25">
      <c r="A40" s="18" t="s">
        <v>774</v>
      </c>
      <c r="B40" s="19"/>
      <c r="C40" s="20"/>
      <c r="D40" s="20"/>
      <c r="E40" s="20"/>
      <c r="F40" s="20"/>
      <c r="G40" s="21"/>
      <c r="H40" s="19">
        <v>0.3</v>
      </c>
      <c r="I40" s="20">
        <v>169.92</v>
      </c>
      <c r="J40" s="137">
        <v>20</v>
      </c>
      <c r="K40" s="20">
        <f t="shared" si="5"/>
        <v>10.1952</v>
      </c>
      <c r="L40" s="20">
        <f t="shared" si="6"/>
        <v>2.4560236799999999</v>
      </c>
      <c r="M40" s="21">
        <f t="shared" si="7"/>
        <v>12.651223679999999</v>
      </c>
      <c r="N40" s="19"/>
      <c r="O40" s="20"/>
      <c r="P40" s="20"/>
      <c r="Q40" s="20"/>
      <c r="R40" s="20"/>
      <c r="S40" s="21"/>
    </row>
    <row r="41" spans="1:19" x14ac:dyDescent="0.25">
      <c r="A41" s="18" t="s">
        <v>775</v>
      </c>
      <c r="B41" s="19"/>
      <c r="C41" s="20"/>
      <c r="D41" s="20"/>
      <c r="E41" s="20"/>
      <c r="F41" s="20"/>
      <c r="G41" s="21"/>
      <c r="H41" s="19">
        <v>1.37</v>
      </c>
      <c r="I41" s="20">
        <v>803.52</v>
      </c>
      <c r="J41" s="137">
        <v>20</v>
      </c>
      <c r="K41" s="20">
        <f t="shared" si="5"/>
        <v>220.16448000000003</v>
      </c>
      <c r="L41" s="20">
        <f t="shared" si="6"/>
        <v>53.037623232000008</v>
      </c>
      <c r="M41" s="21">
        <f t="shared" si="7"/>
        <v>273.20210323200001</v>
      </c>
      <c r="N41" s="19"/>
      <c r="O41" s="20"/>
      <c r="P41" s="20"/>
      <c r="Q41" s="20"/>
      <c r="R41" s="20"/>
      <c r="S41" s="21"/>
    </row>
    <row r="42" spans="1:19" x14ac:dyDescent="0.25">
      <c r="A42" s="18" t="s">
        <v>233</v>
      </c>
      <c r="B42" s="19"/>
      <c r="C42" s="20"/>
      <c r="D42" s="20"/>
      <c r="E42" s="20"/>
      <c r="F42" s="20"/>
      <c r="G42" s="21"/>
      <c r="H42" s="19">
        <v>1</v>
      </c>
      <c r="I42" s="20">
        <v>587.76</v>
      </c>
      <c r="J42" s="137">
        <v>20</v>
      </c>
      <c r="K42" s="20">
        <f t="shared" si="5"/>
        <v>117.55200000000001</v>
      </c>
      <c r="L42" s="20">
        <f t="shared" si="6"/>
        <v>28.318276800000003</v>
      </c>
      <c r="M42" s="21">
        <f t="shared" si="7"/>
        <v>145.8702768</v>
      </c>
      <c r="N42" s="19"/>
      <c r="O42" s="20"/>
      <c r="P42" s="20"/>
      <c r="Q42" s="20"/>
      <c r="R42" s="20"/>
      <c r="S42" s="21"/>
    </row>
    <row r="43" spans="1:19" ht="36" customHeight="1" x14ac:dyDescent="0.25">
      <c r="A43" s="18" t="s">
        <v>11</v>
      </c>
      <c r="B43" s="19"/>
      <c r="C43" s="20"/>
      <c r="D43" s="20"/>
      <c r="E43" s="20"/>
      <c r="F43" s="20"/>
      <c r="G43" s="21"/>
      <c r="H43" s="431">
        <f>H44+H45</f>
        <v>0</v>
      </c>
      <c r="I43" s="430">
        <f t="shared" ref="I43:M43" si="9">I44+I45</f>
        <v>0</v>
      </c>
      <c r="J43" s="429">
        <v>20</v>
      </c>
      <c r="K43" s="430">
        <f t="shared" si="9"/>
        <v>0</v>
      </c>
      <c r="L43" s="430">
        <f t="shared" si="9"/>
        <v>0</v>
      </c>
      <c r="M43" s="430">
        <f t="shared" si="9"/>
        <v>0</v>
      </c>
      <c r="N43" s="19"/>
      <c r="O43" s="20"/>
      <c r="P43" s="20"/>
      <c r="Q43" s="20"/>
      <c r="R43" s="20"/>
      <c r="S43" s="21"/>
    </row>
    <row r="44" spans="1:19" x14ac:dyDescent="0.25">
      <c r="A44" s="18" t="s">
        <v>1</v>
      </c>
      <c r="B44" s="19"/>
      <c r="C44" s="20"/>
      <c r="D44" s="20"/>
      <c r="E44" s="20"/>
      <c r="F44" s="20"/>
      <c r="G44" s="21"/>
      <c r="H44" s="19"/>
      <c r="I44" s="20"/>
      <c r="J44" s="137">
        <v>20</v>
      </c>
      <c r="K44" s="20">
        <f t="shared" si="5"/>
        <v>0</v>
      </c>
      <c r="L44" s="20">
        <f t="shared" si="6"/>
        <v>0</v>
      </c>
      <c r="M44" s="21">
        <f t="shared" si="7"/>
        <v>0</v>
      </c>
      <c r="N44" s="19"/>
      <c r="O44" s="20"/>
      <c r="P44" s="20"/>
      <c r="Q44" s="20"/>
      <c r="R44" s="20"/>
      <c r="S44" s="21"/>
    </row>
    <row r="45" spans="1:19" x14ac:dyDescent="0.25">
      <c r="A45" s="18" t="s">
        <v>1</v>
      </c>
      <c r="B45" s="19"/>
      <c r="C45" s="20"/>
      <c r="D45" s="20"/>
      <c r="E45" s="20"/>
      <c r="F45" s="20"/>
      <c r="G45" s="21"/>
      <c r="H45" s="19"/>
      <c r="I45" s="20"/>
      <c r="J45" s="137">
        <v>20</v>
      </c>
      <c r="K45" s="20">
        <f t="shared" si="5"/>
        <v>0</v>
      </c>
      <c r="L45" s="20">
        <f t="shared" si="6"/>
        <v>0</v>
      </c>
      <c r="M45" s="21">
        <f t="shared" si="7"/>
        <v>0</v>
      </c>
      <c r="N45" s="19"/>
      <c r="O45" s="20"/>
      <c r="P45" s="20"/>
      <c r="Q45" s="20"/>
      <c r="R45" s="20"/>
      <c r="S45" s="21"/>
    </row>
    <row r="46" spans="1:19" s="1" customFormat="1" ht="24" customHeight="1" x14ac:dyDescent="0.25">
      <c r="A46" s="14" t="s">
        <v>85</v>
      </c>
      <c r="B46" s="15"/>
      <c r="C46" s="16"/>
      <c r="D46" s="16"/>
      <c r="E46" s="16"/>
      <c r="F46" s="16"/>
      <c r="G46" s="17"/>
      <c r="H46" s="15">
        <f>H47+H50</f>
        <v>4.4400000000000004</v>
      </c>
      <c r="I46" s="16"/>
      <c r="J46" s="433"/>
      <c r="K46" s="16">
        <f>K47+K50+K54+K57</f>
        <v>953.60120000000006</v>
      </c>
      <c r="L46" s="16">
        <f t="shared" si="6"/>
        <v>229.72252908000002</v>
      </c>
      <c r="M46" s="16">
        <f t="shared" si="7"/>
        <v>1183.32372908</v>
      </c>
      <c r="N46" s="15"/>
      <c r="O46" s="16"/>
      <c r="P46" s="16"/>
      <c r="Q46" s="16"/>
      <c r="R46" s="16"/>
      <c r="S46" s="17"/>
    </row>
    <row r="47" spans="1:19" ht="37.5" customHeight="1" x14ac:dyDescent="0.25">
      <c r="A47" s="18" t="s">
        <v>14</v>
      </c>
      <c r="B47" s="19"/>
      <c r="C47" s="20"/>
      <c r="D47" s="20"/>
      <c r="E47" s="20"/>
      <c r="F47" s="20"/>
      <c r="G47" s="21"/>
      <c r="H47" s="19">
        <v>0.75</v>
      </c>
      <c r="I47" s="20"/>
      <c r="J47" s="134">
        <v>20</v>
      </c>
      <c r="K47" s="434">
        <f>K48+K49</f>
        <v>135</v>
      </c>
      <c r="L47" s="434">
        <f t="shared" ref="L47:M47" si="10">L48+L49</f>
        <v>32.521500000000003</v>
      </c>
      <c r="M47" s="434">
        <f t="shared" si="10"/>
        <v>167.5215</v>
      </c>
      <c r="N47" s="19"/>
      <c r="O47" s="20"/>
      <c r="P47" s="20"/>
      <c r="Q47" s="20"/>
      <c r="R47" s="20"/>
      <c r="S47" s="21"/>
    </row>
    <row r="48" spans="1:19" ht="18.75" customHeight="1" x14ac:dyDescent="0.25">
      <c r="A48" s="18" t="s">
        <v>776</v>
      </c>
      <c r="B48" s="19"/>
      <c r="C48" s="20"/>
      <c r="D48" s="20"/>
      <c r="E48" s="20"/>
      <c r="F48" s="20"/>
      <c r="G48" s="21"/>
      <c r="H48" s="19">
        <v>0.75</v>
      </c>
      <c r="I48" s="20">
        <v>900</v>
      </c>
      <c r="J48" s="134">
        <v>20</v>
      </c>
      <c r="K48" s="20">
        <f t="shared" si="5"/>
        <v>135</v>
      </c>
      <c r="L48" s="20">
        <f t="shared" si="6"/>
        <v>32.521500000000003</v>
      </c>
      <c r="M48" s="21">
        <f t="shared" si="7"/>
        <v>167.5215</v>
      </c>
      <c r="N48" s="19"/>
      <c r="O48" s="20"/>
      <c r="P48" s="20"/>
      <c r="Q48" s="20"/>
      <c r="R48" s="20"/>
      <c r="S48" s="21"/>
    </row>
    <row r="49" spans="1:19" ht="19.5" customHeight="1" x14ac:dyDescent="0.25">
      <c r="A49" s="18"/>
      <c r="B49" s="19"/>
      <c r="C49" s="20"/>
      <c r="D49" s="20"/>
      <c r="E49" s="20"/>
      <c r="F49" s="20"/>
      <c r="G49" s="21"/>
      <c r="H49" s="19"/>
      <c r="I49" s="20"/>
      <c r="J49" s="134">
        <v>20</v>
      </c>
      <c r="K49" s="20">
        <f t="shared" si="5"/>
        <v>0</v>
      </c>
      <c r="L49" s="20">
        <f t="shared" si="6"/>
        <v>0</v>
      </c>
      <c r="M49" s="21">
        <f t="shared" si="7"/>
        <v>0</v>
      </c>
      <c r="N49" s="19"/>
      <c r="O49" s="20"/>
      <c r="P49" s="20"/>
      <c r="Q49" s="20"/>
      <c r="R49" s="20"/>
      <c r="S49" s="21"/>
    </row>
    <row r="50" spans="1:19" ht="49.5" customHeight="1" x14ac:dyDescent="0.25">
      <c r="A50" s="18" t="s">
        <v>12</v>
      </c>
      <c r="B50" s="19"/>
      <c r="C50" s="20"/>
      <c r="D50" s="20"/>
      <c r="E50" s="20"/>
      <c r="F50" s="20"/>
      <c r="G50" s="21"/>
      <c r="H50" s="19">
        <f>SUM(H51:H53)</f>
        <v>3.6900000000000004</v>
      </c>
      <c r="I50" s="20"/>
      <c r="J50" s="134">
        <v>20</v>
      </c>
      <c r="K50" s="434">
        <f>K51+K53+K52</f>
        <v>818.60120000000006</v>
      </c>
      <c r="L50" s="434">
        <f t="shared" ref="L50:M50" si="11">L51+L53+L52</f>
        <v>197.20102908000001</v>
      </c>
      <c r="M50" s="434">
        <f t="shared" si="11"/>
        <v>1015.8022290800001</v>
      </c>
      <c r="N50" s="19"/>
      <c r="O50" s="20"/>
      <c r="P50" s="20"/>
      <c r="Q50" s="20"/>
      <c r="R50" s="20"/>
      <c r="S50" s="21"/>
    </row>
    <row r="51" spans="1:19" x14ac:dyDescent="0.25">
      <c r="A51" s="18" t="s">
        <v>234</v>
      </c>
      <c r="B51" s="19"/>
      <c r="C51" s="20"/>
      <c r="D51" s="20"/>
      <c r="E51" s="20"/>
      <c r="F51" s="20"/>
      <c r="G51" s="21"/>
      <c r="H51" s="19">
        <v>1</v>
      </c>
      <c r="I51" s="20">
        <v>1400</v>
      </c>
      <c r="J51" s="134">
        <v>20</v>
      </c>
      <c r="K51" s="20">
        <f t="shared" si="5"/>
        <v>280</v>
      </c>
      <c r="L51" s="20">
        <f t="shared" si="6"/>
        <v>67.451999999999998</v>
      </c>
      <c r="M51" s="21">
        <f t="shared" si="7"/>
        <v>347.452</v>
      </c>
      <c r="N51" s="19"/>
      <c r="O51" s="20"/>
      <c r="P51" s="20"/>
      <c r="Q51" s="20"/>
      <c r="R51" s="20"/>
      <c r="S51" s="21"/>
    </row>
    <row r="52" spans="1:19" x14ac:dyDescent="0.25">
      <c r="A52" s="18" t="s">
        <v>777</v>
      </c>
      <c r="B52" s="19"/>
      <c r="C52" s="20"/>
      <c r="D52" s="20"/>
      <c r="E52" s="20"/>
      <c r="F52" s="20"/>
      <c r="G52" s="21"/>
      <c r="H52" s="19">
        <v>1.35</v>
      </c>
      <c r="I52" s="20">
        <v>1005.8</v>
      </c>
      <c r="J52" s="134">
        <v>20</v>
      </c>
      <c r="K52" s="20">
        <f t="shared" si="5"/>
        <v>271.56600000000003</v>
      </c>
      <c r="L52" s="20">
        <f t="shared" si="6"/>
        <v>65.420249400000003</v>
      </c>
      <c r="M52" s="21">
        <f t="shared" si="7"/>
        <v>336.98624940000002</v>
      </c>
      <c r="N52" s="19"/>
      <c r="O52" s="20"/>
      <c r="P52" s="20"/>
      <c r="Q52" s="20"/>
      <c r="R52" s="20"/>
      <c r="S52" s="21"/>
    </row>
    <row r="53" spans="1:19" x14ac:dyDescent="0.25">
      <c r="A53" s="18" t="s">
        <v>778</v>
      </c>
      <c r="B53" s="19"/>
      <c r="C53" s="20"/>
      <c r="D53" s="20"/>
      <c r="E53" s="20"/>
      <c r="F53" s="20"/>
      <c r="G53" s="21"/>
      <c r="H53" s="19">
        <v>1.34</v>
      </c>
      <c r="I53" s="20">
        <v>996.4</v>
      </c>
      <c r="J53" s="134">
        <v>20</v>
      </c>
      <c r="K53" s="20">
        <f t="shared" si="5"/>
        <v>267.03520000000003</v>
      </c>
      <c r="L53" s="20">
        <f t="shared" si="6"/>
        <v>64.328779680000011</v>
      </c>
      <c r="M53" s="21">
        <f t="shared" si="7"/>
        <v>331.36397968000006</v>
      </c>
      <c r="N53" s="19"/>
      <c r="O53" s="20"/>
      <c r="P53" s="20"/>
      <c r="Q53" s="20"/>
      <c r="R53" s="20"/>
      <c r="S53" s="21"/>
    </row>
    <row r="54" spans="1:19" ht="64.5" customHeight="1" x14ac:dyDescent="0.25">
      <c r="A54" s="18" t="s">
        <v>13</v>
      </c>
      <c r="B54" s="19"/>
      <c r="C54" s="20"/>
      <c r="D54" s="20"/>
      <c r="E54" s="20"/>
      <c r="F54" s="20"/>
      <c r="G54" s="21"/>
      <c r="H54" s="19"/>
      <c r="I54" s="20"/>
      <c r="J54" s="134">
        <v>20</v>
      </c>
      <c r="K54" s="20">
        <f t="shared" si="5"/>
        <v>0</v>
      </c>
      <c r="L54" s="20">
        <f t="shared" si="6"/>
        <v>0</v>
      </c>
      <c r="M54" s="21">
        <f t="shared" si="7"/>
        <v>0</v>
      </c>
      <c r="N54" s="19"/>
      <c r="O54" s="20"/>
      <c r="P54" s="20"/>
      <c r="Q54" s="20"/>
      <c r="R54" s="20"/>
      <c r="S54" s="21"/>
    </row>
    <row r="55" spans="1:19" x14ac:dyDescent="0.25">
      <c r="A55" s="18" t="s">
        <v>1</v>
      </c>
      <c r="B55" s="19"/>
      <c r="C55" s="20"/>
      <c r="D55" s="20"/>
      <c r="E55" s="20"/>
      <c r="F55" s="20"/>
      <c r="G55" s="21"/>
      <c r="H55" s="19"/>
      <c r="I55" s="20"/>
      <c r="J55" s="134">
        <v>20</v>
      </c>
      <c r="K55" s="20">
        <f t="shared" si="5"/>
        <v>0</v>
      </c>
      <c r="L55" s="20">
        <f t="shared" si="6"/>
        <v>0</v>
      </c>
      <c r="M55" s="21">
        <f t="shared" si="7"/>
        <v>0</v>
      </c>
      <c r="N55" s="19"/>
      <c r="O55" s="20"/>
      <c r="P55" s="20"/>
      <c r="Q55" s="20"/>
      <c r="R55" s="20"/>
      <c r="S55" s="21"/>
    </row>
    <row r="56" spans="1:19" x14ac:dyDescent="0.25">
      <c r="A56" s="18" t="s">
        <v>1</v>
      </c>
      <c r="B56" s="19"/>
      <c r="C56" s="20"/>
      <c r="D56" s="20"/>
      <c r="E56" s="20"/>
      <c r="F56" s="20"/>
      <c r="G56" s="21"/>
      <c r="H56" s="19"/>
      <c r="I56" s="20"/>
      <c r="J56" s="134">
        <v>20</v>
      </c>
      <c r="K56" s="20">
        <f t="shared" si="5"/>
        <v>0</v>
      </c>
      <c r="L56" s="20">
        <f t="shared" si="6"/>
        <v>0</v>
      </c>
      <c r="M56" s="21">
        <f t="shared" si="7"/>
        <v>0</v>
      </c>
      <c r="N56" s="19"/>
      <c r="O56" s="20"/>
      <c r="P56" s="20"/>
      <c r="Q56" s="20"/>
      <c r="R56" s="20"/>
      <c r="S56" s="21"/>
    </row>
    <row r="57" spans="1:19" ht="37.5" customHeight="1" x14ac:dyDescent="0.25">
      <c r="A57" s="18" t="s">
        <v>11</v>
      </c>
      <c r="B57" s="19"/>
      <c r="C57" s="20"/>
      <c r="D57" s="20"/>
      <c r="E57" s="20"/>
      <c r="F57" s="20"/>
      <c r="G57" s="21"/>
      <c r="H57" s="19"/>
      <c r="I57" s="20"/>
      <c r="J57" s="134">
        <v>20</v>
      </c>
      <c r="K57" s="20">
        <f t="shared" si="5"/>
        <v>0</v>
      </c>
      <c r="L57" s="20">
        <f t="shared" si="6"/>
        <v>0</v>
      </c>
      <c r="M57" s="21">
        <f t="shared" si="7"/>
        <v>0</v>
      </c>
      <c r="N57" s="19"/>
      <c r="O57" s="20"/>
      <c r="P57" s="20"/>
      <c r="Q57" s="20"/>
      <c r="R57" s="20"/>
      <c r="S57" s="21"/>
    </row>
    <row r="58" spans="1:19" x14ac:dyDescent="0.25">
      <c r="A58" s="18" t="s">
        <v>1</v>
      </c>
      <c r="B58" s="19"/>
      <c r="C58" s="20"/>
      <c r="D58" s="20"/>
      <c r="E58" s="20"/>
      <c r="F58" s="20"/>
      <c r="G58" s="21"/>
      <c r="H58" s="19"/>
      <c r="I58" s="20"/>
      <c r="J58" s="134">
        <v>20</v>
      </c>
      <c r="K58" s="20">
        <f t="shared" si="5"/>
        <v>0</v>
      </c>
      <c r="L58" s="20">
        <f t="shared" si="6"/>
        <v>0</v>
      </c>
      <c r="M58" s="21">
        <f t="shared" si="7"/>
        <v>0</v>
      </c>
      <c r="N58" s="19"/>
      <c r="O58" s="20"/>
      <c r="P58" s="20"/>
      <c r="Q58" s="20"/>
      <c r="R58" s="20"/>
      <c r="S58" s="21"/>
    </row>
    <row r="59" spans="1:19" ht="17.25" thickBot="1" x14ac:dyDescent="0.3">
      <c r="A59" s="18" t="s">
        <v>1</v>
      </c>
      <c r="B59" s="22"/>
      <c r="C59" s="23"/>
      <c r="D59" s="23"/>
      <c r="E59" s="23"/>
      <c r="F59" s="23"/>
      <c r="G59" s="24"/>
      <c r="H59" s="22"/>
      <c r="I59" s="23"/>
      <c r="J59" s="154"/>
      <c r="K59" s="23"/>
      <c r="L59" s="23"/>
      <c r="M59" s="24"/>
      <c r="N59" s="22"/>
      <c r="O59" s="23"/>
      <c r="P59" s="23"/>
      <c r="Q59" s="23"/>
      <c r="R59" s="23"/>
      <c r="S59" s="24"/>
    </row>
    <row r="61" spans="1:19" ht="21" customHeight="1" x14ac:dyDescent="0.25">
      <c r="A61" s="901" t="s">
        <v>33</v>
      </c>
      <c r="B61" s="901"/>
      <c r="C61" s="901"/>
      <c r="D61" s="901"/>
      <c r="E61" s="901"/>
      <c r="F61" s="901"/>
      <c r="G61" s="901"/>
      <c r="H61" s="901"/>
      <c r="I61" s="901"/>
      <c r="J61" s="901"/>
      <c r="K61" s="901"/>
      <c r="L61" s="901"/>
      <c r="M61" s="901"/>
      <c r="N61" s="901"/>
      <c r="O61" s="901"/>
      <c r="P61" s="901"/>
      <c r="Q61" s="901"/>
      <c r="R61" s="901"/>
      <c r="S61" s="25"/>
    </row>
    <row r="64" spans="1:19" ht="18" customHeight="1" x14ac:dyDescent="0.25"/>
  </sheetData>
  <mergeCells count="6">
    <mergeCell ref="A61:R61"/>
    <mergeCell ref="A2:S2"/>
    <mergeCell ref="A6:A7"/>
    <mergeCell ref="B6:G6"/>
    <mergeCell ref="H6:M6"/>
    <mergeCell ref="N6:S6"/>
  </mergeCell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5</vt:i4>
      </vt:variant>
    </vt:vector>
  </HeadingPairs>
  <TitlesOfParts>
    <vt:vector size="33" baseType="lpstr">
      <vt:lpstr>KOPĀ</vt:lpstr>
      <vt:lpstr>BKUS</vt:lpstr>
      <vt:lpstr>BKUS_akord_marts</vt:lpstr>
      <vt:lpstr>BKUS_akord_aprīlis</vt:lpstr>
      <vt:lpstr>PSKUS</vt:lpstr>
      <vt:lpstr>RAKUS</vt:lpstr>
      <vt:lpstr>Jūrm_prec.18.05.</vt:lpstr>
      <vt:lpstr>Vidzem</vt:lpstr>
      <vt:lpstr>Aluksn</vt:lpstr>
      <vt:lpstr>Balv</vt:lpstr>
      <vt:lpstr>Cēsis</vt:lpstr>
      <vt:lpstr>R.2.sl.</vt:lpstr>
      <vt:lpstr>R.DzN</vt:lpstr>
      <vt:lpstr>RPNC</vt:lpstr>
      <vt:lpstr>Vaivari</vt:lpstr>
      <vt:lpstr>Piejura</vt:lpstr>
      <vt:lpstr>Daug_psih</vt:lpstr>
      <vt:lpstr>Rezekne</vt:lpstr>
      <vt:lpstr>Kraslava</vt:lpstr>
      <vt:lpstr>Gintermuiza</vt:lpstr>
      <vt:lpstr>Kuldiga</vt:lpstr>
      <vt:lpstr>Jelgava</vt:lpstr>
      <vt:lpstr>Ogre</vt:lpstr>
      <vt:lpstr>Jekabp</vt:lpstr>
      <vt:lpstr>Liep_reg</vt:lpstr>
      <vt:lpstr>NMPD</vt:lpstr>
      <vt:lpstr>NVD</vt:lpstr>
      <vt:lpstr>SPKC</vt:lpstr>
      <vt:lpstr>Liep_reg!Print_Area</vt:lpstr>
      <vt:lpstr>NVD!Print_Area</vt:lpstr>
      <vt:lpstr>BKUS!Print_Titles</vt:lpstr>
      <vt:lpstr>Liep_reg!Print_Titles</vt:lpstr>
      <vt:lpstr>RAKUS!Print_Titles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Linards</dc:creator>
  <cp:lastModifiedBy>Liene Ābola</cp:lastModifiedBy>
  <cp:lastPrinted>2020-06-02T12:41:25Z</cp:lastPrinted>
  <dcterms:created xsi:type="dcterms:W3CDTF">2017-06-26T19:24:00Z</dcterms:created>
  <dcterms:modified xsi:type="dcterms:W3CDTF">2020-09-08T08:38:11Z</dcterms:modified>
</cp:coreProperties>
</file>