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RBS\ASISTENTI\MK NOTEIKUMU GROZĪJUMI\Grozījumi 2021.gadā\Saskaņošanas sanāksme 020621\"/>
    </mc:Choice>
  </mc:AlternateContent>
  <bookViews>
    <workbookView xWindow="0" yWindow="0" windowWidth="28800" windowHeight="12135"/>
  </bookViews>
  <sheets>
    <sheet name="2021" sheetId="5" r:id="rId1"/>
    <sheet name="2022" sheetId="2" r:id="rId2"/>
    <sheet name="2023" sheetId="3" r:id="rId3"/>
    <sheet name="2024" sheetId="4" r:id="rId4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5" l="1"/>
  <c r="I33" i="5" s="1"/>
  <c r="G12" i="5"/>
  <c r="B27" i="5" l="1"/>
  <c r="K26" i="5"/>
  <c r="J26" i="5"/>
  <c r="I26" i="5"/>
  <c r="H26" i="5"/>
  <c r="F26" i="5"/>
  <c r="E26" i="5"/>
  <c r="K25" i="5"/>
  <c r="J25" i="5"/>
  <c r="I25" i="5"/>
  <c r="H25" i="5"/>
  <c r="F25" i="5"/>
  <c r="E25" i="5"/>
  <c r="K24" i="5"/>
  <c r="J24" i="5"/>
  <c r="I24" i="5"/>
  <c r="H24" i="5"/>
  <c r="F24" i="5"/>
  <c r="E24" i="5"/>
  <c r="K23" i="5"/>
  <c r="J23" i="5"/>
  <c r="I23" i="5"/>
  <c r="H23" i="5"/>
  <c r="F23" i="5"/>
  <c r="E23" i="5"/>
  <c r="K22" i="5"/>
  <c r="J22" i="5"/>
  <c r="I22" i="5"/>
  <c r="H22" i="5"/>
  <c r="F22" i="5"/>
  <c r="E22" i="5"/>
  <c r="K21" i="5"/>
  <c r="J21" i="5"/>
  <c r="I21" i="5"/>
  <c r="H21" i="5"/>
  <c r="F21" i="5"/>
  <c r="E21" i="5"/>
  <c r="K19" i="5"/>
  <c r="J19" i="5"/>
  <c r="I19" i="5"/>
  <c r="H19" i="5"/>
  <c r="F19" i="5"/>
  <c r="E19" i="5"/>
  <c r="L18" i="5"/>
  <c r="G18" i="5"/>
  <c r="L17" i="5"/>
  <c r="G17" i="5"/>
  <c r="L16" i="5"/>
  <c r="G16" i="5"/>
  <c r="L15" i="5"/>
  <c r="G15" i="5"/>
  <c r="L14" i="5"/>
  <c r="G14" i="5"/>
  <c r="L13" i="5"/>
  <c r="G13" i="5"/>
  <c r="L12" i="5"/>
  <c r="M12" i="5" s="1"/>
  <c r="L19" i="5" l="1"/>
  <c r="M17" i="5"/>
  <c r="M13" i="5"/>
  <c r="M16" i="5"/>
  <c r="M18" i="5"/>
  <c r="M14" i="5"/>
  <c r="M15" i="5"/>
  <c r="G26" i="5"/>
  <c r="G23" i="5"/>
  <c r="G19" i="5"/>
  <c r="G25" i="5"/>
  <c r="L21" i="5"/>
  <c r="L22" i="5"/>
  <c r="G24" i="5"/>
  <c r="L23" i="5"/>
  <c r="M23" i="5" s="1"/>
  <c r="L24" i="5"/>
  <c r="L25" i="5"/>
  <c r="L26" i="5"/>
  <c r="G21" i="5"/>
  <c r="G22" i="5"/>
  <c r="S17" i="2"/>
  <c r="S16" i="2"/>
  <c r="S14" i="2"/>
  <c r="S13" i="2"/>
  <c r="K17" i="2"/>
  <c r="K16" i="2"/>
  <c r="K14" i="2"/>
  <c r="K13" i="2"/>
  <c r="M25" i="5" l="1"/>
  <c r="M22" i="5"/>
  <c r="M24" i="5"/>
  <c r="M21" i="5"/>
  <c r="G27" i="5"/>
  <c r="M19" i="5"/>
  <c r="M26" i="5"/>
  <c r="L27" i="5"/>
  <c r="M27" i="5" l="1"/>
  <c r="E33" i="5" s="1"/>
  <c r="G13" i="2"/>
  <c r="F33" i="5" l="1"/>
  <c r="H33" i="5"/>
  <c r="J33" i="5" s="1"/>
  <c r="R23" i="4"/>
  <c r="Q23" i="4"/>
  <c r="P23" i="4"/>
  <c r="O23" i="4"/>
  <c r="M23" i="4"/>
  <c r="L23" i="4"/>
  <c r="J23" i="4"/>
  <c r="I23" i="4"/>
  <c r="H23" i="4"/>
  <c r="F23" i="4"/>
  <c r="E23" i="4"/>
  <c r="D23" i="4"/>
  <c r="R22" i="4"/>
  <c r="Q22" i="4"/>
  <c r="P22" i="4"/>
  <c r="O22" i="4"/>
  <c r="M22" i="4"/>
  <c r="L22" i="4"/>
  <c r="J22" i="4"/>
  <c r="I22" i="4"/>
  <c r="H22" i="4"/>
  <c r="F22" i="4"/>
  <c r="E22" i="4"/>
  <c r="D22" i="4"/>
  <c r="R21" i="4"/>
  <c r="Q21" i="4"/>
  <c r="P21" i="4"/>
  <c r="O21" i="4"/>
  <c r="M21" i="4"/>
  <c r="L21" i="4"/>
  <c r="J21" i="4"/>
  <c r="I21" i="4"/>
  <c r="H21" i="4"/>
  <c r="F21" i="4"/>
  <c r="E21" i="4"/>
  <c r="D21" i="4"/>
  <c r="B21" i="4"/>
  <c r="R20" i="4"/>
  <c r="Q20" i="4"/>
  <c r="P20" i="4"/>
  <c r="O20" i="4"/>
  <c r="M20" i="4"/>
  <c r="L20" i="4"/>
  <c r="J20" i="4"/>
  <c r="I20" i="4"/>
  <c r="H20" i="4"/>
  <c r="F20" i="4"/>
  <c r="E20" i="4"/>
  <c r="D20" i="4"/>
  <c r="B20" i="4"/>
  <c r="R19" i="4"/>
  <c r="Q19" i="4"/>
  <c r="P19" i="4"/>
  <c r="O19" i="4"/>
  <c r="M19" i="4"/>
  <c r="L19" i="4"/>
  <c r="J19" i="4"/>
  <c r="I19" i="4"/>
  <c r="H19" i="4"/>
  <c r="F19" i="4"/>
  <c r="E19" i="4"/>
  <c r="D19" i="4"/>
  <c r="B19" i="4"/>
  <c r="R17" i="4"/>
  <c r="P17" i="4"/>
  <c r="M17" i="4"/>
  <c r="L17" i="4"/>
  <c r="J17" i="4"/>
  <c r="I17" i="4"/>
  <c r="H17" i="4"/>
  <c r="F17" i="4"/>
  <c r="E17" i="4"/>
  <c r="D17" i="4"/>
  <c r="B17" i="4"/>
  <c r="B16" i="4"/>
  <c r="B15" i="4"/>
  <c r="B13" i="4"/>
  <c r="B12" i="4"/>
  <c r="B20" i="3"/>
  <c r="B21" i="3"/>
  <c r="B19" i="3"/>
  <c r="B13" i="3"/>
  <c r="B15" i="3"/>
  <c r="B16" i="3"/>
  <c r="B17" i="3"/>
  <c r="B12" i="3"/>
  <c r="B15" i="2"/>
  <c r="N14" i="2"/>
  <c r="N16" i="2"/>
  <c r="N17" i="2"/>
  <c r="N13" i="2"/>
  <c r="G14" i="2"/>
  <c r="G16" i="2"/>
  <c r="G17" i="2"/>
  <c r="T17" i="2" s="1"/>
  <c r="S15" i="4" l="1"/>
  <c r="K15" i="4"/>
  <c r="G15" i="4"/>
  <c r="S16" i="3"/>
  <c r="K16" i="3"/>
  <c r="B14" i="4"/>
  <c r="B24" i="4" s="1"/>
  <c r="S15" i="2"/>
  <c r="K15" i="2"/>
  <c r="G15" i="3"/>
  <c r="K15" i="3"/>
  <c r="S15" i="3"/>
  <c r="N16" i="4"/>
  <c r="K16" i="4"/>
  <c r="G16" i="4"/>
  <c r="S19" i="4"/>
  <c r="G19" i="4"/>
  <c r="K19" i="4"/>
  <c r="S13" i="4"/>
  <c r="G13" i="4"/>
  <c r="K13" i="4"/>
  <c r="S12" i="3"/>
  <c r="K12" i="3"/>
  <c r="N13" i="3"/>
  <c r="K13" i="3"/>
  <c r="S13" i="3"/>
  <c r="N12" i="4"/>
  <c r="S12" i="4"/>
  <c r="K12" i="4"/>
  <c r="G12" i="4"/>
  <c r="G17" i="4"/>
  <c r="K17" i="4"/>
  <c r="S17" i="4"/>
  <c r="K20" i="4"/>
  <c r="G20" i="4"/>
  <c r="K21" i="4"/>
  <c r="G21" i="4"/>
  <c r="G23" i="4"/>
  <c r="N22" i="4"/>
  <c r="N19" i="4"/>
  <c r="N21" i="4"/>
  <c r="N23" i="4"/>
  <c r="K22" i="4"/>
  <c r="K23" i="4"/>
  <c r="G22" i="4"/>
  <c r="T22" i="4" s="1"/>
  <c r="T14" i="2"/>
  <c r="T13" i="2"/>
  <c r="T16" i="2"/>
  <c r="N16" i="3"/>
  <c r="G13" i="3"/>
  <c r="N15" i="3"/>
  <c r="S16" i="4"/>
  <c r="G12" i="3"/>
  <c r="S14" i="4"/>
  <c r="G15" i="2"/>
  <c r="N15" i="2"/>
  <c r="G16" i="3"/>
  <c r="N12" i="3"/>
  <c r="B14" i="3"/>
  <c r="S21" i="4"/>
  <c r="S22" i="4"/>
  <c r="S20" i="4"/>
  <c r="S23" i="4"/>
  <c r="N13" i="4"/>
  <c r="N17" i="4"/>
  <c r="N20" i="4"/>
  <c r="N15" i="4"/>
  <c r="N14" i="4" l="1"/>
  <c r="S14" i="3"/>
  <c r="K14" i="3"/>
  <c r="G14" i="4"/>
  <c r="K14" i="4"/>
  <c r="K24" i="4" s="1"/>
  <c r="T16" i="3"/>
  <c r="T23" i="4"/>
  <c r="T19" i="4"/>
  <c r="T15" i="3"/>
  <c r="T20" i="4"/>
  <c r="T12" i="3"/>
  <c r="T15" i="4"/>
  <c r="T16" i="4"/>
  <c r="T12" i="4"/>
  <c r="T17" i="4"/>
  <c r="T21" i="4"/>
  <c r="T13" i="4"/>
  <c r="T13" i="3"/>
  <c r="T15" i="2"/>
  <c r="N14" i="3"/>
  <c r="G14" i="3"/>
  <c r="N24" i="4"/>
  <c r="S24" i="4"/>
  <c r="T14" i="4" l="1"/>
  <c r="T24" i="4" s="1"/>
  <c r="P29" i="4" s="1"/>
  <c r="G24" i="4"/>
  <c r="T14" i="3"/>
  <c r="Q29" i="4" l="1"/>
  <c r="S29" i="4"/>
  <c r="T29" i="4" s="1"/>
  <c r="B24" i="3" l="1"/>
  <c r="R23" i="3"/>
  <c r="Q23" i="3"/>
  <c r="P23" i="3"/>
  <c r="O23" i="3"/>
  <c r="M23" i="3"/>
  <c r="L23" i="3"/>
  <c r="J23" i="3"/>
  <c r="I23" i="3"/>
  <c r="H23" i="3"/>
  <c r="F23" i="3"/>
  <c r="E23" i="3"/>
  <c r="D23" i="3"/>
  <c r="R22" i="3"/>
  <c r="Q22" i="3"/>
  <c r="P22" i="3"/>
  <c r="O22" i="3"/>
  <c r="M22" i="3"/>
  <c r="L22" i="3"/>
  <c r="N22" i="3" s="1"/>
  <c r="J22" i="3"/>
  <c r="I22" i="3"/>
  <c r="H22" i="3"/>
  <c r="F22" i="3"/>
  <c r="E22" i="3"/>
  <c r="D22" i="3"/>
  <c r="R21" i="3"/>
  <c r="Q21" i="3"/>
  <c r="P21" i="3"/>
  <c r="O21" i="3"/>
  <c r="M21" i="3"/>
  <c r="L21" i="3"/>
  <c r="N21" i="3" s="1"/>
  <c r="J21" i="3"/>
  <c r="I21" i="3"/>
  <c r="H21" i="3"/>
  <c r="F21" i="3"/>
  <c r="E21" i="3"/>
  <c r="D21" i="3"/>
  <c r="R20" i="3"/>
  <c r="Q20" i="3"/>
  <c r="P20" i="3"/>
  <c r="O20" i="3"/>
  <c r="M20" i="3"/>
  <c r="L20" i="3"/>
  <c r="N20" i="3" s="1"/>
  <c r="J20" i="3"/>
  <c r="I20" i="3"/>
  <c r="H20" i="3"/>
  <c r="F20" i="3"/>
  <c r="E20" i="3"/>
  <c r="D20" i="3"/>
  <c r="R19" i="3"/>
  <c r="Q19" i="3"/>
  <c r="P19" i="3"/>
  <c r="O19" i="3"/>
  <c r="M19" i="3"/>
  <c r="L19" i="3"/>
  <c r="N19" i="3" s="1"/>
  <c r="J19" i="3"/>
  <c r="I19" i="3"/>
  <c r="H19" i="3"/>
  <c r="F19" i="3"/>
  <c r="E19" i="3"/>
  <c r="D19" i="3"/>
  <c r="R17" i="3"/>
  <c r="Q17" i="3"/>
  <c r="P17" i="3"/>
  <c r="S17" i="3" s="1"/>
  <c r="M17" i="3"/>
  <c r="L17" i="3"/>
  <c r="J17" i="3"/>
  <c r="I17" i="3"/>
  <c r="H17" i="3"/>
  <c r="F17" i="3"/>
  <c r="E17" i="3"/>
  <c r="D17" i="3"/>
  <c r="B25" i="2"/>
  <c r="R24" i="2"/>
  <c r="Q24" i="2"/>
  <c r="P24" i="2"/>
  <c r="O24" i="2"/>
  <c r="M24" i="2"/>
  <c r="L24" i="2"/>
  <c r="N24" i="2" s="1"/>
  <c r="J24" i="2"/>
  <c r="I24" i="2"/>
  <c r="H24" i="2"/>
  <c r="F24" i="2"/>
  <c r="E24" i="2"/>
  <c r="D24" i="2"/>
  <c r="R23" i="2"/>
  <c r="Q23" i="2"/>
  <c r="P23" i="2"/>
  <c r="O23" i="2"/>
  <c r="M23" i="2"/>
  <c r="L23" i="2"/>
  <c r="N23" i="2" s="1"/>
  <c r="J23" i="2"/>
  <c r="I23" i="2"/>
  <c r="H23" i="2"/>
  <c r="F23" i="2"/>
  <c r="E23" i="2"/>
  <c r="D23" i="2"/>
  <c r="R22" i="2"/>
  <c r="Q22" i="2"/>
  <c r="P22" i="2"/>
  <c r="O22" i="2"/>
  <c r="M22" i="2"/>
  <c r="L22" i="2"/>
  <c r="N22" i="2" s="1"/>
  <c r="J22" i="2"/>
  <c r="I22" i="2"/>
  <c r="H22" i="2"/>
  <c r="F22" i="2"/>
  <c r="E22" i="2"/>
  <c r="D22" i="2"/>
  <c r="R21" i="2"/>
  <c r="Q21" i="2"/>
  <c r="P21" i="2"/>
  <c r="O21" i="2"/>
  <c r="M21" i="2"/>
  <c r="L21" i="2"/>
  <c r="N21" i="2" s="1"/>
  <c r="J21" i="2"/>
  <c r="I21" i="2"/>
  <c r="H21" i="2"/>
  <c r="F21" i="2"/>
  <c r="E21" i="2"/>
  <c r="D21" i="2"/>
  <c r="R20" i="2"/>
  <c r="Q20" i="2"/>
  <c r="P20" i="2"/>
  <c r="O20" i="2"/>
  <c r="M20" i="2"/>
  <c r="L20" i="2"/>
  <c r="N20" i="2" s="1"/>
  <c r="J20" i="2"/>
  <c r="I20" i="2"/>
  <c r="H20" i="2"/>
  <c r="F20" i="2"/>
  <c r="E20" i="2"/>
  <c r="D20" i="2"/>
  <c r="R18" i="2"/>
  <c r="Q18" i="2"/>
  <c r="P18" i="2"/>
  <c r="O18" i="2"/>
  <c r="M18" i="2"/>
  <c r="L18" i="2"/>
  <c r="J18" i="2"/>
  <c r="I18" i="2"/>
  <c r="H18" i="2"/>
  <c r="F18" i="2"/>
  <c r="E18" i="2"/>
  <c r="D18" i="2"/>
  <c r="K18" i="2" l="1"/>
  <c r="K20" i="2"/>
  <c r="K21" i="2"/>
  <c r="K22" i="2"/>
  <c r="K19" i="3"/>
  <c r="K20" i="3"/>
  <c r="K21" i="3"/>
  <c r="S18" i="2"/>
  <c r="S20" i="2"/>
  <c r="S21" i="2"/>
  <c r="S22" i="2"/>
  <c r="K17" i="3"/>
  <c r="S19" i="3"/>
  <c r="S20" i="3"/>
  <c r="S21" i="3"/>
  <c r="N17" i="3"/>
  <c r="N23" i="3"/>
  <c r="G17" i="3"/>
  <c r="G19" i="3"/>
  <c r="G20" i="3"/>
  <c r="G21" i="3"/>
  <c r="S22" i="3"/>
  <c r="S23" i="3"/>
  <c r="G22" i="3"/>
  <c r="G23" i="3"/>
  <c r="K22" i="3"/>
  <c r="K23" i="3"/>
  <c r="G20" i="2"/>
  <c r="G21" i="2"/>
  <c r="G22" i="2"/>
  <c r="G23" i="2"/>
  <c r="S23" i="2"/>
  <c r="G24" i="2"/>
  <c r="S24" i="2"/>
  <c r="N18" i="2"/>
  <c r="G18" i="2"/>
  <c r="K23" i="2"/>
  <c r="K24" i="2"/>
  <c r="T22" i="3" l="1"/>
  <c r="T23" i="3"/>
  <c r="T21" i="3"/>
  <c r="T19" i="3"/>
  <c r="T20" i="3"/>
  <c r="T17" i="3"/>
  <c r="T23" i="2"/>
  <c r="T21" i="2"/>
  <c r="T18" i="2"/>
  <c r="T24" i="2"/>
  <c r="T22" i="2"/>
  <c r="T20" i="2"/>
  <c r="G24" i="3"/>
  <c r="S24" i="3" l="1"/>
  <c r="N24" i="3"/>
  <c r="K24" i="3"/>
  <c r="K25" i="2"/>
  <c r="G25" i="2"/>
  <c r="N25" i="2"/>
  <c r="S25" i="2"/>
  <c r="T25" i="2" l="1"/>
  <c r="P30" i="2" s="1"/>
  <c r="T24" i="3"/>
  <c r="P28" i="3" s="1"/>
  <c r="S30" i="2" l="1"/>
  <c r="T30" i="2" s="1"/>
  <c r="Q30" i="2"/>
  <c r="S28" i="3"/>
  <c r="T28" i="3" s="1"/>
  <c r="Q28" i="3"/>
</calcChain>
</file>

<file path=xl/sharedStrings.xml><?xml version="1.0" encoding="utf-8"?>
<sst xmlns="http://schemas.openxmlformats.org/spreadsheetml/2006/main" count="231" uniqueCount="84">
  <si>
    <t>Apmaksāto stundu skaits dienā</t>
  </si>
  <si>
    <t>janvāris</t>
  </si>
  <si>
    <t>februāris</t>
  </si>
  <si>
    <t>marts</t>
  </si>
  <si>
    <t>KOPĀ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</si>
  <si>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</si>
  <si>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</si>
  <si>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</si>
  <si>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</si>
  <si>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</si>
  <si>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</si>
  <si>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</si>
  <si>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</si>
  <si>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</si>
  <si>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Pirmsk. izgl.iest.*</t>
  </si>
  <si>
    <t>1.klase</t>
  </si>
  <si>
    <t>2.-8.; 10.-11.</t>
  </si>
  <si>
    <t>9.klase</t>
  </si>
  <si>
    <t>12.klase</t>
  </si>
  <si>
    <t>Prof.sk</t>
  </si>
  <si>
    <t>Priv sk.</t>
  </si>
  <si>
    <t>Pirmsk. izgl.iest.</t>
  </si>
  <si>
    <t>Mēnesis</t>
  </si>
  <si>
    <t>Janvāris</t>
  </si>
  <si>
    <t>Februāris</t>
  </si>
  <si>
    <t>Marts</t>
  </si>
  <si>
    <t>Aprīlis</t>
  </si>
  <si>
    <t>Maijs</t>
  </si>
  <si>
    <t>Jūnijs</t>
  </si>
  <si>
    <t>Plāns, aprēķins</t>
  </si>
  <si>
    <t>Bāze</t>
  </si>
  <si>
    <t>Plānotā Ekanomija (+)/ Iztrūkums (-)</t>
  </si>
  <si>
    <t>Ekanomija (+)/ Iztrūkums (-) (Sākotnējais pilnais aprēķins)</t>
  </si>
  <si>
    <t>Plānotā izpilde %</t>
  </si>
  <si>
    <t xml:space="preserve">Plānotā Izpilde </t>
  </si>
  <si>
    <t>2022.gada prognozes</t>
  </si>
  <si>
    <t>2023.gada prognozes</t>
  </si>
  <si>
    <t>2021.gada prognozes</t>
  </si>
  <si>
    <t xml:space="preserve">Ieņēmumu un izdevumu aprēķins par 2021.gadu </t>
  </si>
  <si>
    <t xml:space="preserve">Ieņēmumu un izdevumu aprēķins par 2023.gadu </t>
  </si>
  <si>
    <t xml:space="preserve">Ieņēmumu un izdevumu aprēķins par 2022.gadu </t>
  </si>
  <si>
    <t>Izglītojamo skaits uz 01.01.2021.</t>
  </si>
  <si>
    <t>1. līdz 4 klase</t>
  </si>
  <si>
    <t>5. līdz 6.klase</t>
  </si>
  <si>
    <t>7.-8.; 10.-11.</t>
  </si>
  <si>
    <t>1. līdz 4.klase</t>
  </si>
  <si>
    <t>Spec. kl.izgl</t>
  </si>
  <si>
    <t xml:space="preserve">Ieņēmumu un izdevumu aprēķins par 2024.gadu </t>
  </si>
  <si>
    <t>2024.gada prognozes</t>
  </si>
  <si>
    <t>KOPĀ (pārskaitījums uz 30.07.2021.)</t>
  </si>
  <si>
    <t>KOPĀ (pārskaitījums uz 30.09.2021.</t>
  </si>
  <si>
    <t>KOPĀ (pārskaitījums uz 30.01.2022.)</t>
  </si>
  <si>
    <t>KOPĀ (pārskaitījums uz 30.04.2022.)</t>
  </si>
  <si>
    <t>KOPĀ (pārskaitījums uz 30.07.2022.)</t>
  </si>
  <si>
    <t>KOPĀ (pārskaitījums uz 30.09.2022.)</t>
  </si>
  <si>
    <t>Izglītības pakāpe</t>
  </si>
  <si>
    <t>Izglītojamo skaits</t>
  </si>
  <si>
    <t>A</t>
  </si>
  <si>
    <t>5=2*4</t>
  </si>
  <si>
    <t>6=1-5</t>
  </si>
  <si>
    <t>Vienas asistenta pakalpojuma stundas izcenojums, euro</t>
  </si>
  <si>
    <t>KOPĀ (pārskaitījums uz 30.01.2023.)</t>
  </si>
  <si>
    <t>KOPĀ (pārskaitījums uz 30.04.2023.)</t>
  </si>
  <si>
    <t>KOPĀ (pārskaitījums uz 30.07.2023.)</t>
  </si>
  <si>
    <t>KOPĀ (pārskaitījums uz 30.09.2023.)</t>
  </si>
  <si>
    <t>KOPĀ (pārskaitījums uz 30.01.2024.)</t>
  </si>
  <si>
    <t>KOPĀ (pārskaitījums uz 30.04.2024.)</t>
  </si>
  <si>
    <t>KOPĀ (pārskaitījums uz 30.07.2024.)</t>
  </si>
  <si>
    <t>KOPĀ (pārskaitījums uz 30.09.2024.)</t>
  </si>
  <si>
    <t>Novembris</t>
  </si>
  <si>
    <t>Decembris</t>
  </si>
  <si>
    <t>Saīsinātais darba dienu skaits gadā</t>
  </si>
  <si>
    <t>Jūlijs</t>
  </si>
  <si>
    <t>Augusts</t>
  </si>
  <si>
    <t>Septembris</t>
  </si>
  <si>
    <t>Oktobris</t>
  </si>
  <si>
    <t>Faktiskā Valsts kases konta izpilde uz 31.05.2021. par veikto aprēķina periodu no 2021.gada 1.janvāra līdz 30.jūnijam</t>
  </si>
  <si>
    <t>Aprēķins 01.07.2021.-31.12.2021.</t>
  </si>
  <si>
    <t>Izpilde uz 31.05.2021.</t>
  </si>
  <si>
    <t>7=1-5-6</t>
  </si>
  <si>
    <t>Plāns, aprēķins 01.07.2021.-31.12.2021.</t>
  </si>
  <si>
    <t>Saīsinātais stundu skaits mēnesī</t>
  </si>
  <si>
    <t>Apmaksāto dienu skaits</t>
  </si>
  <si>
    <t xml:space="preserve">Plānotā Izpilde 01.07.2021.-31.12.2021.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</si>
</sst>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0.00_ ;[Red]\-0.00\ "/>
    <numFmt numFmtId="166" formatCode="#,##0_ ;[Red]\-#,##0\ "/>
    <numFmt numFmtId="167" formatCode="0.0000_ ;[Red]\-0.0000\ "/>
    <numFmt numFmtId="168" formatCode="#,##0.00;[Red]#,##0.0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7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0" fontId="2" fillId="0" borderId="13" xfId="0" applyFont="1" applyBorder="1" applyAlignment="1">
      <alignment horizontal="center" vertical="center" wrapText="1"/>
    </xf>
    <xf numFmtId="0" fontId="0" fillId="0" borderId="0" xfId="0" applyBorder="1"/>
    <xf numFmtId="0" fontId="8" fillId="2" borderId="0" xfId="0" applyFont="1" applyFill="1" applyBorder="1" applyAlignment="1"/>
    <xf numFmtId="0" fontId="0" fillId="2" borderId="0" xfId="0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/>
    </xf>
    <xf numFmtId="0" fontId="0" fillId="2" borderId="0" xfId="0" applyFill="1" applyBorder="1" applyAlignment="1">
      <alignment wrapText="1"/>
    </xf>
    <xf numFmtId="4" fontId="0" fillId="3" borderId="18" xfId="0" applyNumberFormat="1" applyFill="1" applyBorder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10" fillId="2" borderId="0" xfId="0" applyNumberFormat="1" applyFont="1" applyFill="1" applyAlignment="1">
      <alignment horizontal="center"/>
    </xf>
    <xf numFmtId="0" fontId="12" fillId="2" borderId="0" xfId="0" applyFont="1" applyFill="1" applyBorder="1"/>
    <xf numFmtId="0" fontId="0" fillId="2" borderId="0" xfId="0" applyFill="1" applyBorder="1"/>
    <xf numFmtId="9" fontId="2" fillId="2" borderId="0" xfId="1" applyFont="1" applyFill="1" applyBorder="1"/>
    <xf numFmtId="0" fontId="2" fillId="0" borderId="3" xfId="0" applyFont="1" applyBorder="1" applyAlignment="1">
      <alignment horizontal="center" vertical="center" wrapText="1"/>
    </xf>
    <xf numFmtId="165" fontId="0" fillId="2" borderId="0" xfId="0" applyNumberFormat="1" applyFill="1"/>
    <xf numFmtId="0" fontId="0" fillId="2" borderId="0" xfId="0" applyFill="1"/>
    <xf numFmtId="0" fontId="0" fillId="0" borderId="0" xfId="0" applyBorder="1" applyAlignment="1">
      <alignment horizontal="center" vertical="center" wrapText="1"/>
    </xf>
    <xf numFmtId="9" fontId="0" fillId="0" borderId="0" xfId="0" applyNumberFormat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2" borderId="0" xfId="0" applyFont="1" applyFill="1" applyBorder="1" applyAlignment="1"/>
    <xf numFmtId="0" fontId="0" fillId="2" borderId="0" xfId="0" applyFont="1" applyFill="1" applyBorder="1" applyAlignment="1">
      <alignment horizontal="right" vertical="center" wrapText="1"/>
    </xf>
    <xf numFmtId="0" fontId="0" fillId="2" borderId="0" xfId="0" applyFont="1" applyFill="1" applyBorder="1"/>
    <xf numFmtId="0" fontId="0" fillId="2" borderId="0" xfId="0" applyNumberFormat="1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3" fontId="0" fillId="2" borderId="0" xfId="0" applyNumberFormat="1" applyFont="1" applyFill="1" applyBorder="1" applyAlignment="1"/>
    <xf numFmtId="3" fontId="0" fillId="0" borderId="0" xfId="0" applyNumberFormat="1" applyFont="1" applyBorder="1"/>
    <xf numFmtId="9" fontId="9" fillId="2" borderId="0" xfId="1" applyNumberFormat="1" applyFont="1" applyFill="1" applyBorder="1" applyAlignment="1"/>
    <xf numFmtId="3" fontId="0" fillId="2" borderId="0" xfId="0" applyNumberFormat="1" applyFont="1" applyFill="1" applyBorder="1" applyAlignment="1">
      <alignment horizontal="right" wrapText="1"/>
    </xf>
    <xf numFmtId="3" fontId="0" fillId="2" borderId="0" xfId="0" applyNumberFormat="1" applyFont="1" applyFill="1" applyBorder="1"/>
    <xf numFmtId="3" fontId="0" fillId="2" borderId="3" xfId="0" applyNumberForma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16" fontId="0" fillId="2" borderId="0" xfId="0" applyNumberFormat="1" applyFill="1" applyBorder="1" applyAlignment="1">
      <alignment horizontal="center"/>
    </xf>
    <xf numFmtId="0" fontId="2" fillId="5" borderId="3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167" fontId="0" fillId="0" borderId="0" xfId="0" applyNumberFormat="1" applyBorder="1"/>
    <xf numFmtId="164" fontId="0" fillId="2" borderId="0" xfId="0" applyNumberFormat="1" applyFill="1" applyBorder="1"/>
    <xf numFmtId="0" fontId="4" fillId="0" borderId="0" xfId="0" applyFont="1" applyAlignment="1">
      <alignment horizontal="center"/>
    </xf>
    <xf numFmtId="4" fontId="0" fillId="3" borderId="12" xfId="0" applyNumberFormat="1" applyFill="1" applyBorder="1"/>
    <xf numFmtId="0" fontId="2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2" fontId="0" fillId="2" borderId="0" xfId="0" applyNumberFormat="1" applyFill="1" applyBorder="1"/>
    <xf numFmtId="4" fontId="0" fillId="0" borderId="18" xfId="0" applyNumberFormat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6" fillId="0" borderId="11" xfId="2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9" xfId="2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0" fillId="6" borderId="24" xfId="0" applyFill="1" applyBorder="1" applyAlignment="1">
      <alignment horizontal="center"/>
    </xf>
    <xf numFmtId="4" fontId="2" fillId="6" borderId="10" xfId="0" applyNumberFormat="1" applyFont="1" applyFill="1" applyBorder="1"/>
    <xf numFmtId="4" fontId="2" fillId="6" borderId="12" xfId="0" applyNumberFormat="1" applyFont="1" applyFill="1" applyBorder="1"/>
    <xf numFmtId="0" fontId="2" fillId="6" borderId="23" xfId="0" applyFont="1" applyFill="1" applyBorder="1" applyAlignment="1">
      <alignment horizontal="center" vertical="center" wrapText="1"/>
    </xf>
    <xf numFmtId="4" fontId="2" fillId="6" borderId="25" xfId="0" applyNumberFormat="1" applyFont="1" applyFill="1" applyBorder="1"/>
    <xf numFmtId="4" fontId="2" fillId="6" borderId="20" xfId="0" applyNumberFormat="1" applyFont="1" applyFill="1" applyBorder="1"/>
    <xf numFmtId="0" fontId="0" fillId="2" borderId="0" xfId="0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4" fontId="0" fillId="2" borderId="0" xfId="0" applyNumberFormat="1" applyFill="1" applyBorder="1"/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/>
    <xf numFmtId="4" fontId="2" fillId="2" borderId="0" xfId="0" applyNumberFormat="1" applyFont="1" applyFill="1" applyBorder="1"/>
    <xf numFmtId="4" fontId="0" fillId="2" borderId="0" xfId="0" applyNumberForma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4" fontId="10" fillId="2" borderId="0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2" fillId="7" borderId="3" xfId="0" applyNumberFormat="1" applyFont="1" applyFill="1" applyBorder="1" applyAlignment="1">
      <alignment horizontal="center" vertical="center"/>
    </xf>
    <xf numFmtId="4" fontId="0" fillId="2" borderId="3" xfId="0" applyNumberFormat="1" applyFill="1" applyBorder="1" applyAlignment="1">
      <alignment vertical="center"/>
    </xf>
    <xf numFmtId="3" fontId="0" fillId="2" borderId="3" xfId="0" applyNumberForma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wrapText="1"/>
    </xf>
    <xf numFmtId="4" fontId="1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Border="1"/>
    <xf numFmtId="4" fontId="0" fillId="0" borderId="0" xfId="0" applyNumberFormat="1" applyBorder="1"/>
    <xf numFmtId="4" fontId="2" fillId="0" borderId="0" xfId="0" applyNumberFormat="1" applyFont="1" applyBorder="1"/>
    <xf numFmtId="2" fontId="2" fillId="8" borderId="3" xfId="0" applyNumberFormat="1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6" fillId="0" borderId="15" xfId="2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21" xfId="2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0" fillId="7" borderId="3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Border="1"/>
    <xf numFmtId="4" fontId="0" fillId="3" borderId="0" xfId="0" applyNumberForma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6" borderId="24" xfId="0" applyFont="1" applyFill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2" fillId="3" borderId="12" xfId="0" applyNumberFormat="1" applyFont="1" applyFill="1" applyBorder="1"/>
    <xf numFmtId="4" fontId="2" fillId="3" borderId="25" xfId="0" applyNumberFormat="1" applyFont="1" applyFill="1" applyBorder="1"/>
    <xf numFmtId="4" fontId="2" fillId="6" borderId="2" xfId="0" applyNumberFormat="1" applyFont="1" applyFill="1" applyBorder="1"/>
    <xf numFmtId="4" fontId="2" fillId="6" borderId="11" xfId="0" applyNumberFormat="1" applyFont="1" applyFill="1" applyBorder="1"/>
    <xf numFmtId="4" fontId="2" fillId="6" borderId="26" xfId="0" applyNumberFormat="1" applyFont="1" applyFill="1" applyBorder="1"/>
    <xf numFmtId="4" fontId="2" fillId="6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0" fillId="2" borderId="13" xfId="0" applyNumberFormat="1" applyFill="1" applyBorder="1" applyAlignment="1">
      <alignment horizontal="center" vertical="center"/>
    </xf>
    <xf numFmtId="168" fontId="0" fillId="0" borderId="3" xfId="0" applyNumberFormat="1" applyBorder="1" applyAlignment="1">
      <alignment horizontal="center" vertical="center"/>
    </xf>
    <xf numFmtId="0" fontId="4" fillId="0" borderId="0" xfId="0" applyFont="1" applyAlignment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2" fillId="0" borderId="0" xfId="0" applyNumberFormat="1" applyFont="1" applyFill="1" applyBorder="1"/>
    <xf numFmtId="0" fontId="13" fillId="0" borderId="3" xfId="0" applyFont="1" applyFill="1" applyBorder="1" applyAlignment="1">
      <alignment horizontal="center"/>
    </xf>
    <xf numFmtId="0" fontId="2" fillId="0" borderId="0" xfId="0" applyFont="1" applyBorder="1" applyAlignment="1"/>
    <xf numFmtId="0" fontId="13" fillId="0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" fontId="0" fillId="0" borderId="3" xfId="0" applyNumberFormat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0" fillId="0" borderId="28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0" fontId="13" fillId="2" borderId="0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0" fillId="0" borderId="0" xfId="0" applyAlignment="1"/>
    <xf numFmtId="0" fontId="13" fillId="8" borderId="3" xfId="0" applyFont="1" applyFill="1" applyBorder="1" applyAlignment="1">
      <alignment horizontal="left" vertical="center" wrapText="1"/>
    </xf>
    <xf numFmtId="2" fontId="2" fillId="8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A3" sqref="A3:M3"/>
    </sheetView>
  </sheetViews>
  <sheetFormatPr defaultRowHeight="15" x14ac:dyDescent="0.25"/>
  <cols>
    <col min="1" max="1" width="11.42578125" customWidth="1"/>
    <col min="2" max="2" width="9.140625" customWidth="1"/>
    <col min="3" max="3" width="7.85546875" customWidth="1"/>
    <col min="4" max="4" width="18.42578125" customWidth="1"/>
    <col min="5" max="5" width="14.7109375" customWidth="1"/>
    <col min="6" max="6" width="14.5703125" customWidth="1"/>
    <col min="7" max="7" width="14.7109375" customWidth="1"/>
    <col min="8" max="8" width="13.7109375" customWidth="1"/>
    <col min="9" max="9" width="11" customWidth="1"/>
    <col min="10" max="10" width="12" customWidth="1"/>
    <col min="11" max="11" width="11.140625" customWidth="1"/>
    <col min="12" max="12" width="14.140625" customWidth="1"/>
    <col min="13" max="13" width="11.5703125" customWidth="1"/>
  </cols>
  <sheetData>
    <row r="1" spans="1:13" x14ac:dyDescent="0.25">
      <c r="L1" s="196"/>
      <c r="M1" s="196"/>
    </row>
    <row r="3" spans="1:13" ht="21" x14ac:dyDescent="0.35">
      <c r="A3" s="197" t="s">
        <v>38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ht="15.75" x14ac:dyDescent="0.25">
      <c r="A4" s="198" t="s">
        <v>41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5.75" x14ac:dyDescent="0.2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</row>
    <row r="6" spans="1:13" ht="36" customHeight="1" x14ac:dyDescent="0.25">
      <c r="A6" s="219" t="s">
        <v>60</v>
      </c>
      <c r="B6" s="219"/>
      <c r="C6" s="219"/>
      <c r="D6" s="219"/>
      <c r="E6" s="220">
        <v>4.5</v>
      </c>
      <c r="F6" s="193"/>
      <c r="G6" s="193"/>
      <c r="H6" s="193"/>
      <c r="I6" s="193"/>
      <c r="J6" s="193"/>
      <c r="K6" s="193"/>
      <c r="L6" s="193"/>
      <c r="M6" s="193"/>
    </row>
    <row r="7" spans="1:13" ht="15.75" x14ac:dyDescent="0.25">
      <c r="A7" s="15"/>
      <c r="B7" s="218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</row>
    <row r="8" spans="1:13" ht="15.75" x14ac:dyDescent="0.25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</row>
    <row r="9" spans="1:13" ht="15" customHeight="1" thickBot="1" x14ac:dyDescent="0.3">
      <c r="E9" s="212" t="s">
        <v>82</v>
      </c>
      <c r="F9" s="213"/>
      <c r="H9" s="205" t="s">
        <v>82</v>
      </c>
      <c r="I9" s="205"/>
      <c r="J9" s="205"/>
      <c r="K9" s="205"/>
    </row>
    <row r="10" spans="1:13" ht="105.75" customHeight="1" x14ac:dyDescent="0.25">
      <c r="A10" s="1" t="s">
        <v>55</v>
      </c>
      <c r="B10" s="55" t="s">
        <v>56</v>
      </c>
      <c r="C10" s="85" t="s">
        <v>0</v>
      </c>
      <c r="D10" s="55" t="s">
        <v>76</v>
      </c>
      <c r="E10" s="208" t="s">
        <v>8</v>
      </c>
      <c r="F10" s="209" t="s">
        <v>9</v>
      </c>
      <c r="G10" s="60" t="s">
        <v>49</v>
      </c>
      <c r="H10" s="210" t="s">
        <v>10</v>
      </c>
      <c r="I10" s="211" t="s">
        <v>11</v>
      </c>
      <c r="J10" s="211" t="s">
        <v>12</v>
      </c>
      <c r="K10" s="211" t="s">
        <v>13</v>
      </c>
      <c r="L10" s="60" t="s">
        <v>50</v>
      </c>
      <c r="M10" s="101" t="s">
        <v>77</v>
      </c>
    </row>
    <row r="11" spans="1:13" ht="17.25" customHeight="1" thickBot="1" x14ac:dyDescent="0.3">
      <c r="A11" s="82" t="s">
        <v>57</v>
      </c>
      <c r="B11" s="86">
        <v>1</v>
      </c>
      <c r="C11" s="87">
        <v>2</v>
      </c>
      <c r="D11" s="86">
        <v>3</v>
      </c>
      <c r="E11" s="86">
        <v>4</v>
      </c>
      <c r="F11" s="4">
        <v>5</v>
      </c>
      <c r="G11" s="84">
        <v>6</v>
      </c>
      <c r="H11" s="56">
        <v>7</v>
      </c>
      <c r="I11" s="83">
        <v>8</v>
      </c>
      <c r="J11" s="4">
        <v>9</v>
      </c>
      <c r="K11" s="83">
        <v>10</v>
      </c>
      <c r="L11" s="87">
        <v>11</v>
      </c>
      <c r="M11" s="98">
        <v>12</v>
      </c>
    </row>
    <row r="12" spans="1:13" ht="25.5" x14ac:dyDescent="0.25">
      <c r="A12" s="81" t="s">
        <v>14</v>
      </c>
      <c r="B12" s="88">
        <v>88</v>
      </c>
      <c r="C12" s="89">
        <v>8</v>
      </c>
      <c r="D12" s="199">
        <v>483298.17</v>
      </c>
      <c r="E12" s="57">
        <v>22</v>
      </c>
      <c r="F12" s="5">
        <v>22</v>
      </c>
      <c r="G12" s="62">
        <f>ROUND((B12*$E$6*C12*E12),2)+ROUND((B12*$E$6*C12*F12),2)</f>
        <v>139392</v>
      </c>
      <c r="H12" s="57">
        <v>22</v>
      </c>
      <c r="I12" s="5">
        <v>21</v>
      </c>
      <c r="J12" s="5">
        <v>21</v>
      </c>
      <c r="K12" s="5">
        <v>21</v>
      </c>
      <c r="L12" s="97">
        <f>(C12*B12*$E$6*H12)+(B12*C12*$E$6*I12)+(B12*C12*$E$6*J12)+(B12*C12*$E$6*K12)-(B12*$E$6)-(B12*M33*$E$6)</f>
        <v>268092</v>
      </c>
      <c r="M12" s="99">
        <f>G12+L12</f>
        <v>407484</v>
      </c>
    </row>
    <row r="13" spans="1:13" ht="30" x14ac:dyDescent="0.25">
      <c r="A13" s="78" t="s">
        <v>42</v>
      </c>
      <c r="B13" s="90">
        <v>91</v>
      </c>
      <c r="C13" s="91">
        <v>8</v>
      </c>
      <c r="D13" s="200"/>
      <c r="E13" s="58">
        <v>0</v>
      </c>
      <c r="F13" s="9">
        <v>0</v>
      </c>
      <c r="G13" s="74">
        <f>ROUND((B13*$E$6*C13*E13),2)+ROUND((B13*$E$6*C13*F13),2)</f>
        <v>0</v>
      </c>
      <c r="H13" s="58">
        <v>22</v>
      </c>
      <c r="I13" s="9">
        <v>16</v>
      </c>
      <c r="J13" s="9">
        <v>21</v>
      </c>
      <c r="K13" s="9">
        <v>15</v>
      </c>
      <c r="L13" s="68">
        <f>(C13*B13*$E$6*H13)+(B13*C13*$E$6*I13)+(B13*C13*$E$6*J13)+(B13*C13*$E$6*K13)-(B13*M32*$E$6)</f>
        <v>242014.5</v>
      </c>
      <c r="M13" s="99">
        <f t="shared" ref="M13:M19" si="0">G13+L13</f>
        <v>242014.5</v>
      </c>
    </row>
    <row r="14" spans="1:13" ht="30" x14ac:dyDescent="0.25">
      <c r="A14" s="78" t="s">
        <v>43</v>
      </c>
      <c r="B14" s="90">
        <v>32</v>
      </c>
      <c r="C14" s="91">
        <v>8</v>
      </c>
      <c r="D14" s="200"/>
      <c r="E14" s="58">
        <v>0</v>
      </c>
      <c r="F14" s="9">
        <v>0</v>
      </c>
      <c r="G14" s="74">
        <f>ROUND((B14*$E$6*C14*E14),2)+ROUND((B14*$E$6*C14*F14),2)</f>
        <v>0</v>
      </c>
      <c r="H14" s="58">
        <v>22</v>
      </c>
      <c r="I14" s="9">
        <v>16</v>
      </c>
      <c r="J14" s="9">
        <v>21</v>
      </c>
      <c r="K14" s="9">
        <v>15</v>
      </c>
      <c r="L14" s="68">
        <f>(C14*B14*$E$6*H14)+(B14*C14*$E$6*I14)+(B14*C14*$E$6*J14)+(B14*C14*$E$6*K14)-(B14*M32*$E$6)</f>
        <v>85104</v>
      </c>
      <c r="M14" s="99">
        <f t="shared" si="0"/>
        <v>85104</v>
      </c>
    </row>
    <row r="15" spans="1:13" ht="20.25" customHeight="1" x14ac:dyDescent="0.25">
      <c r="A15" s="78" t="s">
        <v>44</v>
      </c>
      <c r="B15" s="92">
        <v>36</v>
      </c>
      <c r="C15" s="91">
        <v>8</v>
      </c>
      <c r="D15" s="200"/>
      <c r="E15" s="63">
        <v>0</v>
      </c>
      <c r="F15" s="6">
        <v>0</v>
      </c>
      <c r="G15" s="74">
        <f>ROUND((B15*$E$6*C15*E15),2)+ROUND((B15*$E$6*C15*F15),2)</f>
        <v>0</v>
      </c>
      <c r="H15" s="58">
        <v>22</v>
      </c>
      <c r="I15" s="6">
        <v>16</v>
      </c>
      <c r="J15" s="9">
        <v>21</v>
      </c>
      <c r="K15" s="6">
        <v>15</v>
      </c>
      <c r="L15" s="68">
        <f>(C15*B15*$E$6*H15)+(B15*C15*$E$6*I15)+(B15*C15*$E$6*J15)+(B15*C15*$E$6*K15)-(B15*$E$6)</f>
        <v>95742</v>
      </c>
      <c r="M15" s="99">
        <f t="shared" si="0"/>
        <v>95742</v>
      </c>
    </row>
    <row r="16" spans="1:13" x14ac:dyDescent="0.25">
      <c r="A16" s="78" t="s">
        <v>17</v>
      </c>
      <c r="B16" s="90">
        <v>11</v>
      </c>
      <c r="C16" s="91">
        <v>8</v>
      </c>
      <c r="D16" s="200"/>
      <c r="E16" s="63">
        <v>0</v>
      </c>
      <c r="F16" s="6">
        <v>0</v>
      </c>
      <c r="G16" s="74">
        <f>ROUND((B16*$E$6*C16*E16),2)+ROUND((B16*$E$6*C16*F16),2)</f>
        <v>0</v>
      </c>
      <c r="H16" s="58">
        <v>22</v>
      </c>
      <c r="I16" s="6">
        <v>16</v>
      </c>
      <c r="J16" s="9">
        <v>21</v>
      </c>
      <c r="K16" s="6">
        <v>15</v>
      </c>
      <c r="L16" s="68">
        <f>(C16*B16*$E$6*H16)+(B16*C16*$E$6*I16)+(B16*C16*$E$6*J16)+(B16*C16*$E$6*K16)-(B16*M32*$E$6)</f>
        <v>29254.5</v>
      </c>
      <c r="M16" s="99">
        <f t="shared" si="0"/>
        <v>29254.5</v>
      </c>
    </row>
    <row r="17" spans="1:13" x14ac:dyDescent="0.25">
      <c r="A17" s="78" t="s">
        <v>18</v>
      </c>
      <c r="B17" s="90">
        <v>3</v>
      </c>
      <c r="C17" s="91">
        <v>8</v>
      </c>
      <c r="D17" s="200"/>
      <c r="E17" s="63">
        <v>0</v>
      </c>
      <c r="F17" s="6">
        <v>0</v>
      </c>
      <c r="G17" s="74">
        <f>ROUND((B17*$E$6*C17*E17),2)+ROUND((B17*$E$6*C17*F17),2)</f>
        <v>0</v>
      </c>
      <c r="H17" s="58">
        <v>22</v>
      </c>
      <c r="I17" s="6">
        <v>16</v>
      </c>
      <c r="J17" s="9">
        <v>21</v>
      </c>
      <c r="K17" s="6">
        <v>15</v>
      </c>
      <c r="L17" s="68">
        <f>(C17*B17*$E$6*H17)+(B17*C17*$E$6*I17)+(B17*C17*$E$6*J17)+(B17*C17*$E$6*K17)-(B17*M32*$E$6)</f>
        <v>7978.5</v>
      </c>
      <c r="M17" s="99">
        <f t="shared" si="0"/>
        <v>7978.5</v>
      </c>
    </row>
    <row r="18" spans="1:13" x14ac:dyDescent="0.25">
      <c r="A18" s="78" t="s">
        <v>46</v>
      </c>
      <c r="B18" s="90">
        <v>26</v>
      </c>
      <c r="C18" s="91">
        <v>8</v>
      </c>
      <c r="D18" s="200"/>
      <c r="E18" s="63">
        <v>0</v>
      </c>
      <c r="F18" s="6">
        <v>0</v>
      </c>
      <c r="G18" s="74">
        <f>ROUND((B18*$E$6*C18*E18),2)+ROUND((B18*$E$6*C18*F18),2)</f>
        <v>0</v>
      </c>
      <c r="H18" s="58">
        <v>22</v>
      </c>
      <c r="I18" s="6">
        <v>16</v>
      </c>
      <c r="J18" s="9">
        <v>21</v>
      </c>
      <c r="K18" s="6">
        <v>15</v>
      </c>
      <c r="L18" s="68">
        <f>(C18*B18*$E$6*H18)+(B18*C18*$E$6*I18)+(B18*C18*$E$6*J18)+(B18*C18*$E$6*K18)-(B18*M32*$E$6)</f>
        <v>69147</v>
      </c>
      <c r="M18" s="99">
        <f t="shared" si="0"/>
        <v>69147</v>
      </c>
    </row>
    <row r="19" spans="1:13" x14ac:dyDescent="0.25">
      <c r="A19" s="78" t="s">
        <v>19</v>
      </c>
      <c r="B19" s="90">
        <v>4</v>
      </c>
      <c r="C19" s="91">
        <v>8</v>
      </c>
      <c r="D19" s="200"/>
      <c r="E19" s="58">
        <f>E12</f>
        <v>22</v>
      </c>
      <c r="F19" s="9">
        <f>F12</f>
        <v>22</v>
      </c>
      <c r="G19" s="74">
        <f>ROUND((B19*$E$6*C19*E19),2)+ROUND((B19*$E$6*C19*F19),2)</f>
        <v>6336</v>
      </c>
      <c r="H19" s="58">
        <f>H12</f>
        <v>22</v>
      </c>
      <c r="I19" s="9">
        <f t="shared" ref="I19:K19" si="1">I12</f>
        <v>21</v>
      </c>
      <c r="J19" s="9">
        <f t="shared" si="1"/>
        <v>21</v>
      </c>
      <c r="K19" s="9">
        <f t="shared" si="1"/>
        <v>21</v>
      </c>
      <c r="L19" s="68">
        <f>(C19*B19*$E$6*H19)+(B19*C19*$E$6*I19)+(B19*C19*$E$6*J19)+(B19*C19*$E$6*K19)-(B19*M32*$E$6)-(M33*B19*$E$6)</f>
        <v>12186</v>
      </c>
      <c r="M19" s="99">
        <f t="shared" si="0"/>
        <v>18522</v>
      </c>
    </row>
    <row r="20" spans="1:13" s="28" customFormat="1" x14ac:dyDescent="0.25">
      <c r="A20" s="79" t="s">
        <v>20</v>
      </c>
      <c r="B20" s="93"/>
      <c r="C20" s="94"/>
      <c r="D20" s="200"/>
      <c r="E20" s="69"/>
      <c r="F20" s="65"/>
      <c r="G20" s="75"/>
      <c r="H20" s="69"/>
      <c r="I20" s="65"/>
      <c r="J20" s="65"/>
      <c r="K20" s="65"/>
      <c r="L20" s="70"/>
      <c r="M20" s="54"/>
    </row>
    <row r="21" spans="1:13" ht="25.5" x14ac:dyDescent="0.25">
      <c r="A21" s="77" t="s">
        <v>21</v>
      </c>
      <c r="B21" s="95">
        <v>22</v>
      </c>
      <c r="C21" s="91">
        <v>8</v>
      </c>
      <c r="D21" s="200"/>
      <c r="E21" s="58">
        <f t="shared" ref="E21:F26" si="2">E12</f>
        <v>22</v>
      </c>
      <c r="F21" s="9">
        <f t="shared" si="2"/>
        <v>22</v>
      </c>
      <c r="G21" s="74">
        <f>ROUND((B21*$E$6*C21*E21),2)+ROUND((B21*$E$6*C21*F21),2)</f>
        <v>34848</v>
      </c>
      <c r="H21" s="58">
        <f t="shared" ref="H21:K26" si="3">H12</f>
        <v>22</v>
      </c>
      <c r="I21" s="9">
        <f t="shared" si="3"/>
        <v>21</v>
      </c>
      <c r="J21" s="9">
        <f t="shared" si="3"/>
        <v>21</v>
      </c>
      <c r="K21" s="9">
        <f t="shared" si="3"/>
        <v>21</v>
      </c>
      <c r="L21" s="68">
        <f>(C21*B21*$E$6*H21)+(B21*C21*$E$6*I21)+(B21*C21*$E$6*J21)+(B21*C21*$E$6*K21)-(M32*B21*$E$6)-(M33*B21*$E$6)</f>
        <v>67023</v>
      </c>
      <c r="M21" s="100">
        <f>G21+L21</f>
        <v>101871</v>
      </c>
    </row>
    <row r="22" spans="1:13" ht="30" x14ac:dyDescent="0.25">
      <c r="A22" s="78" t="s">
        <v>45</v>
      </c>
      <c r="B22" s="90">
        <v>8</v>
      </c>
      <c r="C22" s="91">
        <v>8</v>
      </c>
      <c r="D22" s="200"/>
      <c r="E22" s="58">
        <f t="shared" si="2"/>
        <v>0</v>
      </c>
      <c r="F22" s="9">
        <f t="shared" si="2"/>
        <v>0</v>
      </c>
      <c r="G22" s="74">
        <f>ROUND((B22*$E$6*C22*E22),2)+ROUND((B22*$E$6*C22*F22),2)</f>
        <v>0</v>
      </c>
      <c r="H22" s="58">
        <f t="shared" si="3"/>
        <v>22</v>
      </c>
      <c r="I22" s="9">
        <f t="shared" si="3"/>
        <v>16</v>
      </c>
      <c r="J22" s="9">
        <f t="shared" si="3"/>
        <v>21</v>
      </c>
      <c r="K22" s="9">
        <f t="shared" si="3"/>
        <v>15</v>
      </c>
      <c r="L22" s="68">
        <f>(C22*B22*$E$6*H22)+(B22*C22*$E$6*I22)+(B22*C22*$E$6*J22)+(B22*C22*$E$6*K22)-(M32*B22*$E$6)</f>
        <v>21276</v>
      </c>
      <c r="M22" s="100">
        <f>G22+L22</f>
        <v>21276</v>
      </c>
    </row>
    <row r="23" spans="1:13" ht="30" x14ac:dyDescent="0.25">
      <c r="A23" s="78" t="s">
        <v>43</v>
      </c>
      <c r="B23" s="90">
        <v>8</v>
      </c>
      <c r="C23" s="91">
        <v>8</v>
      </c>
      <c r="D23" s="200"/>
      <c r="E23" s="58">
        <f t="shared" si="2"/>
        <v>0</v>
      </c>
      <c r="F23" s="9">
        <f t="shared" si="2"/>
        <v>0</v>
      </c>
      <c r="G23" s="74">
        <f>ROUND((B23*$E$6*C23*E23),2)+ROUND((B23*$E$6*C23*F23),2)</f>
        <v>0</v>
      </c>
      <c r="H23" s="58">
        <f t="shared" si="3"/>
        <v>22</v>
      </c>
      <c r="I23" s="9">
        <f t="shared" si="3"/>
        <v>16</v>
      </c>
      <c r="J23" s="9">
        <f t="shared" si="3"/>
        <v>21</v>
      </c>
      <c r="K23" s="9">
        <f t="shared" si="3"/>
        <v>15</v>
      </c>
      <c r="L23" s="68">
        <f>(C23*B23*$E$6*H23)+(B23*C23*$E$6*I23)+(B23*C23*$E$6*J23)+(B23*C23*$E$6*K23)-(M32*B23*$E$6)</f>
        <v>21276</v>
      </c>
      <c r="M23" s="100">
        <f t="shared" ref="M23:M26" si="4">G23+L23</f>
        <v>21276</v>
      </c>
    </row>
    <row r="24" spans="1:13" ht="30" x14ac:dyDescent="0.25">
      <c r="A24" s="78" t="s">
        <v>44</v>
      </c>
      <c r="B24" s="90">
        <v>3</v>
      </c>
      <c r="C24" s="91">
        <v>8</v>
      </c>
      <c r="D24" s="200"/>
      <c r="E24" s="58">
        <f t="shared" si="2"/>
        <v>0</v>
      </c>
      <c r="F24" s="9">
        <f t="shared" si="2"/>
        <v>0</v>
      </c>
      <c r="G24" s="74">
        <f>ROUND((B24*$E$6*C24*E24),2)+ROUND((B24*$E$6*C24*F24),2)</f>
        <v>0</v>
      </c>
      <c r="H24" s="58">
        <f t="shared" si="3"/>
        <v>22</v>
      </c>
      <c r="I24" s="9">
        <f t="shared" si="3"/>
        <v>16</v>
      </c>
      <c r="J24" s="9">
        <f t="shared" si="3"/>
        <v>21</v>
      </c>
      <c r="K24" s="9">
        <f t="shared" si="3"/>
        <v>15</v>
      </c>
      <c r="L24" s="68">
        <f>(C24*B24*$E$6*H24)+(B24*C24*$E$6*I24)+(B24*C24*$E$6*J24)+(B24*C24*$E$6*K24)-(M32*B24*$E$6)</f>
        <v>7978.5</v>
      </c>
      <c r="M24" s="100">
        <f t="shared" si="4"/>
        <v>7978.5</v>
      </c>
    </row>
    <row r="25" spans="1:13" x14ac:dyDescent="0.25">
      <c r="A25" s="78" t="s">
        <v>17</v>
      </c>
      <c r="B25" s="90"/>
      <c r="C25" s="91">
        <v>8</v>
      </c>
      <c r="D25" s="200"/>
      <c r="E25" s="58">
        <f t="shared" si="2"/>
        <v>0</v>
      </c>
      <c r="F25" s="9">
        <f t="shared" si="2"/>
        <v>0</v>
      </c>
      <c r="G25" s="74">
        <f>ROUND((B25*$E$6*C25*E25),2)+ROUND((B25*$E$6*C25*F25),2)</f>
        <v>0</v>
      </c>
      <c r="H25" s="58">
        <f t="shared" si="3"/>
        <v>22</v>
      </c>
      <c r="I25" s="9">
        <f t="shared" si="3"/>
        <v>16</v>
      </c>
      <c r="J25" s="9">
        <f t="shared" si="3"/>
        <v>21</v>
      </c>
      <c r="K25" s="9">
        <f t="shared" si="3"/>
        <v>15</v>
      </c>
      <c r="L25" s="68">
        <f>(C25*B25*$E$6*H25)+(B25*C25*$E$6*I25)+(B25*C25*$E$6*J25)+(B25*C25*$E$6*K25)</f>
        <v>0</v>
      </c>
      <c r="M25" s="100">
        <f t="shared" si="4"/>
        <v>0</v>
      </c>
    </row>
    <row r="26" spans="1:13" ht="15.75" thickBot="1" x14ac:dyDescent="0.3">
      <c r="A26" s="80" t="s">
        <v>18</v>
      </c>
      <c r="B26" s="96"/>
      <c r="C26" s="61">
        <v>8</v>
      </c>
      <c r="D26" s="201"/>
      <c r="E26" s="59">
        <f t="shared" si="2"/>
        <v>0</v>
      </c>
      <c r="F26" s="71">
        <f t="shared" si="2"/>
        <v>0</v>
      </c>
      <c r="G26" s="190">
        <f>ROUND((B26*$E$6*C26*E26),2)+ROUND((B26*$E$6*C26*F26),2)</f>
        <v>0</v>
      </c>
      <c r="H26" s="59">
        <f t="shared" si="3"/>
        <v>22</v>
      </c>
      <c r="I26" s="71">
        <f t="shared" si="3"/>
        <v>16</v>
      </c>
      <c r="J26" s="71">
        <f t="shared" si="3"/>
        <v>21</v>
      </c>
      <c r="K26" s="71">
        <f t="shared" si="3"/>
        <v>15</v>
      </c>
      <c r="L26" s="72">
        <f>(C26*B26*$E$6*H26)+(B26*C26*$E$6*I26)+(B26*C26*$E$6*J26)+(B26*C26*$E$6*K26)</f>
        <v>0</v>
      </c>
      <c r="M26" s="100">
        <f t="shared" si="4"/>
        <v>0</v>
      </c>
    </row>
    <row r="27" spans="1:13" ht="19.5" thickBot="1" x14ac:dyDescent="0.35">
      <c r="B27" s="192">
        <f>SUM(B12:B26)</f>
        <v>332</v>
      </c>
      <c r="D27" s="191">
        <f>479288.95+4009.22</f>
        <v>483298.17</v>
      </c>
      <c r="G27" s="191">
        <f>SUM(G12:G26)</f>
        <v>180576</v>
      </c>
      <c r="L27" s="191">
        <f>SUM(L12:L26)</f>
        <v>927072</v>
      </c>
      <c r="M27" s="103">
        <f>SUM(M12:M26)</f>
        <v>1107648</v>
      </c>
    </row>
    <row r="29" spans="1:13" x14ac:dyDescent="0.25">
      <c r="E29" s="187"/>
    </row>
    <row r="31" spans="1:13" ht="75" x14ac:dyDescent="0.25">
      <c r="B31" s="17"/>
      <c r="C31" s="36"/>
      <c r="D31" s="26" t="s">
        <v>30</v>
      </c>
      <c r="E31" s="26" t="s">
        <v>80</v>
      </c>
      <c r="F31" s="120" t="s">
        <v>32</v>
      </c>
      <c r="G31" s="26" t="s">
        <v>33</v>
      </c>
      <c r="H31" s="26" t="s">
        <v>83</v>
      </c>
      <c r="I31" s="189" t="s">
        <v>78</v>
      </c>
      <c r="J31" s="26" t="s">
        <v>31</v>
      </c>
      <c r="L31" s="188" t="s">
        <v>22</v>
      </c>
      <c r="M31" s="188" t="s">
        <v>81</v>
      </c>
    </row>
    <row r="32" spans="1:13" x14ac:dyDescent="0.25">
      <c r="B32" s="105"/>
      <c r="C32" s="37"/>
      <c r="D32" s="9">
        <v>1</v>
      </c>
      <c r="E32" s="9">
        <v>2</v>
      </c>
      <c r="F32" s="9">
        <v>3</v>
      </c>
      <c r="G32" s="9">
        <v>4</v>
      </c>
      <c r="H32" s="9" t="s">
        <v>58</v>
      </c>
      <c r="I32" s="6">
        <v>6</v>
      </c>
      <c r="J32" s="45" t="s">
        <v>79</v>
      </c>
      <c r="L32" s="7" t="s">
        <v>69</v>
      </c>
      <c r="M32" s="6">
        <v>1</v>
      </c>
    </row>
    <row r="33" spans="2:13" ht="32.25" customHeight="1" x14ac:dyDescent="0.25">
      <c r="B33" s="216" t="s">
        <v>37</v>
      </c>
      <c r="C33" s="217"/>
      <c r="D33" s="116">
        <v>1031876</v>
      </c>
      <c r="E33" s="173">
        <f>M27</f>
        <v>1107648</v>
      </c>
      <c r="F33" s="121">
        <f>D33-E33-D27</f>
        <v>-559070.16999999993</v>
      </c>
      <c r="G33" s="117">
        <v>0.75</v>
      </c>
      <c r="H33" s="118">
        <f>E33*G33</f>
        <v>830736</v>
      </c>
      <c r="I33" s="195">
        <f>D27</f>
        <v>483298.17</v>
      </c>
      <c r="J33" s="119">
        <f>D33-H33-I33</f>
        <v>-282158.17</v>
      </c>
      <c r="L33" s="7" t="s">
        <v>70</v>
      </c>
      <c r="M33" s="6">
        <v>2</v>
      </c>
    </row>
    <row r="34" spans="2:13" x14ac:dyDescent="0.25">
      <c r="B34" s="24"/>
      <c r="C34" s="106"/>
      <c r="D34" s="107"/>
      <c r="G34" s="51"/>
      <c r="I34" s="24"/>
      <c r="J34" s="24"/>
      <c r="K34" s="24"/>
      <c r="L34" s="15"/>
    </row>
    <row r="35" spans="2:13" x14ac:dyDescent="0.25">
      <c r="B35" s="24"/>
      <c r="C35" s="108"/>
      <c r="D35" s="107"/>
      <c r="E35" s="15"/>
      <c r="F35" s="73"/>
      <c r="G35" s="51"/>
      <c r="I35" s="24"/>
      <c r="J35" s="24"/>
      <c r="K35" s="24"/>
      <c r="L35" s="15"/>
    </row>
    <row r="36" spans="2:13" x14ac:dyDescent="0.25">
      <c r="B36" s="24"/>
      <c r="C36" s="108"/>
      <c r="D36" s="107"/>
    </row>
    <row r="37" spans="2:13" x14ac:dyDescent="0.25">
      <c r="B37" s="24"/>
      <c r="C37" s="109"/>
      <c r="D37" s="111"/>
    </row>
    <row r="38" spans="2:13" x14ac:dyDescent="0.25">
      <c r="B38" s="24"/>
      <c r="C38" s="106"/>
      <c r="D38" s="107"/>
    </row>
    <row r="39" spans="2:13" ht="15.75" customHeight="1" x14ac:dyDescent="0.25">
      <c r="B39" s="24"/>
      <c r="C39" s="108"/>
      <c r="D39" s="107"/>
      <c r="E39" s="47"/>
      <c r="F39" s="47"/>
      <c r="G39" s="47"/>
      <c r="H39" s="17"/>
      <c r="I39" s="29"/>
      <c r="J39" s="29"/>
    </row>
    <row r="40" spans="2:13" x14ac:dyDescent="0.25">
      <c r="B40" s="24"/>
      <c r="C40" s="108"/>
      <c r="D40" s="107"/>
      <c r="E40" s="38"/>
      <c r="F40" s="38"/>
      <c r="G40" s="48"/>
      <c r="H40" s="24"/>
      <c r="I40" s="15"/>
      <c r="J40" s="15"/>
    </row>
    <row r="41" spans="2:13" x14ac:dyDescent="0.25">
      <c r="B41" s="24"/>
      <c r="C41" s="109"/>
      <c r="D41" s="111"/>
      <c r="E41" s="44"/>
      <c r="F41" s="40"/>
      <c r="G41" s="42"/>
      <c r="H41" s="46"/>
      <c r="I41" s="15"/>
      <c r="J41" s="15"/>
    </row>
    <row r="42" spans="2:13" x14ac:dyDescent="0.25">
      <c r="B42" s="24"/>
      <c r="C42" s="106"/>
      <c r="D42" s="107"/>
      <c r="E42" s="44"/>
      <c r="F42" s="43"/>
      <c r="G42" s="42"/>
      <c r="H42" s="46"/>
      <c r="I42" s="30"/>
      <c r="J42" s="15"/>
    </row>
    <row r="43" spans="2:13" x14ac:dyDescent="0.25">
      <c r="B43" s="24"/>
      <c r="C43" s="108"/>
      <c r="D43" s="107"/>
      <c r="E43" s="44"/>
      <c r="F43" s="44"/>
      <c r="G43" s="42"/>
      <c r="H43" s="46"/>
      <c r="I43" s="30"/>
      <c r="J43" s="15"/>
    </row>
    <row r="44" spans="2:13" ht="49.5" customHeight="1" x14ac:dyDescent="0.25">
      <c r="B44" s="24"/>
      <c r="C44" s="108"/>
      <c r="D44" s="107"/>
      <c r="G44" s="42"/>
      <c r="H44" s="46"/>
      <c r="I44" s="30"/>
      <c r="J44" s="30"/>
    </row>
    <row r="45" spans="2:13" ht="32.25" customHeight="1" x14ac:dyDescent="0.25">
      <c r="B45" s="24"/>
      <c r="C45" s="109"/>
      <c r="D45" s="107"/>
      <c r="G45" s="42"/>
      <c r="H45" s="46"/>
    </row>
    <row r="46" spans="2:13" x14ac:dyDescent="0.25">
      <c r="B46" s="24"/>
      <c r="C46" s="24"/>
      <c r="D46" s="113"/>
      <c r="G46" s="42"/>
      <c r="H46" s="46"/>
    </row>
    <row r="47" spans="2:13" x14ac:dyDescent="0.25">
      <c r="D47" s="21"/>
      <c r="E47" s="24"/>
      <c r="F47" s="24"/>
      <c r="G47" s="24"/>
      <c r="H47" s="24"/>
    </row>
    <row r="48" spans="2:13" x14ac:dyDescent="0.25">
      <c r="D48" s="21"/>
      <c r="G48" s="23"/>
    </row>
  </sheetData>
  <mergeCells count="8">
    <mergeCell ref="B33:C33"/>
    <mergeCell ref="A6:D6"/>
    <mergeCell ref="A3:M3"/>
    <mergeCell ref="L1:M1"/>
    <mergeCell ref="A4:M4"/>
    <mergeCell ref="D12:D26"/>
    <mergeCell ref="E9:F9"/>
    <mergeCell ref="H9:K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sqref="A1:S1"/>
    </sheetView>
  </sheetViews>
  <sheetFormatPr defaultRowHeight="15" x14ac:dyDescent="0.25"/>
  <cols>
    <col min="1" max="1" width="11.42578125" customWidth="1"/>
    <col min="2" max="2" width="9.140625" customWidth="1"/>
    <col min="3" max="3" width="7.85546875" customWidth="1"/>
    <col min="4" max="4" width="10.140625" customWidth="1"/>
    <col min="5" max="5" width="11" customWidth="1"/>
    <col min="6" max="6" width="10.7109375" customWidth="1"/>
    <col min="7" max="7" width="13.5703125" customWidth="1"/>
    <col min="8" max="8" width="10.28515625" customWidth="1"/>
    <col min="9" max="9" width="8.85546875" customWidth="1"/>
    <col min="10" max="10" width="11.140625" customWidth="1"/>
    <col min="11" max="11" width="13.5703125" customWidth="1"/>
    <col min="12" max="12" width="10.28515625" customWidth="1"/>
    <col min="13" max="13" width="11.5703125" customWidth="1"/>
    <col min="14" max="14" width="14.140625" customWidth="1"/>
    <col min="15" max="15" width="13.7109375" customWidth="1"/>
    <col min="16" max="16" width="12.5703125" customWidth="1"/>
    <col min="17" max="17" width="12.42578125" customWidth="1"/>
    <col min="18" max="18" width="11" customWidth="1"/>
    <col min="19" max="19" width="13.42578125" customWidth="1"/>
    <col min="20" max="20" width="12.85546875" customWidth="1"/>
  </cols>
  <sheetData>
    <row r="1" spans="1:20" ht="21" x14ac:dyDescent="0.35">
      <c r="A1" s="197" t="s">
        <v>40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20" ht="21" x14ac:dyDescent="0.3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0" ht="15.75" x14ac:dyDescent="0.25">
      <c r="A3" s="177"/>
      <c r="B3" s="177"/>
      <c r="C3" s="177"/>
      <c r="D3" s="177"/>
      <c r="E3" s="177"/>
      <c r="F3" s="177"/>
      <c r="G3" s="177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</row>
    <row r="4" spans="1:20" ht="15.75" x14ac:dyDescent="0.25">
      <c r="A4" s="203" t="s">
        <v>60</v>
      </c>
      <c r="B4" s="203"/>
      <c r="C4" s="203"/>
      <c r="D4" s="203"/>
      <c r="E4" s="203"/>
      <c r="F4" s="203"/>
      <c r="G4" s="126">
        <v>4.5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</row>
    <row r="5" spans="1:20" ht="15.75" x14ac:dyDescent="0.25">
      <c r="A5" s="180"/>
      <c r="B5" s="180"/>
      <c r="C5" s="180"/>
      <c r="D5" s="180"/>
      <c r="E5" s="180"/>
      <c r="F5" s="180"/>
      <c r="G5" s="181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20" ht="15.75" customHeight="1" x14ac:dyDescent="0.25">
      <c r="A6" s="180"/>
      <c r="B6" s="180"/>
      <c r="C6" s="180"/>
      <c r="D6" s="205" t="s">
        <v>71</v>
      </c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183"/>
      <c r="T6" s="183"/>
    </row>
    <row r="7" spans="1:20" ht="15.75" customHeight="1" x14ac:dyDescent="0.25">
      <c r="A7" s="180"/>
      <c r="B7" s="180"/>
      <c r="C7" s="180"/>
      <c r="D7" s="184" t="s">
        <v>23</v>
      </c>
      <c r="E7" s="184" t="s">
        <v>24</v>
      </c>
      <c r="F7" s="184" t="s">
        <v>25</v>
      </c>
      <c r="G7" s="181"/>
      <c r="H7" s="185" t="s">
        <v>26</v>
      </c>
      <c r="I7" s="185" t="s">
        <v>27</v>
      </c>
      <c r="J7" s="185" t="s">
        <v>28</v>
      </c>
      <c r="K7" s="179"/>
      <c r="L7" s="185" t="s">
        <v>72</v>
      </c>
      <c r="M7" s="185" t="s">
        <v>73</v>
      </c>
      <c r="N7" s="179"/>
      <c r="O7" s="185" t="s">
        <v>74</v>
      </c>
      <c r="P7" s="185" t="s">
        <v>75</v>
      </c>
      <c r="Q7" s="185" t="s">
        <v>69</v>
      </c>
      <c r="R7" s="185" t="s">
        <v>70</v>
      </c>
      <c r="S7" s="179"/>
      <c r="T7" s="179"/>
    </row>
    <row r="8" spans="1:20" ht="15.75" customHeight="1" x14ac:dyDescent="0.25">
      <c r="A8" s="180"/>
      <c r="B8" s="180"/>
      <c r="C8" s="180"/>
      <c r="D8" s="182"/>
      <c r="E8" s="182"/>
      <c r="F8" s="182"/>
      <c r="G8" s="181"/>
      <c r="H8" s="178">
        <v>1</v>
      </c>
      <c r="I8" s="178">
        <v>1</v>
      </c>
      <c r="J8" s="178">
        <v>1</v>
      </c>
      <c r="K8" s="179"/>
      <c r="L8" s="178"/>
      <c r="M8" s="178"/>
      <c r="N8" s="179"/>
      <c r="O8" s="178"/>
      <c r="P8" s="178"/>
      <c r="Q8" s="178">
        <v>1</v>
      </c>
      <c r="R8" s="178">
        <v>2</v>
      </c>
      <c r="S8" s="179"/>
      <c r="T8" s="179"/>
    </row>
    <row r="9" spans="1:20" ht="15.75" customHeight="1" x14ac:dyDescent="0.25">
      <c r="A9" s="180"/>
      <c r="B9" s="180"/>
      <c r="C9" s="180"/>
      <c r="D9" s="180"/>
      <c r="E9" s="180"/>
      <c r="F9" s="180"/>
      <c r="G9" s="181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</row>
    <row r="10" spans="1:20" ht="15" customHeight="1" thickBot="1" x14ac:dyDescent="0.3">
      <c r="D10" s="205" t="s">
        <v>82</v>
      </c>
      <c r="E10" s="205"/>
      <c r="F10" s="205"/>
      <c r="H10" s="212" t="s">
        <v>82</v>
      </c>
      <c r="I10" s="214"/>
      <c r="J10" s="213"/>
      <c r="L10" s="205" t="s">
        <v>82</v>
      </c>
      <c r="M10" s="205"/>
      <c r="O10" s="212" t="s">
        <v>82</v>
      </c>
      <c r="P10" s="214"/>
      <c r="Q10" s="214"/>
      <c r="R10" s="213"/>
    </row>
    <row r="11" spans="1:20" ht="82.5" customHeight="1" x14ac:dyDescent="0.25">
      <c r="A11" s="1" t="s">
        <v>55</v>
      </c>
      <c r="B11" s="55" t="s">
        <v>56</v>
      </c>
      <c r="C11" s="85" t="s">
        <v>0</v>
      </c>
      <c r="D11" s="208" t="s">
        <v>23</v>
      </c>
      <c r="E11" s="209" t="s">
        <v>24</v>
      </c>
      <c r="F11" s="209" t="s">
        <v>25</v>
      </c>
      <c r="G11" s="60" t="s">
        <v>51</v>
      </c>
      <c r="H11" s="208" t="s">
        <v>26</v>
      </c>
      <c r="I11" s="209" t="s">
        <v>27</v>
      </c>
      <c r="J11" s="209" t="s">
        <v>28</v>
      </c>
      <c r="K11" s="60" t="s">
        <v>52</v>
      </c>
      <c r="L11" s="208" t="s">
        <v>72</v>
      </c>
      <c r="M11" s="209" t="s">
        <v>73</v>
      </c>
      <c r="N11" s="60" t="s">
        <v>53</v>
      </c>
      <c r="O11" s="210" t="s">
        <v>74</v>
      </c>
      <c r="P11" s="211" t="s">
        <v>75</v>
      </c>
      <c r="Q11" s="211" t="s">
        <v>69</v>
      </c>
      <c r="R11" s="211" t="s">
        <v>70</v>
      </c>
      <c r="S11" s="60" t="s">
        <v>54</v>
      </c>
      <c r="T11" s="132" t="s">
        <v>4</v>
      </c>
    </row>
    <row r="12" spans="1:20" ht="17.25" customHeight="1" x14ac:dyDescent="0.25">
      <c r="A12" s="129" t="s">
        <v>57</v>
      </c>
      <c r="B12" s="58">
        <v>1</v>
      </c>
      <c r="C12" s="67">
        <v>2</v>
      </c>
      <c r="D12" s="58">
        <v>3</v>
      </c>
      <c r="E12" s="64">
        <v>4</v>
      </c>
      <c r="F12" s="9">
        <v>5</v>
      </c>
      <c r="G12" s="67">
        <v>6</v>
      </c>
      <c r="H12" s="58">
        <v>7</v>
      </c>
      <c r="I12" s="64">
        <v>8</v>
      </c>
      <c r="J12" s="9">
        <v>9</v>
      </c>
      <c r="K12" s="67">
        <v>10</v>
      </c>
      <c r="L12" s="58">
        <v>11</v>
      </c>
      <c r="M12" s="64">
        <v>12</v>
      </c>
      <c r="N12" s="131">
        <v>13</v>
      </c>
      <c r="O12" s="66">
        <v>14</v>
      </c>
      <c r="P12" s="9">
        <v>15</v>
      </c>
      <c r="Q12" s="64">
        <v>16</v>
      </c>
      <c r="R12" s="9">
        <v>17</v>
      </c>
      <c r="S12" s="67">
        <v>18</v>
      </c>
      <c r="T12" s="133">
        <v>19</v>
      </c>
    </row>
    <row r="13" spans="1:20" ht="25.5" x14ac:dyDescent="0.25">
      <c r="A13" s="77" t="s">
        <v>14</v>
      </c>
      <c r="B13" s="92">
        <v>88</v>
      </c>
      <c r="C13" s="91">
        <v>8</v>
      </c>
      <c r="D13" s="58">
        <v>21</v>
      </c>
      <c r="E13" s="9">
        <v>20</v>
      </c>
      <c r="F13" s="9">
        <v>23</v>
      </c>
      <c r="G13" s="74">
        <f t="shared" ref="G13:G18" si="0">ROUND((B13*$G$4*C13*D13),2)+ROUND((B13*$G$4*C13*E13),2)+ROUND((B13*$G$4*C13*F13),2)</f>
        <v>202752</v>
      </c>
      <c r="H13" s="58">
        <v>19</v>
      </c>
      <c r="I13" s="9">
        <v>21</v>
      </c>
      <c r="J13" s="9">
        <v>20</v>
      </c>
      <c r="K13" s="74">
        <f>ROUND((B13*$G$4*C13*H13),2)+ROUND((B13*$G$4*C13*I13),2)+ROUND((B13*$G$4*C13*J13),2)-ROUND((SUM(H8:J8)*B13*$G$4),2)</f>
        <v>188892</v>
      </c>
      <c r="L13" s="58">
        <v>21</v>
      </c>
      <c r="M13" s="9">
        <v>23</v>
      </c>
      <c r="N13" s="74">
        <f t="shared" ref="N13:N18" si="1">ROUND((B13*$G$4*C13*L13),2)+ROUND((B13*$G$4*C13*M13),2)</f>
        <v>139392</v>
      </c>
      <c r="O13" s="58">
        <v>22</v>
      </c>
      <c r="P13" s="9">
        <v>21</v>
      </c>
      <c r="Q13" s="9">
        <v>21</v>
      </c>
      <c r="R13" s="9">
        <v>21</v>
      </c>
      <c r="S13" s="74">
        <f>ROUND((B13*$G$4*C13*O13),2)+ROUND((B13*$G$4*C13*P13),2)+ROUND((B13*$G$4*C13*Q13),2)+ROUND((B13*$G$4*C13*R13),2)-ROUND((SUM(O8:R8)*G4*B13),2)</f>
        <v>268092</v>
      </c>
      <c r="T13" s="100">
        <f t="shared" ref="T13:T18" si="2">G13+K13+N13+S13</f>
        <v>799128</v>
      </c>
    </row>
    <row r="14" spans="1:20" x14ac:dyDescent="0.25">
      <c r="A14" s="78" t="s">
        <v>15</v>
      </c>
      <c r="B14" s="90">
        <v>33</v>
      </c>
      <c r="C14" s="91">
        <v>8</v>
      </c>
      <c r="D14" s="58">
        <v>21</v>
      </c>
      <c r="E14" s="6">
        <v>15</v>
      </c>
      <c r="F14" s="6">
        <v>18</v>
      </c>
      <c r="G14" s="74">
        <f t="shared" si="0"/>
        <v>64152</v>
      </c>
      <c r="H14" s="58">
        <v>19</v>
      </c>
      <c r="I14" s="9">
        <v>21</v>
      </c>
      <c r="J14" s="6">
        <v>0</v>
      </c>
      <c r="K14" s="74">
        <f>ROUND((B14*$G$4*C14*H14),2)+ROUND((B14*$G$4*C14*I14),2)+ROUND((B14*$G$4*C14*J14),2)-ROUND((SUM(H8:I8)*B14*$G$4),2)</f>
        <v>47223</v>
      </c>
      <c r="L14" s="63">
        <v>0</v>
      </c>
      <c r="M14" s="6">
        <v>0</v>
      </c>
      <c r="N14" s="74">
        <f t="shared" si="1"/>
        <v>0</v>
      </c>
      <c r="O14" s="58">
        <v>22</v>
      </c>
      <c r="P14" s="6">
        <v>16</v>
      </c>
      <c r="Q14" s="9">
        <v>21</v>
      </c>
      <c r="R14" s="6">
        <v>17</v>
      </c>
      <c r="S14" s="74">
        <f>ROUND((B14*$G$4*C14*O14),2)+ROUND((B14*$G$4*C14*P14),2)+ROUND((B14*$G$4*C14*Q14),2)+ROUND((B14*$G$4*C14*R14),2)-ROUND((Q8*G4*B14),2)</f>
        <v>90139.5</v>
      </c>
      <c r="T14" s="100">
        <f t="shared" si="2"/>
        <v>201514.5</v>
      </c>
    </row>
    <row r="15" spans="1:20" ht="20.25" customHeight="1" x14ac:dyDescent="0.25">
      <c r="A15" s="130" t="s">
        <v>16</v>
      </c>
      <c r="B15" s="92">
        <f>153+30</f>
        <v>183</v>
      </c>
      <c r="C15" s="91">
        <v>8</v>
      </c>
      <c r="D15" s="58">
        <v>21</v>
      </c>
      <c r="E15" s="6">
        <v>20</v>
      </c>
      <c r="F15" s="6">
        <v>18</v>
      </c>
      <c r="G15" s="74">
        <f t="shared" si="0"/>
        <v>388692</v>
      </c>
      <c r="H15" s="58">
        <v>19</v>
      </c>
      <c r="I15" s="9">
        <v>21</v>
      </c>
      <c r="J15" s="6">
        <v>0</v>
      </c>
      <c r="K15" s="74">
        <f>ROUND((B15*$G$4*C15*H15),2)+ROUND((B15*$G$4*C15*I15),2)+ROUND((B15*$G$4*C15*J15),2)-ROUND((SUM(H8:I8)*$G$4*B15),2)</f>
        <v>261873</v>
      </c>
      <c r="L15" s="63">
        <v>0</v>
      </c>
      <c r="M15" s="6">
        <v>0</v>
      </c>
      <c r="N15" s="74">
        <f t="shared" si="1"/>
        <v>0</v>
      </c>
      <c r="O15" s="58">
        <v>22</v>
      </c>
      <c r="P15" s="6">
        <v>16</v>
      </c>
      <c r="Q15" s="9">
        <v>21</v>
      </c>
      <c r="R15" s="6">
        <v>17</v>
      </c>
      <c r="S15" s="74">
        <f>ROUND((B15*$G$4*C15*O15),2)+ROUND((B15*$G$4*C15*P15),2)+ROUND((B15*$G$4*C15*Q15),2)+ROUND((B15*$G$4*C15*R15),2)-ROUND((Q8*G4*B15),2)</f>
        <v>499864.5</v>
      </c>
      <c r="T15" s="100">
        <f t="shared" si="2"/>
        <v>1150429.5</v>
      </c>
    </row>
    <row r="16" spans="1:20" x14ac:dyDescent="0.25">
      <c r="A16" s="78" t="s">
        <v>17</v>
      </c>
      <c r="B16" s="90">
        <v>11</v>
      </c>
      <c r="C16" s="91">
        <v>8</v>
      </c>
      <c r="D16" s="58">
        <v>21</v>
      </c>
      <c r="E16" s="6">
        <v>20</v>
      </c>
      <c r="F16" s="6">
        <v>18</v>
      </c>
      <c r="G16" s="74">
        <f t="shared" si="0"/>
        <v>23364</v>
      </c>
      <c r="H16" s="58">
        <v>19</v>
      </c>
      <c r="I16" s="9">
        <v>21</v>
      </c>
      <c r="J16" s="6">
        <v>8</v>
      </c>
      <c r="K16" s="74">
        <f>ROUND((B16*$G$4*C16*H16),2)+ROUND((B16*$G$4*C16*I16),2)+ROUND((B16*$G$4*C16*J16),2)-ROUND((SUM(H8:I8)*G4*B16),2)</f>
        <v>18909</v>
      </c>
      <c r="L16" s="63">
        <v>0</v>
      </c>
      <c r="M16" s="6">
        <v>0</v>
      </c>
      <c r="N16" s="74">
        <f t="shared" si="1"/>
        <v>0</v>
      </c>
      <c r="O16" s="58">
        <v>22</v>
      </c>
      <c r="P16" s="6">
        <v>16</v>
      </c>
      <c r="Q16" s="9">
        <v>21</v>
      </c>
      <c r="R16" s="6">
        <v>17</v>
      </c>
      <c r="S16" s="74">
        <f>ROUND((B16*$G$4*C16*O16),2)+ROUND((B16*$G$4*C16*P16),2)+ROUND((B16*$G$4*C16*Q16),2)+ROUND((B16*$G$4*C16*R16),2)-ROUND((Q8*G4*B16),2)</f>
        <v>30046.5</v>
      </c>
      <c r="T16" s="100">
        <f t="shared" si="2"/>
        <v>72319.5</v>
      </c>
    </row>
    <row r="17" spans="1:20" x14ac:dyDescent="0.25">
      <c r="A17" s="78" t="s">
        <v>18</v>
      </c>
      <c r="B17" s="90">
        <v>3</v>
      </c>
      <c r="C17" s="91">
        <v>8</v>
      </c>
      <c r="D17" s="58">
        <v>21</v>
      </c>
      <c r="E17" s="6">
        <v>20</v>
      </c>
      <c r="F17" s="6">
        <v>18</v>
      </c>
      <c r="G17" s="74">
        <f t="shared" si="0"/>
        <v>6372</v>
      </c>
      <c r="H17" s="58">
        <v>19</v>
      </c>
      <c r="I17" s="9">
        <v>21</v>
      </c>
      <c r="J17" s="6">
        <v>13</v>
      </c>
      <c r="K17" s="74">
        <f>ROUND((B17*$G$4*C17*H17),2)+ROUND((B17*$G$4*C17*I17),2)+ROUND((B17*$G$4*C17*J17),2)-ROUND((SUM(H8:I8)*G4*B17),2)</f>
        <v>5697</v>
      </c>
      <c r="L17" s="63">
        <v>0</v>
      </c>
      <c r="M17" s="6">
        <v>0</v>
      </c>
      <c r="N17" s="74">
        <f t="shared" si="1"/>
        <v>0</v>
      </c>
      <c r="O17" s="58">
        <v>22</v>
      </c>
      <c r="P17" s="6">
        <v>16</v>
      </c>
      <c r="Q17" s="9">
        <v>21</v>
      </c>
      <c r="R17" s="6">
        <v>17</v>
      </c>
      <c r="S17" s="74">
        <f>ROUND((B17*$G$4*C17*O17),2)+ROUND((B17*$G$4*C17*P17),2)+ROUND((B17*$G$4*C17*Q17),2)+ROUND((B17*$G$4*C17*R17),2)-ROUND((Q8*G4*B17),2)</f>
        <v>8194.5</v>
      </c>
      <c r="T17" s="100">
        <f t="shared" si="2"/>
        <v>20263.5</v>
      </c>
    </row>
    <row r="18" spans="1:20" x14ac:dyDescent="0.25">
      <c r="A18" s="78" t="s">
        <v>19</v>
      </c>
      <c r="B18" s="90">
        <v>4</v>
      </c>
      <c r="C18" s="91">
        <v>8</v>
      </c>
      <c r="D18" s="63">
        <f>D13</f>
        <v>21</v>
      </c>
      <c r="E18" s="6">
        <f>E13</f>
        <v>20</v>
      </c>
      <c r="F18" s="6">
        <f>F13</f>
        <v>23</v>
      </c>
      <c r="G18" s="74">
        <f t="shared" si="0"/>
        <v>9216</v>
      </c>
      <c r="H18" s="58">
        <f>H13</f>
        <v>19</v>
      </c>
      <c r="I18" s="9">
        <f>I13</f>
        <v>21</v>
      </c>
      <c r="J18" s="9">
        <f>J13</f>
        <v>20</v>
      </c>
      <c r="K18" s="74">
        <f>ROUND((B18*$G$4*C18*H18),2)+ROUND((B18*$G$4*C18*I18),2)+ROUND((B18*$G$4*C18*J18),2)-ROUND((SUM(H8:J8)*G4*B18),2)</f>
        <v>8586</v>
      </c>
      <c r="L18" s="58">
        <f>L13</f>
        <v>21</v>
      </c>
      <c r="M18" s="9">
        <f>M13</f>
        <v>23</v>
      </c>
      <c r="N18" s="74">
        <f t="shared" si="1"/>
        <v>6336</v>
      </c>
      <c r="O18" s="58">
        <f>O13</f>
        <v>22</v>
      </c>
      <c r="P18" s="9">
        <f>P13</f>
        <v>21</v>
      </c>
      <c r="Q18" s="9">
        <f>Q13</f>
        <v>21</v>
      </c>
      <c r="R18" s="9">
        <f>R13</f>
        <v>21</v>
      </c>
      <c r="S18" s="74">
        <f>ROUND((B18*$G$4*C18*O18),2)+ROUND((B18*$G$4*C18*P18),2)+ROUND((B18*$G$4*C18*Q18),2)+ROUND((B18*$G$4*C18*R18),2)-ROUND((SUM(O8:R8)*G4*B18),2)</f>
        <v>12186</v>
      </c>
      <c r="T18" s="100">
        <f t="shared" si="2"/>
        <v>36324</v>
      </c>
    </row>
    <row r="19" spans="1:20" s="28" customFormat="1" x14ac:dyDescent="0.25">
      <c r="A19" s="79" t="s">
        <v>20</v>
      </c>
      <c r="B19" s="93"/>
      <c r="C19" s="94"/>
      <c r="D19" s="69"/>
      <c r="E19" s="65"/>
      <c r="F19" s="65"/>
      <c r="G19" s="20"/>
      <c r="H19" s="69"/>
      <c r="I19" s="65"/>
      <c r="J19" s="65"/>
      <c r="K19" s="75"/>
      <c r="L19" s="69"/>
      <c r="M19" s="65"/>
      <c r="N19" s="75"/>
      <c r="O19" s="69"/>
      <c r="P19" s="65"/>
      <c r="Q19" s="65"/>
      <c r="R19" s="65"/>
      <c r="S19" s="75"/>
      <c r="T19" s="54"/>
    </row>
    <row r="20" spans="1:20" ht="25.5" x14ac:dyDescent="0.25">
      <c r="A20" s="77" t="s">
        <v>21</v>
      </c>
      <c r="B20" s="95">
        <v>22</v>
      </c>
      <c r="C20" s="91">
        <v>8</v>
      </c>
      <c r="D20" s="58">
        <f t="shared" ref="D20:F24" si="3">D13</f>
        <v>21</v>
      </c>
      <c r="E20" s="9">
        <f t="shared" si="3"/>
        <v>20</v>
      </c>
      <c r="F20" s="9">
        <f t="shared" si="3"/>
        <v>23</v>
      </c>
      <c r="G20" s="74">
        <f>ROUND((B20*$G$4*C20*D20),2)+ROUND((B20*$G$4*C20*E20),2)+ROUND((B20*$G$4*C20*F20),2)</f>
        <v>50688</v>
      </c>
      <c r="H20" s="58">
        <f t="shared" ref="H20:J24" si="4">H13</f>
        <v>19</v>
      </c>
      <c r="I20" s="9">
        <f t="shared" si="4"/>
        <v>21</v>
      </c>
      <c r="J20" s="9">
        <f t="shared" si="4"/>
        <v>20</v>
      </c>
      <c r="K20" s="74">
        <f>ROUND((B20*$G$4*C20*H20),2)+ROUND((B20*$G$4*C20*I20),2)+ROUND((B20*$G$4*C20*J20),2)-ROUND((SUM(H8:J8)*G4*B20),2)</f>
        <v>47223</v>
      </c>
      <c r="L20" s="58">
        <f t="shared" ref="L20:M24" si="5">L13</f>
        <v>21</v>
      </c>
      <c r="M20" s="9">
        <f t="shared" si="5"/>
        <v>23</v>
      </c>
      <c r="N20" s="74">
        <f>ROUND((B20*$G$4*C20*L20),2)+ROUND((B20*$G$4*C20*M20),2)</f>
        <v>34848</v>
      </c>
      <c r="O20" s="58">
        <f t="shared" ref="O20:R24" si="6">O13</f>
        <v>22</v>
      </c>
      <c r="P20" s="9">
        <f t="shared" si="6"/>
        <v>21</v>
      </c>
      <c r="Q20" s="9">
        <f t="shared" si="6"/>
        <v>21</v>
      </c>
      <c r="R20" s="9">
        <f t="shared" si="6"/>
        <v>21</v>
      </c>
      <c r="S20" s="74">
        <f>ROUND((B20*$G$4*C20*O20),2)+ROUND((B20*$G$4*C20*P20),2)+ROUND((B20*$G$4*C20*Q20),2)+ROUND((B20*$G$4*C20*R20),2)-ROUND((SUM(O8:R8)*G4*B20),2)</f>
        <v>67023</v>
      </c>
      <c r="T20" s="100">
        <f>G20+K20+N20+S20</f>
        <v>199782</v>
      </c>
    </row>
    <row r="21" spans="1:20" x14ac:dyDescent="0.25">
      <c r="A21" s="78" t="s">
        <v>15</v>
      </c>
      <c r="B21" s="90">
        <v>3</v>
      </c>
      <c r="C21" s="91">
        <v>8</v>
      </c>
      <c r="D21" s="58">
        <f t="shared" si="3"/>
        <v>21</v>
      </c>
      <c r="E21" s="9">
        <f t="shared" si="3"/>
        <v>15</v>
      </c>
      <c r="F21" s="9">
        <f t="shared" si="3"/>
        <v>18</v>
      </c>
      <c r="G21" s="74">
        <f>ROUND((B21*$G$4*C21*D21),2)+ROUND((B21*$G$4*C21*E21),2)+ROUND((B21*$G$4*C21*F21),2)</f>
        <v>5832</v>
      </c>
      <c r="H21" s="58">
        <f t="shared" si="4"/>
        <v>19</v>
      </c>
      <c r="I21" s="9">
        <f t="shared" si="4"/>
        <v>21</v>
      </c>
      <c r="J21" s="9">
        <f t="shared" si="4"/>
        <v>0</v>
      </c>
      <c r="K21" s="74">
        <f>ROUND((B21*$G$4*C21*H21),2)+ROUND((B21*$G$4*C21*I21),2)+ROUND((B21*$G$4*C21*J21),2)-ROUND((SUM(H8:I8)*G4*B21),2)</f>
        <v>4293</v>
      </c>
      <c r="L21" s="58">
        <f t="shared" si="5"/>
        <v>0</v>
      </c>
      <c r="M21" s="9">
        <f t="shared" si="5"/>
        <v>0</v>
      </c>
      <c r="N21" s="74">
        <f>ROUND((B21*$G$4*C21*L21),2)+ROUND((B21*$G$4*C21*M21),2)</f>
        <v>0</v>
      </c>
      <c r="O21" s="58">
        <f t="shared" si="6"/>
        <v>22</v>
      </c>
      <c r="P21" s="9">
        <f t="shared" si="6"/>
        <v>16</v>
      </c>
      <c r="Q21" s="9">
        <f t="shared" si="6"/>
        <v>21</v>
      </c>
      <c r="R21" s="9">
        <f t="shared" si="6"/>
        <v>17</v>
      </c>
      <c r="S21" s="74">
        <f>ROUND((B21*$G$4*C21*O21),2)+ROUND((B21*$G$4*C21*P21),2)+ROUND((B21*$G$4*C21*Q21),2)+ROUND((B21*$G$4*C21*R21),2)-ROUND((Q8*G4*B21),2)</f>
        <v>8194.5</v>
      </c>
      <c r="T21" s="100">
        <f>G21+K21+N21+S21</f>
        <v>18319.5</v>
      </c>
    </row>
    <row r="22" spans="1:20" ht="30" x14ac:dyDescent="0.25">
      <c r="A22" s="78" t="s">
        <v>16</v>
      </c>
      <c r="B22" s="90">
        <v>15</v>
      </c>
      <c r="C22" s="91">
        <v>8</v>
      </c>
      <c r="D22" s="58">
        <f t="shared" si="3"/>
        <v>21</v>
      </c>
      <c r="E22" s="9">
        <f t="shared" si="3"/>
        <v>20</v>
      </c>
      <c r="F22" s="9">
        <f t="shared" si="3"/>
        <v>18</v>
      </c>
      <c r="G22" s="74">
        <f>ROUND((B22*$G$4*C22*D22),2)+ROUND((B22*$G$4*C22*E22),2)+ROUND((B22*$G$4*C22*F22),2)</f>
        <v>31860</v>
      </c>
      <c r="H22" s="58">
        <f t="shared" si="4"/>
        <v>19</v>
      </c>
      <c r="I22" s="9">
        <f t="shared" si="4"/>
        <v>21</v>
      </c>
      <c r="J22" s="9">
        <f t="shared" si="4"/>
        <v>0</v>
      </c>
      <c r="K22" s="74">
        <f>ROUND((B22*$G$4*C22*H22),2)+ROUND((B22*$G$4*C22*I22),2)+ROUND((B22*$G$4*C22*J22),2)-ROUND((SUM(H8:I8)*G4*B22),2)</f>
        <v>21465</v>
      </c>
      <c r="L22" s="58">
        <f t="shared" si="5"/>
        <v>0</v>
      </c>
      <c r="M22" s="9">
        <f t="shared" si="5"/>
        <v>0</v>
      </c>
      <c r="N22" s="74">
        <f>ROUND((B22*$G$4*C22*L22),2)+ROUND((B22*$G$4*C22*M22),2)</f>
        <v>0</v>
      </c>
      <c r="O22" s="58">
        <f t="shared" si="6"/>
        <v>22</v>
      </c>
      <c r="P22" s="9">
        <f t="shared" si="6"/>
        <v>16</v>
      </c>
      <c r="Q22" s="9">
        <f t="shared" si="6"/>
        <v>21</v>
      </c>
      <c r="R22" s="9">
        <f t="shared" si="6"/>
        <v>17</v>
      </c>
      <c r="S22" s="74">
        <f>ROUND((B22*$G$4*C22*O22),2)+ROUND((B22*$G$4*C22*P22),2)+ROUND((B22*$G$4*C22*Q22),2)+ROUND((B22*$G$4*C22*R22),2)-ROUND((Q8*G4*B22),2)</f>
        <v>40972.5</v>
      </c>
      <c r="T22" s="100">
        <f>G22+K22+N22+S22</f>
        <v>94297.5</v>
      </c>
    </row>
    <row r="23" spans="1:20" x14ac:dyDescent="0.25">
      <c r="A23" s="78" t="s">
        <v>17</v>
      </c>
      <c r="B23" s="90"/>
      <c r="C23" s="91">
        <v>8</v>
      </c>
      <c r="D23" s="58">
        <f t="shared" si="3"/>
        <v>21</v>
      </c>
      <c r="E23" s="9">
        <f t="shared" si="3"/>
        <v>20</v>
      </c>
      <c r="F23" s="9">
        <f t="shared" si="3"/>
        <v>18</v>
      </c>
      <c r="G23" s="74">
        <f>ROUND((B23*$G$4*C23*D23),2)+ROUND((B23*$G$4*C23*E23),2)+ROUND((B23*$G$4*C23*F23),2)</f>
        <v>0</v>
      </c>
      <c r="H23" s="58">
        <f t="shared" si="4"/>
        <v>19</v>
      </c>
      <c r="I23" s="9">
        <f t="shared" si="4"/>
        <v>21</v>
      </c>
      <c r="J23" s="9">
        <f t="shared" si="4"/>
        <v>8</v>
      </c>
      <c r="K23" s="74">
        <f>ROUND((B23*$G$4*C23*H23),2)+ROUND((B23*$G$4*C23*I23),2)+ROUND((B23*$G$4*C23*J23),2)</f>
        <v>0</v>
      </c>
      <c r="L23" s="58">
        <f t="shared" si="5"/>
        <v>0</v>
      </c>
      <c r="M23" s="9">
        <f t="shared" si="5"/>
        <v>0</v>
      </c>
      <c r="N23" s="74">
        <f>ROUND((B23*$G$4*C23*L23),2)+ROUND((B23*$G$4*C23*M23),2)</f>
        <v>0</v>
      </c>
      <c r="O23" s="58">
        <f t="shared" si="6"/>
        <v>22</v>
      </c>
      <c r="P23" s="9">
        <f t="shared" si="6"/>
        <v>16</v>
      </c>
      <c r="Q23" s="9">
        <f t="shared" si="6"/>
        <v>21</v>
      </c>
      <c r="R23" s="9">
        <f t="shared" si="6"/>
        <v>17</v>
      </c>
      <c r="S23" s="74">
        <f>ROUND((B23*$G$4*C23*O23),2)+ROUND((B23*$G$4*C23*P23),2)+ROUND((B23*$G$4*C23*Q23),2)+ROUND((B23*$G$4*C23*R23),2)</f>
        <v>0</v>
      </c>
      <c r="T23" s="100">
        <f>G23+K23+N23+S23</f>
        <v>0</v>
      </c>
    </row>
    <row r="24" spans="1:20" ht="15.75" thickBot="1" x14ac:dyDescent="0.3">
      <c r="A24" s="80" t="s">
        <v>18</v>
      </c>
      <c r="B24" s="96"/>
      <c r="C24" s="61">
        <v>8</v>
      </c>
      <c r="D24" s="59">
        <f t="shared" si="3"/>
        <v>21</v>
      </c>
      <c r="E24" s="71">
        <f t="shared" si="3"/>
        <v>20</v>
      </c>
      <c r="F24" s="71">
        <f t="shared" si="3"/>
        <v>18</v>
      </c>
      <c r="G24" s="76">
        <f>ROUND((B24*$G$4*C24*D24),2)+ROUND((B24*$G$4*C24*E24),2)+ROUND((B24*$G$4*C24*F24),2)</f>
        <v>0</v>
      </c>
      <c r="H24" s="59">
        <f t="shared" si="4"/>
        <v>19</v>
      </c>
      <c r="I24" s="71">
        <f t="shared" si="4"/>
        <v>21</v>
      </c>
      <c r="J24" s="71">
        <f t="shared" si="4"/>
        <v>13</v>
      </c>
      <c r="K24" s="76">
        <f>ROUND((B24*$G$4*C24*H24),2)+ROUND((B24*$G$4*C24*I24),2)+ROUND((B24*$G$4*C24*J24),2)</f>
        <v>0</v>
      </c>
      <c r="L24" s="59">
        <f t="shared" si="5"/>
        <v>0</v>
      </c>
      <c r="M24" s="71">
        <f t="shared" si="5"/>
        <v>0</v>
      </c>
      <c r="N24" s="76">
        <f>ROUND((B24*$G$4*C24*L24),2)+ROUND((B24*$G$4*C24*M24),2)</f>
        <v>0</v>
      </c>
      <c r="O24" s="59">
        <f t="shared" si="6"/>
        <v>22</v>
      </c>
      <c r="P24" s="71">
        <f t="shared" si="6"/>
        <v>16</v>
      </c>
      <c r="Q24" s="71">
        <f t="shared" si="6"/>
        <v>21</v>
      </c>
      <c r="R24" s="71">
        <f t="shared" si="6"/>
        <v>17</v>
      </c>
      <c r="S24" s="76">
        <f>ROUND((B24*$G$4*C24*O24),2)+ROUND((B24*$G$4*C24*P24),2)+ROUND((B24*$G$4*C24*Q24),2)+ROUND((B24*$G$4*C24*R24),2)</f>
        <v>0</v>
      </c>
      <c r="T24" s="102">
        <f>G24+K24+N24+S24</f>
        <v>0</v>
      </c>
    </row>
    <row r="25" spans="1:20" ht="19.5" thickBot="1" x14ac:dyDescent="0.35">
      <c r="B25" s="11">
        <f>SUM(B13:B24)</f>
        <v>362</v>
      </c>
      <c r="G25" s="12">
        <f>SUM(G13:G24)</f>
        <v>782928</v>
      </c>
      <c r="K25" s="12">
        <f>SUM(K13:K24)</f>
        <v>604161</v>
      </c>
      <c r="N25" s="12">
        <f>SUM(N13:N24)</f>
        <v>180576</v>
      </c>
      <c r="S25" s="12">
        <f>SUM(S13:S24)</f>
        <v>1024713</v>
      </c>
      <c r="T25" s="103">
        <f>SUM(T13:T24)</f>
        <v>2592378</v>
      </c>
    </row>
    <row r="26" spans="1:20" ht="18.75" x14ac:dyDescent="0.3">
      <c r="B26" s="11"/>
      <c r="G26" s="12"/>
      <c r="K26" s="12"/>
      <c r="N26" s="12"/>
      <c r="S26" s="12"/>
      <c r="T26" s="13"/>
    </row>
    <row r="27" spans="1:20" x14ac:dyDescent="0.25">
      <c r="B27" s="15"/>
      <c r="C27" s="109"/>
      <c r="D27" s="125"/>
      <c r="E27" s="125"/>
      <c r="F27" s="125"/>
      <c r="G27" s="124"/>
      <c r="H27" s="52"/>
      <c r="I27" s="27"/>
      <c r="J27" s="24"/>
      <c r="K27" s="24"/>
    </row>
    <row r="28" spans="1:20" ht="90" x14ac:dyDescent="0.25">
      <c r="B28" s="15"/>
      <c r="C28" s="123"/>
      <c r="D28" s="124"/>
      <c r="N28" s="36"/>
      <c r="O28" s="14" t="s">
        <v>30</v>
      </c>
      <c r="P28" s="14" t="s">
        <v>29</v>
      </c>
      <c r="Q28" s="26" t="s">
        <v>32</v>
      </c>
      <c r="R28" s="14" t="s">
        <v>33</v>
      </c>
      <c r="S28" s="14" t="s">
        <v>34</v>
      </c>
      <c r="T28" s="14" t="s">
        <v>31</v>
      </c>
    </row>
    <row r="29" spans="1:20" ht="23.25" customHeight="1" x14ac:dyDescent="0.25">
      <c r="B29" s="15"/>
      <c r="C29" s="108"/>
      <c r="D29" s="124"/>
      <c r="L29" s="47"/>
      <c r="M29" s="47"/>
      <c r="N29" s="37"/>
      <c r="O29" s="9">
        <v>1</v>
      </c>
      <c r="P29" s="9">
        <v>2</v>
      </c>
      <c r="Q29" s="9">
        <v>3</v>
      </c>
      <c r="R29" s="9">
        <v>4</v>
      </c>
      <c r="S29" s="9" t="s">
        <v>58</v>
      </c>
      <c r="T29" s="45" t="s">
        <v>59</v>
      </c>
    </row>
    <row r="30" spans="1:20" ht="30" x14ac:dyDescent="0.25">
      <c r="B30" s="15"/>
      <c r="C30" s="108"/>
      <c r="D30" s="124"/>
      <c r="L30" s="38"/>
      <c r="M30" s="38"/>
      <c r="N30" s="50" t="s">
        <v>35</v>
      </c>
      <c r="O30" s="148">
        <v>1031876</v>
      </c>
      <c r="P30" s="173">
        <f>T25</f>
        <v>2592378</v>
      </c>
      <c r="Q30" s="121">
        <f>O30-P30</f>
        <v>-1560502</v>
      </c>
      <c r="R30" s="117">
        <v>0.75</v>
      </c>
      <c r="S30" s="118">
        <f>P30*R30</f>
        <v>1944283.5</v>
      </c>
      <c r="T30" s="119">
        <f>O30-S30</f>
        <v>-912407.5</v>
      </c>
    </row>
    <row r="31" spans="1:20" x14ac:dyDescent="0.25">
      <c r="B31" s="15"/>
      <c r="C31" s="109"/>
      <c r="D31" s="125"/>
      <c r="E31" s="125"/>
      <c r="F31" s="111"/>
      <c r="G31" s="124"/>
      <c r="I31" s="17"/>
      <c r="J31" s="13"/>
      <c r="M31" s="19"/>
      <c r="N31" s="35"/>
      <c r="O31" s="38"/>
      <c r="P31" s="38"/>
      <c r="Q31" s="40"/>
      <c r="R31" s="44"/>
      <c r="S31" s="44"/>
    </row>
    <row r="32" spans="1:20" ht="32.25" customHeight="1" x14ac:dyDescent="0.25">
      <c r="B32" s="15"/>
      <c r="C32" s="109"/>
      <c r="D32" s="124"/>
      <c r="E32" s="124"/>
      <c r="F32" s="112"/>
      <c r="G32" s="15"/>
      <c r="N32" s="42"/>
      <c r="O32" s="46"/>
    </row>
    <row r="33" spans="2:15" x14ac:dyDescent="0.25">
      <c r="B33" s="15"/>
      <c r="C33" s="15"/>
      <c r="D33" s="113"/>
      <c r="E33" s="114"/>
      <c r="F33" s="113"/>
      <c r="G33" s="113"/>
      <c r="N33" s="42"/>
      <c r="O33" s="46"/>
    </row>
    <row r="34" spans="2:15" x14ac:dyDescent="0.25">
      <c r="B34" s="15"/>
      <c r="C34" s="15"/>
      <c r="D34" s="113"/>
      <c r="E34" s="114"/>
      <c r="F34" s="113"/>
      <c r="G34" s="113"/>
      <c r="I34" s="19"/>
    </row>
    <row r="35" spans="2:15" x14ac:dyDescent="0.25">
      <c r="D35" s="21"/>
      <c r="E35" s="22"/>
      <c r="F35" s="21"/>
      <c r="G35" s="21"/>
      <c r="I35" s="19"/>
      <c r="N35" s="23"/>
    </row>
    <row r="36" spans="2:15" ht="15.75" x14ac:dyDescent="0.25">
      <c r="F36" s="28"/>
      <c r="I36" s="24"/>
      <c r="J36" s="202"/>
      <c r="K36" s="202"/>
      <c r="L36" s="202"/>
      <c r="M36" s="202"/>
      <c r="N36" s="25"/>
    </row>
    <row r="37" spans="2:15" x14ac:dyDescent="0.25">
      <c r="F37" s="28"/>
    </row>
  </sheetData>
  <mergeCells count="9">
    <mergeCell ref="A1:S1"/>
    <mergeCell ref="J36:M36"/>
    <mergeCell ref="A4:F4"/>
    <mergeCell ref="H3:T3"/>
    <mergeCell ref="D6:R6"/>
    <mergeCell ref="D10:F10"/>
    <mergeCell ref="H10:J10"/>
    <mergeCell ref="L10:M10"/>
    <mergeCell ref="O10:R10"/>
  </mergeCells>
  <pageMargins left="0.51181102362204722" right="0.51181102362204722" top="0.55118110236220474" bottom="0.55118110236220474" header="0.31496062992125984" footer="0.31496062992125984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sqref="A1:S1"/>
    </sheetView>
  </sheetViews>
  <sheetFormatPr defaultRowHeight="15" x14ac:dyDescent="0.25"/>
  <cols>
    <col min="1" max="1" width="11.42578125" customWidth="1"/>
    <col min="2" max="2" width="9.140625" customWidth="1"/>
    <col min="3" max="3" width="7.85546875" customWidth="1"/>
    <col min="4" max="4" width="10.28515625" customWidth="1"/>
    <col min="5" max="5" width="11" customWidth="1"/>
    <col min="6" max="6" width="9.5703125" customWidth="1"/>
    <col min="7" max="7" width="14.85546875" customWidth="1"/>
    <col min="8" max="8" width="10.7109375" customWidth="1"/>
    <col min="9" max="9" width="9.42578125" customWidth="1"/>
    <col min="10" max="10" width="10.140625" customWidth="1"/>
    <col min="11" max="11" width="13.5703125" customWidth="1"/>
    <col min="12" max="12" width="9.5703125" customWidth="1"/>
    <col min="13" max="13" width="11.7109375" customWidth="1"/>
    <col min="14" max="14" width="14.85546875" customWidth="1"/>
    <col min="15" max="15" width="13.7109375" customWidth="1"/>
    <col min="16" max="16" width="13" customWidth="1"/>
    <col min="17" max="17" width="12.85546875" customWidth="1"/>
    <col min="18" max="18" width="10.28515625" customWidth="1"/>
    <col min="19" max="20" width="13.28515625" customWidth="1"/>
  </cols>
  <sheetData>
    <row r="1" spans="1:20" ht="21" x14ac:dyDescent="0.35">
      <c r="A1" s="197" t="s">
        <v>39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20" ht="15.75" x14ac:dyDescent="0.2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0" ht="15.75" x14ac:dyDescent="0.25">
      <c r="A3" s="203" t="s">
        <v>60</v>
      </c>
      <c r="B3" s="203"/>
      <c r="C3" s="203"/>
      <c r="D3" s="203"/>
      <c r="E3" s="203"/>
      <c r="F3" s="203"/>
      <c r="G3" s="126">
        <v>4.5</v>
      </c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5.75" x14ac:dyDescent="0.25">
      <c r="A4" s="180"/>
      <c r="B4" s="180"/>
      <c r="C4" s="180"/>
      <c r="D4" s="180"/>
      <c r="E4" s="180"/>
      <c r="F4" s="180"/>
      <c r="G4" s="181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15.75" x14ac:dyDescent="0.25">
      <c r="A5" s="180"/>
      <c r="B5" s="180"/>
      <c r="C5" s="180"/>
      <c r="D5" s="205" t="s">
        <v>71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150"/>
      <c r="T5" s="150"/>
    </row>
    <row r="6" spans="1:20" ht="15.75" x14ac:dyDescent="0.25">
      <c r="A6" s="180"/>
      <c r="B6" s="180"/>
      <c r="C6" s="180"/>
      <c r="D6" s="184" t="s">
        <v>23</v>
      </c>
      <c r="E6" s="184" t="s">
        <v>24</v>
      </c>
      <c r="F6" s="184" t="s">
        <v>25</v>
      </c>
      <c r="G6" s="181"/>
      <c r="H6" s="185" t="s">
        <v>26</v>
      </c>
      <c r="I6" s="185" t="s">
        <v>27</v>
      </c>
      <c r="J6" s="185" t="s">
        <v>28</v>
      </c>
      <c r="K6" s="179"/>
      <c r="L6" s="185" t="s">
        <v>72</v>
      </c>
      <c r="M6" s="185" t="s">
        <v>73</v>
      </c>
      <c r="N6" s="179"/>
      <c r="O6" s="185" t="s">
        <v>74</v>
      </c>
      <c r="P6" s="185" t="s">
        <v>75</v>
      </c>
      <c r="Q6" s="185" t="s">
        <v>69</v>
      </c>
      <c r="R6" s="185" t="s">
        <v>70</v>
      </c>
      <c r="S6" s="150"/>
      <c r="T6" s="150"/>
    </row>
    <row r="7" spans="1:20" ht="15.75" x14ac:dyDescent="0.25">
      <c r="A7" s="180"/>
      <c r="B7" s="180"/>
      <c r="C7" s="180"/>
      <c r="D7" s="182"/>
      <c r="E7" s="182"/>
      <c r="F7" s="182"/>
      <c r="G7" s="181"/>
      <c r="H7" s="178">
        <v>1</v>
      </c>
      <c r="I7" s="178">
        <v>1</v>
      </c>
      <c r="J7" s="178">
        <v>1</v>
      </c>
      <c r="K7" s="179"/>
      <c r="L7" s="178"/>
      <c r="M7" s="178"/>
      <c r="N7" s="179"/>
      <c r="O7" s="178"/>
      <c r="P7" s="178"/>
      <c r="Q7" s="178">
        <v>1</v>
      </c>
      <c r="R7" s="178"/>
      <c r="S7" s="150"/>
      <c r="T7" s="150"/>
    </row>
    <row r="8" spans="1:20" ht="15.75" x14ac:dyDescent="0.25">
      <c r="A8" s="180"/>
      <c r="B8" s="180"/>
      <c r="C8" s="180"/>
      <c r="D8" s="180"/>
      <c r="E8" s="180"/>
      <c r="F8" s="180"/>
      <c r="G8" s="181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3"/>
      <c r="T8" s="193"/>
    </row>
    <row r="9" spans="1:20" ht="15" customHeight="1" thickBot="1" x14ac:dyDescent="0.3">
      <c r="D9" s="205" t="s">
        <v>82</v>
      </c>
      <c r="E9" s="205"/>
      <c r="F9" s="205"/>
      <c r="H9" s="205" t="s">
        <v>82</v>
      </c>
      <c r="I9" s="205"/>
      <c r="J9" s="205"/>
      <c r="L9" s="205" t="s">
        <v>82</v>
      </c>
      <c r="M9" s="205"/>
      <c r="O9" s="205" t="s">
        <v>82</v>
      </c>
      <c r="P9" s="205"/>
      <c r="Q9" s="205"/>
      <c r="R9" s="205"/>
    </row>
    <row r="10" spans="1:20" ht="82.5" customHeight="1" x14ac:dyDescent="0.25">
      <c r="A10" s="55" t="s">
        <v>55</v>
      </c>
      <c r="B10" s="2" t="s">
        <v>56</v>
      </c>
      <c r="C10" s="85" t="s">
        <v>0</v>
      </c>
      <c r="D10" s="208" t="s">
        <v>1</v>
      </c>
      <c r="E10" s="209" t="s">
        <v>2</v>
      </c>
      <c r="F10" s="209" t="s">
        <v>3</v>
      </c>
      <c r="G10" s="60" t="s">
        <v>61</v>
      </c>
      <c r="H10" s="208" t="s">
        <v>5</v>
      </c>
      <c r="I10" s="209" t="s">
        <v>6</v>
      </c>
      <c r="J10" s="209" t="s">
        <v>7</v>
      </c>
      <c r="K10" s="60" t="s">
        <v>62</v>
      </c>
      <c r="L10" s="208" t="s">
        <v>8</v>
      </c>
      <c r="M10" s="209" t="s">
        <v>9</v>
      </c>
      <c r="N10" s="60" t="s">
        <v>63</v>
      </c>
      <c r="O10" s="210" t="s">
        <v>10</v>
      </c>
      <c r="P10" s="211" t="s">
        <v>11</v>
      </c>
      <c r="Q10" s="211" t="s">
        <v>12</v>
      </c>
      <c r="R10" s="211" t="s">
        <v>13</v>
      </c>
      <c r="S10" s="60" t="s">
        <v>64</v>
      </c>
      <c r="T10" s="143" t="s">
        <v>4</v>
      </c>
    </row>
    <row r="11" spans="1:20" ht="17.25" customHeight="1" thickBot="1" x14ac:dyDescent="0.3">
      <c r="A11" s="59" t="s">
        <v>57</v>
      </c>
      <c r="B11" s="71">
        <v>1</v>
      </c>
      <c r="C11" s="87">
        <v>2</v>
      </c>
      <c r="D11" s="59">
        <v>3</v>
      </c>
      <c r="E11" s="4">
        <v>4</v>
      </c>
      <c r="F11" s="71">
        <v>5</v>
      </c>
      <c r="G11" s="87">
        <v>6</v>
      </c>
      <c r="H11" s="59">
        <v>7</v>
      </c>
      <c r="I11" s="4">
        <v>8</v>
      </c>
      <c r="J11" s="71">
        <v>9</v>
      </c>
      <c r="K11" s="87">
        <v>10</v>
      </c>
      <c r="L11" s="59">
        <v>11</v>
      </c>
      <c r="M11" s="4">
        <v>12</v>
      </c>
      <c r="N11" s="142">
        <v>13</v>
      </c>
      <c r="O11" s="56">
        <v>14</v>
      </c>
      <c r="P11" s="71">
        <v>15</v>
      </c>
      <c r="Q11" s="4">
        <v>16</v>
      </c>
      <c r="R11" s="71">
        <v>17</v>
      </c>
      <c r="S11" s="87">
        <v>18</v>
      </c>
      <c r="T11" s="144">
        <v>19</v>
      </c>
    </row>
    <row r="12" spans="1:20" ht="25.5" x14ac:dyDescent="0.25">
      <c r="A12" s="140" t="s">
        <v>14</v>
      </c>
      <c r="B12" s="141">
        <f>'2022'!B13</f>
        <v>88</v>
      </c>
      <c r="C12" s="89">
        <v>8</v>
      </c>
      <c r="D12" s="57">
        <v>21</v>
      </c>
      <c r="E12" s="5">
        <v>20</v>
      </c>
      <c r="F12" s="5">
        <v>23</v>
      </c>
      <c r="G12" s="62">
        <f t="shared" ref="G12:G17" si="0">ROUND((B12*$G$3*C12*D12),2)+ROUND((B12*$G$3*C12*E12),2)+ROUND((B12*$G$3*C12*F12),2)</f>
        <v>202752</v>
      </c>
      <c r="H12" s="57">
        <v>18</v>
      </c>
      <c r="I12" s="5">
        <v>21</v>
      </c>
      <c r="J12" s="5">
        <v>21</v>
      </c>
      <c r="K12" s="62">
        <f>ROUND((B12*$G$3*C12*H12),2)+ROUND((B12*$G$3*C12*I12),2)+ROUND((B12*$G$3*C12*J12),2)-ROUND((SUM(H7:J7)*G3*B12),2)</f>
        <v>188892</v>
      </c>
      <c r="L12" s="57">
        <v>21</v>
      </c>
      <c r="M12" s="5">
        <v>23</v>
      </c>
      <c r="N12" s="62">
        <f t="shared" ref="N12:N17" si="1">ROUND((B12*$G$3*C12*L12),2)+ROUND((B12*$G$3*C12*M12),2)</f>
        <v>139392</v>
      </c>
      <c r="O12" s="57">
        <v>21</v>
      </c>
      <c r="P12" s="5">
        <v>22</v>
      </c>
      <c r="Q12" s="5">
        <v>21</v>
      </c>
      <c r="R12" s="5">
        <v>19</v>
      </c>
      <c r="S12" s="62">
        <f>ROUND((B12*$G$3*C12*O12),2)+ROUND((B12*$G$3*C12*P12),2)+ROUND((B12*$G$3*C12*Q12),2)+ROUND((B12*$G$3*C12*R12),2)-ROUND((SUM(O7:R7)*G3*B12),2)</f>
        <v>262548</v>
      </c>
      <c r="T12" s="99">
        <f>G12+K12+N12+S12</f>
        <v>793584</v>
      </c>
    </row>
    <row r="13" spans="1:20" x14ac:dyDescent="0.25">
      <c r="A13" s="135" t="s">
        <v>15</v>
      </c>
      <c r="B13" s="127">
        <f>'2022'!B14</f>
        <v>33</v>
      </c>
      <c r="C13" s="91">
        <v>8</v>
      </c>
      <c r="D13" s="58">
        <v>17</v>
      </c>
      <c r="E13" s="6">
        <v>15</v>
      </c>
      <c r="F13" s="6">
        <v>18</v>
      </c>
      <c r="G13" s="74">
        <f t="shared" si="0"/>
        <v>59400</v>
      </c>
      <c r="H13" s="58">
        <v>18</v>
      </c>
      <c r="I13" s="9">
        <v>21</v>
      </c>
      <c r="J13" s="6">
        <v>0</v>
      </c>
      <c r="K13" s="74">
        <f>ROUND((B13*$G$3*C13*H13),2)+ROUND((B13*$G$3*C13*I13),2)+ROUND((B13*$G$3*C13*J13),2)-ROUND((SUM(H7:I7)*G3*B13),2)</f>
        <v>46035</v>
      </c>
      <c r="L13" s="63">
        <v>0</v>
      </c>
      <c r="M13" s="6">
        <v>0</v>
      </c>
      <c r="N13" s="74">
        <f t="shared" si="1"/>
        <v>0</v>
      </c>
      <c r="O13" s="58">
        <v>21</v>
      </c>
      <c r="P13" s="6">
        <v>17</v>
      </c>
      <c r="Q13" s="9">
        <v>21</v>
      </c>
      <c r="R13" s="6">
        <v>16</v>
      </c>
      <c r="S13" s="74">
        <f>ROUND((B13*$G$3*C13*O13),2)+ROUND((B13*$G$3*C13*P13),2)+ROUND((B13*$G$3*C13*Q13),2)+ROUND((B13*$G$3*C13*R13),2)-ROUND((SUM(O7:Q7)*G3*B13),2)</f>
        <v>88951.5</v>
      </c>
      <c r="T13" s="99">
        <f t="shared" ref="T13:T23" si="2">G13+K13+N13+S13</f>
        <v>194386.5</v>
      </c>
    </row>
    <row r="14" spans="1:20" ht="20.25" customHeight="1" x14ac:dyDescent="0.25">
      <c r="A14" s="136" t="s">
        <v>16</v>
      </c>
      <c r="B14" s="127">
        <f>'2022'!B15+30</f>
        <v>213</v>
      </c>
      <c r="C14" s="91">
        <v>8</v>
      </c>
      <c r="D14" s="58">
        <v>17</v>
      </c>
      <c r="E14" s="6">
        <v>20</v>
      </c>
      <c r="F14" s="6">
        <v>18</v>
      </c>
      <c r="G14" s="74">
        <f t="shared" si="0"/>
        <v>421740</v>
      </c>
      <c r="H14" s="58">
        <v>18</v>
      </c>
      <c r="I14" s="9">
        <v>21</v>
      </c>
      <c r="J14" s="6">
        <v>0</v>
      </c>
      <c r="K14" s="74">
        <f>ROUND((B14*$G$3*C14*H14),2)+ROUND((B14*$G$3*C14*I14),2)+ROUND((B14*$G$3*C14*J14),2)-ROUND((SUM(H7:I7)*G3*B14),2)</f>
        <v>297135</v>
      </c>
      <c r="L14" s="63">
        <v>0</v>
      </c>
      <c r="M14" s="6">
        <v>0</v>
      </c>
      <c r="N14" s="74">
        <f t="shared" si="1"/>
        <v>0</v>
      </c>
      <c r="O14" s="58">
        <v>21</v>
      </c>
      <c r="P14" s="6">
        <v>17</v>
      </c>
      <c r="Q14" s="9">
        <v>21</v>
      </c>
      <c r="R14" s="6">
        <v>16</v>
      </c>
      <c r="S14" s="74">
        <f>ROUND((B14*$G$3*C14*O14),2)+ROUND((B14*$G$3*C14*P14),2)+ROUND((B14*$G$3*C14*Q14),2)+ROUND((B14*$G$3*C14*R14),2)-ROUND((SUM(O7:Q7)*G3*B14),2)</f>
        <v>574141.5</v>
      </c>
      <c r="T14" s="99">
        <f t="shared" si="2"/>
        <v>1293016.5</v>
      </c>
    </row>
    <row r="15" spans="1:20" x14ac:dyDescent="0.25">
      <c r="A15" s="135" t="s">
        <v>17</v>
      </c>
      <c r="B15" s="127">
        <f>'2022'!B16</f>
        <v>11</v>
      </c>
      <c r="C15" s="91">
        <v>8</v>
      </c>
      <c r="D15" s="58">
        <v>17</v>
      </c>
      <c r="E15" s="6">
        <v>20</v>
      </c>
      <c r="F15" s="6">
        <v>18</v>
      </c>
      <c r="G15" s="74">
        <f t="shared" si="0"/>
        <v>21780</v>
      </c>
      <c r="H15" s="58">
        <v>18</v>
      </c>
      <c r="I15" s="9">
        <v>21</v>
      </c>
      <c r="J15" s="6">
        <v>7</v>
      </c>
      <c r="K15" s="74">
        <f>ROUND((B15*$G$3*C15*H15),2)+ROUND((B15*$G$3*C15*I15),2)+ROUND((B15*$G$3*C15*J15),2)-ROUND((SUM(H7:I7)*G3*B15),2)</f>
        <v>18117</v>
      </c>
      <c r="L15" s="63">
        <v>0</v>
      </c>
      <c r="M15" s="6">
        <v>0</v>
      </c>
      <c r="N15" s="74">
        <f t="shared" si="1"/>
        <v>0</v>
      </c>
      <c r="O15" s="58">
        <v>21</v>
      </c>
      <c r="P15" s="6">
        <v>17</v>
      </c>
      <c r="Q15" s="9">
        <v>21</v>
      </c>
      <c r="R15" s="6">
        <v>16</v>
      </c>
      <c r="S15" s="74">
        <f>ROUND((B15*$G$3*C15*O15),2)+ROUND((B15*$G$3*C15*P15),2)+ROUND((B15*$G$3*C15*Q15),2)+ROUND((B15*$G$3*C15*R15),2)-ROUND((SUM(O7:Q7)*G3*B15),2)</f>
        <v>29650.5</v>
      </c>
      <c r="T15" s="99">
        <f t="shared" si="2"/>
        <v>69547.5</v>
      </c>
    </row>
    <row r="16" spans="1:20" x14ac:dyDescent="0.25">
      <c r="A16" s="135" t="s">
        <v>18</v>
      </c>
      <c r="B16" s="127">
        <f>'2022'!B17</f>
        <v>3</v>
      </c>
      <c r="C16" s="91">
        <v>8</v>
      </c>
      <c r="D16" s="58">
        <v>17</v>
      </c>
      <c r="E16" s="6">
        <v>20</v>
      </c>
      <c r="F16" s="6">
        <v>18</v>
      </c>
      <c r="G16" s="74">
        <f t="shared" si="0"/>
        <v>5940</v>
      </c>
      <c r="H16" s="58">
        <v>18</v>
      </c>
      <c r="I16" s="9">
        <v>21</v>
      </c>
      <c r="J16" s="6">
        <v>12</v>
      </c>
      <c r="K16" s="74">
        <f>ROUND((B16*$G$3*C16*H16),2)+ROUND((B16*$G$3*C16*I16),2)+ROUND((B16*$G$3*C16*J16),2)-ROUND((SUM(H7:I7)*G3*B16),2)</f>
        <v>5481</v>
      </c>
      <c r="L16" s="63">
        <v>0</v>
      </c>
      <c r="M16" s="6">
        <v>0</v>
      </c>
      <c r="N16" s="74">
        <f t="shared" si="1"/>
        <v>0</v>
      </c>
      <c r="O16" s="58">
        <v>21</v>
      </c>
      <c r="P16" s="6">
        <v>17</v>
      </c>
      <c r="Q16" s="9">
        <v>21</v>
      </c>
      <c r="R16" s="6">
        <v>16</v>
      </c>
      <c r="S16" s="74">
        <f>ROUND((B16*$G$3*C16*O16),2)+ROUND((B16*$G$3*C16*P16),2)+ROUND((B16*$G$3*C16*Q16),2)+ROUND((B16*$G$3*C16*R16),2)-ROUND((SUM(O7:Q7)*G3*B16),2)</f>
        <v>8086.5</v>
      </c>
      <c r="T16" s="99">
        <f t="shared" si="2"/>
        <v>19507.5</v>
      </c>
    </row>
    <row r="17" spans="1:20" x14ac:dyDescent="0.25">
      <c r="A17" s="135" t="s">
        <v>19</v>
      </c>
      <c r="B17" s="127">
        <f>'2022'!B18</f>
        <v>4</v>
      </c>
      <c r="C17" s="91">
        <v>8</v>
      </c>
      <c r="D17" s="63">
        <f>D12</f>
        <v>21</v>
      </c>
      <c r="E17" s="6">
        <f t="shared" ref="E17:F17" si="3">E12</f>
        <v>20</v>
      </c>
      <c r="F17" s="6">
        <f t="shared" si="3"/>
        <v>23</v>
      </c>
      <c r="G17" s="74">
        <f t="shared" si="0"/>
        <v>9216</v>
      </c>
      <c r="H17" s="58">
        <f>H12</f>
        <v>18</v>
      </c>
      <c r="I17" s="9">
        <f t="shared" ref="I17:J17" si="4">I12</f>
        <v>21</v>
      </c>
      <c r="J17" s="9">
        <f t="shared" si="4"/>
        <v>21</v>
      </c>
      <c r="K17" s="74">
        <f>ROUND((B17*$G$3*C17*H17),2)+ROUND((B17*$G$3*C17*I17),2)+ROUND((B17*$G$3*C17*J17),2)-ROUND((SUM(H7:J7)*G3*B17),2)</f>
        <v>8586</v>
      </c>
      <c r="L17" s="58">
        <f>L12</f>
        <v>21</v>
      </c>
      <c r="M17" s="9">
        <f>M12</f>
        <v>23</v>
      </c>
      <c r="N17" s="74">
        <f t="shared" si="1"/>
        <v>6336</v>
      </c>
      <c r="O17" s="58">
        <v>21</v>
      </c>
      <c r="P17" s="9">
        <f t="shared" ref="P17:R17" si="5">P12</f>
        <v>22</v>
      </c>
      <c r="Q17" s="9">
        <f t="shared" si="5"/>
        <v>21</v>
      </c>
      <c r="R17" s="9">
        <f t="shared" si="5"/>
        <v>19</v>
      </c>
      <c r="S17" s="74">
        <f>ROUND((B17*$G$3*C17*O17),2)+ROUND((B17*$G$3*C17*P17),2)+ROUND((B17*$G$3*C17*Q17),2)+ROUND((B17*$G$3*C17*R17),2)-ROUND((SUM(O7:R7)*G3*B17),2)</f>
        <v>11934</v>
      </c>
      <c r="T17" s="99">
        <f t="shared" si="2"/>
        <v>36072</v>
      </c>
    </row>
    <row r="18" spans="1:20" s="28" customFormat="1" x14ac:dyDescent="0.25">
      <c r="A18" s="137" t="s">
        <v>20</v>
      </c>
      <c r="B18" s="128"/>
      <c r="C18" s="94"/>
      <c r="D18" s="69"/>
      <c r="E18" s="65"/>
      <c r="F18" s="65"/>
      <c r="G18" s="20"/>
      <c r="H18" s="69"/>
      <c r="I18" s="65"/>
      <c r="J18" s="65"/>
      <c r="K18" s="75"/>
      <c r="L18" s="69"/>
      <c r="M18" s="65"/>
      <c r="N18" s="75"/>
      <c r="O18" s="69"/>
      <c r="P18" s="65"/>
      <c r="Q18" s="65"/>
      <c r="R18" s="65"/>
      <c r="S18" s="75"/>
      <c r="T18" s="168"/>
    </row>
    <row r="19" spans="1:20" ht="25.5" x14ac:dyDescent="0.25">
      <c r="A19" s="134" t="s">
        <v>21</v>
      </c>
      <c r="B19" s="8">
        <f>'2022'!B20</f>
        <v>22</v>
      </c>
      <c r="C19" s="91">
        <v>8</v>
      </c>
      <c r="D19" s="58">
        <f>D12</f>
        <v>21</v>
      </c>
      <c r="E19" s="9">
        <f t="shared" ref="E19:F19" si="6">E12</f>
        <v>20</v>
      </c>
      <c r="F19" s="9">
        <f t="shared" si="6"/>
        <v>23</v>
      </c>
      <c r="G19" s="74">
        <f>ROUND((B19*$G$3*C19*D19),2)+ROUND((B19*$G$3*C19*E19),2)+ROUND((B19*$G$3*C19*F19),2)</f>
        <v>50688</v>
      </c>
      <c r="H19" s="58">
        <f>H12</f>
        <v>18</v>
      </c>
      <c r="I19" s="9">
        <f t="shared" ref="I19:J19" si="7">I12</f>
        <v>21</v>
      </c>
      <c r="J19" s="9">
        <f t="shared" si="7"/>
        <v>21</v>
      </c>
      <c r="K19" s="74">
        <f>ROUND((B19*$G$3*C19*H19),2)+ROUND((B19*$G$3*C19*I19),2)+ROUND((B19*$G$3*C19*J19),2)-ROUND((SUM(H7:J7)*G3*B19),2)</f>
        <v>47223</v>
      </c>
      <c r="L19" s="58">
        <f>L12</f>
        <v>21</v>
      </c>
      <c r="M19" s="9">
        <f>M12</f>
        <v>23</v>
      </c>
      <c r="N19" s="74">
        <f>ROUND((B19*$G$3*C19*L19),2)+ROUND((B19*$G$3*C19*M19),2)</f>
        <v>34848</v>
      </c>
      <c r="O19" s="58">
        <f>O12</f>
        <v>21</v>
      </c>
      <c r="P19" s="9">
        <f t="shared" ref="P19:R19" si="8">P12</f>
        <v>22</v>
      </c>
      <c r="Q19" s="9">
        <f t="shared" si="8"/>
        <v>21</v>
      </c>
      <c r="R19" s="9">
        <f t="shared" si="8"/>
        <v>19</v>
      </c>
      <c r="S19" s="74">
        <f>ROUND((B19*$G$3*C19*O19),2)+ROUND((B19*$G$3*C19*P19),2)+ROUND((B19*$G$3*C19*Q19),2)+ROUND((B19*$G$3*C19*R19),2)-ROUND((SUM(O7:R7)*G3*B19),2)</f>
        <v>65637</v>
      </c>
      <c r="T19" s="99">
        <f t="shared" si="2"/>
        <v>198396</v>
      </c>
    </row>
    <row r="20" spans="1:20" x14ac:dyDescent="0.25">
      <c r="A20" s="135" t="s">
        <v>15</v>
      </c>
      <c r="B20" s="8">
        <f>'2022'!B21</f>
        <v>3</v>
      </c>
      <c r="C20" s="91">
        <v>8</v>
      </c>
      <c r="D20" s="58">
        <f t="shared" ref="D20:F23" si="9">D13</f>
        <v>17</v>
      </c>
      <c r="E20" s="9">
        <f t="shared" si="9"/>
        <v>15</v>
      </c>
      <c r="F20" s="9">
        <f t="shared" si="9"/>
        <v>18</v>
      </c>
      <c r="G20" s="74">
        <f>ROUND((B20*$G$3*C20*D20),2)+ROUND((B20*$G$3*C20*E20),2)+ROUND((B20*$G$3*C20*F20),2)</f>
        <v>5400</v>
      </c>
      <c r="H20" s="58">
        <f t="shared" ref="H20:J23" si="10">H13</f>
        <v>18</v>
      </c>
      <c r="I20" s="9">
        <f t="shared" si="10"/>
        <v>21</v>
      </c>
      <c r="J20" s="9">
        <f t="shared" si="10"/>
        <v>0</v>
      </c>
      <c r="K20" s="74">
        <f>ROUND((B20*$G$3*C20*H20),2)+ROUND((B20*$G$3*C20*I20),2)+ROUND((B20*$G$3*C20*J20),2)-ROUND((SUM(H7:I7)*G3*B20),2)</f>
        <v>4185</v>
      </c>
      <c r="L20" s="58">
        <f t="shared" ref="L20:M23" si="11">L13</f>
        <v>0</v>
      </c>
      <c r="M20" s="9">
        <f t="shared" si="11"/>
        <v>0</v>
      </c>
      <c r="N20" s="74">
        <f>ROUND((B20*$G$3*C20*L20),2)+ROUND((B20*$G$3*C20*M20),2)</f>
        <v>0</v>
      </c>
      <c r="O20" s="58">
        <f t="shared" ref="O20:R23" si="12">O13</f>
        <v>21</v>
      </c>
      <c r="P20" s="9">
        <f t="shared" si="12"/>
        <v>17</v>
      </c>
      <c r="Q20" s="9">
        <f t="shared" si="12"/>
        <v>21</v>
      </c>
      <c r="R20" s="9">
        <f t="shared" si="12"/>
        <v>16</v>
      </c>
      <c r="S20" s="74">
        <f>ROUND((B20*$G$3*C20*O20),2)+ROUND((B20*$G$3*C20*P20),2)+ROUND((B20*$G$3*C20*Q20),2)+ROUND((B20*$G$3*C20*R20),2)-ROUND((SUM(O7:Q7)*G3*B20),2)</f>
        <v>8086.5</v>
      </c>
      <c r="T20" s="99">
        <f t="shared" si="2"/>
        <v>17671.5</v>
      </c>
    </row>
    <row r="21" spans="1:20" ht="30" x14ac:dyDescent="0.25">
      <c r="A21" s="135" t="s">
        <v>16</v>
      </c>
      <c r="B21" s="8">
        <f>'2022'!B22</f>
        <v>15</v>
      </c>
      <c r="C21" s="91">
        <v>8</v>
      </c>
      <c r="D21" s="58">
        <f t="shared" si="9"/>
        <v>17</v>
      </c>
      <c r="E21" s="9">
        <f t="shared" si="9"/>
        <v>20</v>
      </c>
      <c r="F21" s="9">
        <f t="shared" si="9"/>
        <v>18</v>
      </c>
      <c r="G21" s="74">
        <f>ROUND((B21*$G$3*C21*D21),2)+ROUND((B21*$G$3*C21*E21),2)+ROUND((B21*$G$3*C21*F21),2)</f>
        <v>29700</v>
      </c>
      <c r="H21" s="58">
        <f t="shared" si="10"/>
        <v>18</v>
      </c>
      <c r="I21" s="9">
        <f t="shared" si="10"/>
        <v>21</v>
      </c>
      <c r="J21" s="9">
        <f t="shared" si="10"/>
        <v>0</v>
      </c>
      <c r="K21" s="74">
        <f>ROUND((B21*$G$3*C21*H21),2)+ROUND((B21*$G$3*C21*I21),2)+ROUND((B21*$G$3*C21*J21),2)-ROUND((SUM(H7:I7)*G3*B21),2)</f>
        <v>20925</v>
      </c>
      <c r="L21" s="58">
        <f t="shared" si="11"/>
        <v>0</v>
      </c>
      <c r="M21" s="9">
        <f t="shared" si="11"/>
        <v>0</v>
      </c>
      <c r="N21" s="74">
        <f>ROUND((B21*$G$3*C21*L21),2)+ROUND((B21*$G$3*C21*M21),2)</f>
        <v>0</v>
      </c>
      <c r="O21" s="58">
        <f t="shared" si="12"/>
        <v>21</v>
      </c>
      <c r="P21" s="9">
        <f t="shared" si="12"/>
        <v>17</v>
      </c>
      <c r="Q21" s="9">
        <f t="shared" si="12"/>
        <v>21</v>
      </c>
      <c r="R21" s="9">
        <f t="shared" si="12"/>
        <v>16</v>
      </c>
      <c r="S21" s="74">
        <f>ROUND((B21*$G$3*C21*O21),2)+ROUND((B21*$G$3*C21*P21),2)+ROUND((B21*$G$3*C21*Q21),2)+ROUND((B21*$G$3*C21*R21),2)-ROUND((SUM(O7:Q7)*G3*B21),2)</f>
        <v>40432.5</v>
      </c>
      <c r="T21" s="99">
        <f t="shared" si="2"/>
        <v>91057.5</v>
      </c>
    </row>
    <row r="22" spans="1:20" x14ac:dyDescent="0.25">
      <c r="A22" s="135" t="s">
        <v>17</v>
      </c>
      <c r="B22" s="3"/>
      <c r="C22" s="91">
        <v>8</v>
      </c>
      <c r="D22" s="58">
        <f t="shared" si="9"/>
        <v>17</v>
      </c>
      <c r="E22" s="9">
        <f t="shared" si="9"/>
        <v>20</v>
      </c>
      <c r="F22" s="9">
        <f t="shared" si="9"/>
        <v>18</v>
      </c>
      <c r="G22" s="74">
        <f>ROUND((B22*$G$3*C22*D22),2)+ROUND((B22*$G$3*C22*E22),2)+ROUND((B22*$G$3*C22*F22),2)</f>
        <v>0</v>
      </c>
      <c r="H22" s="58">
        <f t="shared" si="10"/>
        <v>18</v>
      </c>
      <c r="I22" s="9">
        <f t="shared" si="10"/>
        <v>21</v>
      </c>
      <c r="J22" s="9">
        <f t="shared" si="10"/>
        <v>7</v>
      </c>
      <c r="K22" s="74">
        <f>ROUND((B22*$G$3*C22*H22),2)+ROUND((B22*$G$3*C22*I22),2)+ROUND((B22*$G$3*C22*J22),2)</f>
        <v>0</v>
      </c>
      <c r="L22" s="58">
        <f t="shared" si="11"/>
        <v>0</v>
      </c>
      <c r="M22" s="9">
        <f t="shared" si="11"/>
        <v>0</v>
      </c>
      <c r="N22" s="74">
        <f>ROUND((B22*$G$3*C22*L22),2)+ROUND((B22*$G$3*C22*M22),2)</f>
        <v>0</v>
      </c>
      <c r="O22" s="58">
        <f t="shared" si="12"/>
        <v>21</v>
      </c>
      <c r="P22" s="9">
        <f t="shared" si="12"/>
        <v>17</v>
      </c>
      <c r="Q22" s="9">
        <f t="shared" si="12"/>
        <v>21</v>
      </c>
      <c r="R22" s="9">
        <f t="shared" si="12"/>
        <v>16</v>
      </c>
      <c r="S22" s="74">
        <f>ROUND((B22*$G$3*C22*O22),2)+ROUND((B22*$G$3*C22*P22),2)+ROUND((B22*$G$3*C22*Q22),2)+ROUND((B22*$G$3*C22*R22),2)</f>
        <v>0</v>
      </c>
      <c r="T22" s="99">
        <f t="shared" si="2"/>
        <v>0</v>
      </c>
    </row>
    <row r="23" spans="1:20" ht="15.75" thickBot="1" x14ac:dyDescent="0.3">
      <c r="A23" s="138" t="s">
        <v>18</v>
      </c>
      <c r="B23" s="139"/>
      <c r="C23" s="61">
        <v>8</v>
      </c>
      <c r="D23" s="59">
        <f t="shared" si="9"/>
        <v>17</v>
      </c>
      <c r="E23" s="71">
        <f t="shared" si="9"/>
        <v>20</v>
      </c>
      <c r="F23" s="71">
        <f t="shared" si="9"/>
        <v>18</v>
      </c>
      <c r="G23" s="76">
        <f>ROUND((B23*$G$3*C23*D23),2)+ROUND((B23*$G$3*C23*E23),2)+ROUND((B23*$G$3*C23*F23),2)</f>
        <v>0</v>
      </c>
      <c r="H23" s="59">
        <f t="shared" si="10"/>
        <v>18</v>
      </c>
      <c r="I23" s="71">
        <f t="shared" si="10"/>
        <v>21</v>
      </c>
      <c r="J23" s="71">
        <f>J16</f>
        <v>12</v>
      </c>
      <c r="K23" s="76">
        <f>ROUND((B23*$G$3*C23*H23),2)+ROUND((B23*$G$3*C23*I23),2)+ROUND((B23*$G$3*C23*J23),2)</f>
        <v>0</v>
      </c>
      <c r="L23" s="59">
        <f t="shared" si="11"/>
        <v>0</v>
      </c>
      <c r="M23" s="71">
        <f t="shared" si="11"/>
        <v>0</v>
      </c>
      <c r="N23" s="76">
        <f>ROUND((B23*$G$3*C23*L23),2)+ROUND((B23*$G$3*C23*M23),2)</f>
        <v>0</v>
      </c>
      <c r="O23" s="59">
        <f t="shared" si="12"/>
        <v>21</v>
      </c>
      <c r="P23" s="71">
        <f t="shared" si="12"/>
        <v>17</v>
      </c>
      <c r="Q23" s="71">
        <f t="shared" si="12"/>
        <v>21</v>
      </c>
      <c r="R23" s="71">
        <f t="shared" si="12"/>
        <v>16</v>
      </c>
      <c r="S23" s="76">
        <f>ROUND((B23*$G$3*C23*O23),2)+ROUND((B23*$G$3*C23*P23),2)+ROUND((B23*$G$3*C23*Q23),2)+ROUND((B23*$G$3*C23*R23),2)</f>
        <v>0</v>
      </c>
      <c r="T23" s="99">
        <f t="shared" si="2"/>
        <v>0</v>
      </c>
    </row>
    <row r="24" spans="1:20" ht="19.5" thickBot="1" x14ac:dyDescent="0.35">
      <c r="B24" s="11">
        <f>SUM(B12:B23)</f>
        <v>392</v>
      </c>
      <c r="G24" s="12">
        <f>SUM(G12:G23)</f>
        <v>806616</v>
      </c>
      <c r="K24" s="12">
        <f>SUM(K12:K23)</f>
        <v>636579</v>
      </c>
      <c r="N24" s="12">
        <f>SUM(N12:N23)</f>
        <v>180576</v>
      </c>
      <c r="S24" s="12">
        <f>SUM(S12:S23)</f>
        <v>1089468</v>
      </c>
      <c r="T24" s="103">
        <f>SUM(T12:T23)</f>
        <v>2713239</v>
      </c>
    </row>
    <row r="25" spans="1:20" ht="18.75" x14ac:dyDescent="0.3">
      <c r="B25" s="11"/>
      <c r="G25" s="12"/>
      <c r="K25" s="12"/>
      <c r="N25" s="12"/>
      <c r="S25" s="12"/>
      <c r="T25" s="13"/>
    </row>
    <row r="26" spans="1:20" ht="96.75" customHeight="1" x14ac:dyDescent="0.25">
      <c r="N26" s="36"/>
      <c r="O26" s="26" t="s">
        <v>30</v>
      </c>
      <c r="P26" s="26" t="s">
        <v>29</v>
      </c>
      <c r="Q26" s="26" t="s">
        <v>32</v>
      </c>
      <c r="R26" s="26" t="s">
        <v>33</v>
      </c>
      <c r="S26" s="26" t="s">
        <v>34</v>
      </c>
      <c r="T26" s="26" t="s">
        <v>31</v>
      </c>
    </row>
    <row r="27" spans="1:20" x14ac:dyDescent="0.25">
      <c r="N27" s="37"/>
      <c r="O27" s="145">
        <v>1</v>
      </c>
      <c r="P27" s="145">
        <v>2</v>
      </c>
      <c r="Q27" s="145">
        <v>3</v>
      </c>
      <c r="R27" s="145">
        <v>4</v>
      </c>
      <c r="S27" s="9" t="s">
        <v>58</v>
      </c>
      <c r="T27" s="45" t="s">
        <v>59</v>
      </c>
    </row>
    <row r="28" spans="1:20" ht="30" x14ac:dyDescent="0.25">
      <c r="B28" s="17"/>
      <c r="C28" s="104"/>
      <c r="D28" s="47"/>
      <c r="E28" s="47"/>
      <c r="F28" s="47"/>
      <c r="N28" s="49" t="s">
        <v>36</v>
      </c>
      <c r="O28" s="148">
        <v>1031876</v>
      </c>
      <c r="P28" s="173">
        <f>T24</f>
        <v>2713239</v>
      </c>
      <c r="Q28" s="121">
        <f>O28-P28</f>
        <v>-1681363</v>
      </c>
      <c r="R28" s="146">
        <v>0.75</v>
      </c>
      <c r="S28" s="45">
        <f>P28*R28</f>
        <v>2034929.25</v>
      </c>
      <c r="T28" s="147">
        <f>O28-S28</f>
        <v>-1003053.25</v>
      </c>
    </row>
    <row r="29" spans="1:20" x14ac:dyDescent="0.25">
      <c r="B29" s="105"/>
      <c r="C29" s="106"/>
      <c r="D29" s="107"/>
      <c r="E29" s="107"/>
      <c r="F29" s="107"/>
    </row>
    <row r="30" spans="1:20" x14ac:dyDescent="0.25">
      <c r="B30" s="24"/>
      <c r="C30" s="108"/>
      <c r="D30" s="107"/>
      <c r="E30" s="107"/>
      <c r="F30" s="107"/>
    </row>
    <row r="31" spans="1:20" x14ac:dyDescent="0.25">
      <c r="B31" s="24"/>
      <c r="C31" s="108"/>
      <c r="D31" s="107"/>
      <c r="E31" s="107"/>
      <c r="F31" s="107"/>
    </row>
    <row r="32" spans="1:20" x14ac:dyDescent="0.25">
      <c r="B32" s="24"/>
      <c r="C32" s="109"/>
      <c r="D32" s="110"/>
      <c r="E32" s="111"/>
      <c r="F32" s="111"/>
      <c r="G32" s="13"/>
      <c r="H32" s="52"/>
      <c r="I32" s="27"/>
      <c r="J32" s="24"/>
      <c r="K32" s="24"/>
    </row>
    <row r="33" spans="2:17" x14ac:dyDescent="0.25">
      <c r="B33" s="24"/>
      <c r="C33" s="106"/>
      <c r="D33" s="107"/>
      <c r="E33" s="107"/>
      <c r="F33" s="107"/>
      <c r="H33" s="52"/>
      <c r="I33" s="27"/>
      <c r="J33" s="24"/>
      <c r="K33" s="24"/>
    </row>
    <row r="34" spans="2:17" x14ac:dyDescent="0.25">
      <c r="B34" s="24"/>
      <c r="C34" s="108"/>
      <c r="D34" s="107"/>
      <c r="E34" s="107"/>
      <c r="F34" s="107"/>
      <c r="H34" s="52"/>
      <c r="I34" s="27"/>
      <c r="J34" s="24"/>
      <c r="K34" s="24"/>
    </row>
    <row r="35" spans="2:17" x14ac:dyDescent="0.25">
      <c r="B35" s="24"/>
      <c r="C35" s="108"/>
      <c r="D35" s="107"/>
      <c r="E35" s="107"/>
      <c r="F35" s="107"/>
      <c r="H35" s="52"/>
      <c r="I35" s="27"/>
      <c r="J35" s="24"/>
      <c r="K35" s="24"/>
    </row>
    <row r="36" spans="2:17" x14ac:dyDescent="0.25">
      <c r="B36" s="24"/>
      <c r="C36" s="109"/>
      <c r="D36" s="111"/>
      <c r="E36" s="111"/>
      <c r="F36" s="111"/>
      <c r="G36" s="13"/>
      <c r="H36" s="52"/>
      <c r="I36" s="27"/>
      <c r="J36" s="24"/>
      <c r="K36" s="24"/>
    </row>
    <row r="37" spans="2:17" x14ac:dyDescent="0.25">
      <c r="B37" s="24"/>
      <c r="C37" s="106"/>
      <c r="D37" s="107"/>
      <c r="E37" s="107"/>
      <c r="F37" s="107"/>
      <c r="H37" s="52"/>
      <c r="I37" s="27"/>
      <c r="J37" s="24"/>
      <c r="K37" s="24"/>
    </row>
    <row r="38" spans="2:17" x14ac:dyDescent="0.25">
      <c r="B38" s="24"/>
      <c r="C38" s="108"/>
      <c r="D38" s="107"/>
      <c r="E38" s="107"/>
      <c r="F38" s="107"/>
      <c r="H38" s="52"/>
      <c r="I38" s="27"/>
      <c r="J38" s="24"/>
      <c r="K38" s="24"/>
    </row>
    <row r="39" spans="2:17" x14ac:dyDescent="0.25">
      <c r="B39" s="24"/>
      <c r="C39" s="108"/>
      <c r="D39" s="107"/>
      <c r="E39" s="107"/>
      <c r="F39" s="107"/>
      <c r="H39" s="52"/>
      <c r="I39" s="27"/>
      <c r="J39" s="24"/>
      <c r="K39" s="24"/>
    </row>
    <row r="40" spans="2:17" x14ac:dyDescent="0.25">
      <c r="B40" s="24"/>
      <c r="C40" s="109"/>
      <c r="D40" s="111"/>
      <c r="E40" s="111"/>
      <c r="F40" s="111"/>
      <c r="G40" s="13"/>
      <c r="H40" s="52"/>
      <c r="I40" s="27"/>
      <c r="J40" s="24"/>
      <c r="K40" s="24"/>
    </row>
    <row r="41" spans="2:17" x14ac:dyDescent="0.25">
      <c r="B41" s="24"/>
      <c r="C41" s="106"/>
      <c r="D41" s="107"/>
      <c r="E41" s="107"/>
      <c r="F41" s="107"/>
    </row>
    <row r="42" spans="2:17" ht="46.5" customHeight="1" x14ac:dyDescent="0.25">
      <c r="B42" s="24"/>
      <c r="C42" s="108"/>
      <c r="D42" s="107"/>
      <c r="E42" s="107"/>
      <c r="F42" s="107"/>
      <c r="I42" s="15"/>
      <c r="J42" s="31"/>
      <c r="K42" s="31"/>
      <c r="L42" s="15"/>
      <c r="M42" s="31"/>
      <c r="N42" s="31"/>
      <c r="P42" s="29"/>
      <c r="Q42" s="29"/>
    </row>
    <row r="43" spans="2:17" ht="18.75" x14ac:dyDescent="0.3">
      <c r="B43" s="24"/>
      <c r="C43" s="108"/>
      <c r="D43" s="107"/>
      <c r="E43" s="107"/>
      <c r="F43" s="107"/>
      <c r="I43" s="16"/>
      <c r="J43" s="32"/>
      <c r="K43" s="32"/>
      <c r="L43" s="32"/>
      <c r="M43" s="32"/>
      <c r="N43" s="39"/>
      <c r="O43" s="15"/>
      <c r="P43" s="15"/>
      <c r="Q43" s="15"/>
    </row>
    <row r="44" spans="2:17" x14ac:dyDescent="0.25">
      <c r="B44" s="24"/>
      <c r="C44" s="109"/>
      <c r="D44" s="111"/>
      <c r="E44" s="111"/>
      <c r="F44" s="111"/>
      <c r="G44" s="13"/>
      <c r="I44" s="17"/>
      <c r="J44" s="33"/>
      <c r="K44" s="32"/>
      <c r="L44" s="41"/>
      <c r="M44" s="40"/>
      <c r="N44" s="42"/>
      <c r="O44" s="18"/>
      <c r="P44" s="15"/>
      <c r="Q44" s="15"/>
    </row>
    <row r="45" spans="2:17" x14ac:dyDescent="0.25">
      <c r="B45" s="24"/>
      <c r="C45" s="106"/>
      <c r="D45" s="107"/>
      <c r="E45" s="107"/>
      <c r="F45" s="112"/>
      <c r="I45" s="19"/>
      <c r="J45" s="34"/>
      <c r="K45" s="32"/>
      <c r="L45" s="41"/>
      <c r="M45" s="43"/>
      <c r="N45" s="42"/>
      <c r="O45" s="18"/>
      <c r="P45" s="30"/>
      <c r="Q45" s="15"/>
    </row>
    <row r="46" spans="2:17" x14ac:dyDescent="0.25">
      <c r="B46" s="24"/>
      <c r="C46" s="108"/>
      <c r="D46" s="107"/>
      <c r="E46" s="107"/>
      <c r="F46" s="112"/>
      <c r="I46" s="19"/>
      <c r="J46" s="35"/>
      <c r="K46" s="32"/>
      <c r="L46" s="41"/>
      <c r="M46" s="44"/>
      <c r="N46" s="42"/>
      <c r="O46" s="18"/>
      <c r="P46" s="30"/>
      <c r="Q46" s="15"/>
    </row>
    <row r="47" spans="2:17" ht="60.75" customHeight="1" x14ac:dyDescent="0.25">
      <c r="B47" s="24"/>
      <c r="C47" s="108"/>
      <c r="D47" s="107"/>
      <c r="E47" s="107"/>
      <c r="F47" s="112"/>
      <c r="I47" s="19"/>
      <c r="N47" s="42"/>
      <c r="O47" s="18"/>
      <c r="P47" s="30"/>
      <c r="Q47" s="30"/>
    </row>
    <row r="48" spans="2:17" ht="32.25" customHeight="1" x14ac:dyDescent="0.25">
      <c r="B48" s="24"/>
      <c r="C48" s="109"/>
      <c r="D48" s="107"/>
      <c r="E48" s="107"/>
      <c r="F48" s="112"/>
      <c r="H48" s="29"/>
      <c r="I48" s="19"/>
      <c r="N48" s="42"/>
      <c r="O48" s="18"/>
    </row>
    <row r="49" spans="2:15" ht="15.75" x14ac:dyDescent="0.25">
      <c r="B49" s="24"/>
      <c r="C49" s="24"/>
      <c r="D49" s="113"/>
      <c r="E49" s="114"/>
      <c r="F49" s="113"/>
      <c r="G49" s="21"/>
      <c r="H49" s="115"/>
      <c r="I49" s="19"/>
      <c r="N49" s="42"/>
      <c r="O49" s="18"/>
    </row>
    <row r="50" spans="2:15" x14ac:dyDescent="0.25">
      <c r="D50" s="21"/>
      <c r="E50" s="22"/>
      <c r="F50" s="21"/>
      <c r="G50" s="21"/>
      <c r="H50" s="15"/>
      <c r="I50" s="19"/>
    </row>
    <row r="51" spans="2:15" x14ac:dyDescent="0.25">
      <c r="D51" s="21"/>
      <c r="E51" s="22"/>
      <c r="F51" s="21"/>
      <c r="G51" s="21"/>
      <c r="I51" s="19"/>
      <c r="N51" s="23"/>
    </row>
  </sheetData>
  <mergeCells count="8">
    <mergeCell ref="A1:S1"/>
    <mergeCell ref="A2:T2"/>
    <mergeCell ref="A3:F3"/>
    <mergeCell ref="D5:R5"/>
    <mergeCell ref="D9:F9"/>
    <mergeCell ref="H9:J9"/>
    <mergeCell ref="L9:M9"/>
    <mergeCell ref="O9:R9"/>
  </mergeCells>
  <pageMargins left="0.51181102362204722" right="0.51181102362204722" top="0.55118110236220474" bottom="0.55118110236220474" header="0.31496062992125984" footer="0.31496062992125984"/>
  <pageSetup paperSize="8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sqref="A1:S1"/>
    </sheetView>
  </sheetViews>
  <sheetFormatPr defaultRowHeight="15" x14ac:dyDescent="0.25"/>
  <cols>
    <col min="1" max="1" width="11.42578125" customWidth="1"/>
    <col min="2" max="2" width="9.140625" customWidth="1"/>
    <col min="3" max="3" width="7.85546875" customWidth="1"/>
    <col min="4" max="4" width="12.140625" customWidth="1"/>
    <col min="5" max="5" width="11" customWidth="1"/>
    <col min="6" max="6" width="12.7109375" customWidth="1"/>
    <col min="7" max="7" width="13.42578125" customWidth="1"/>
    <col min="8" max="8" width="13" customWidth="1"/>
    <col min="9" max="9" width="8.85546875" customWidth="1"/>
    <col min="10" max="10" width="12" customWidth="1"/>
    <col min="11" max="11" width="14" customWidth="1"/>
    <col min="12" max="12" width="10" customWidth="1"/>
    <col min="13" max="13" width="11.85546875" customWidth="1"/>
    <col min="14" max="14" width="14" customWidth="1"/>
    <col min="15" max="15" width="13.7109375" customWidth="1"/>
    <col min="16" max="16" width="11.140625" customWidth="1"/>
    <col min="17" max="17" width="12.85546875" customWidth="1"/>
    <col min="18" max="18" width="10.7109375" customWidth="1"/>
    <col min="19" max="19" width="14.5703125" customWidth="1"/>
    <col min="20" max="20" width="12.140625" customWidth="1"/>
  </cols>
  <sheetData>
    <row r="1" spans="1:20" ht="21" x14ac:dyDescent="0.35">
      <c r="A1" s="197" t="s">
        <v>47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20" ht="15.75" x14ac:dyDescent="0.2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</row>
    <row r="3" spans="1:20" ht="15.75" x14ac:dyDescent="0.25">
      <c r="A3" s="203" t="s">
        <v>60</v>
      </c>
      <c r="B3" s="203"/>
      <c r="C3" s="203"/>
      <c r="D3" s="203"/>
      <c r="E3" s="203"/>
      <c r="F3" s="203"/>
      <c r="G3" s="126">
        <v>4.5</v>
      </c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</row>
    <row r="4" spans="1:20" ht="15.75" x14ac:dyDescent="0.25">
      <c r="A4" s="180"/>
      <c r="B4" s="180"/>
      <c r="C4" s="180"/>
      <c r="D4" s="180"/>
      <c r="E4" s="180"/>
      <c r="F4" s="180"/>
      <c r="G4" s="181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</row>
    <row r="5" spans="1:20" ht="15.75" x14ac:dyDescent="0.25">
      <c r="A5" s="180"/>
      <c r="B5" s="180"/>
      <c r="C5" s="180"/>
      <c r="D5" s="205" t="s">
        <v>71</v>
      </c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150"/>
      <c r="T5" s="150"/>
    </row>
    <row r="6" spans="1:20" ht="15.75" x14ac:dyDescent="0.25">
      <c r="A6" s="180"/>
      <c r="B6" s="180"/>
      <c r="C6" s="180"/>
      <c r="D6" s="184" t="s">
        <v>23</v>
      </c>
      <c r="E6" s="184" t="s">
        <v>24</v>
      </c>
      <c r="F6" s="184" t="s">
        <v>25</v>
      </c>
      <c r="G6" s="181"/>
      <c r="H6" s="185" t="s">
        <v>26</v>
      </c>
      <c r="I6" s="185" t="s">
        <v>27</v>
      </c>
      <c r="J6" s="185" t="s">
        <v>28</v>
      </c>
      <c r="K6" s="179"/>
      <c r="L6" s="185" t="s">
        <v>72</v>
      </c>
      <c r="M6" s="185" t="s">
        <v>73</v>
      </c>
      <c r="N6" s="179"/>
      <c r="O6" s="185" t="s">
        <v>74</v>
      </c>
      <c r="P6" s="185" t="s">
        <v>75</v>
      </c>
      <c r="Q6" s="185" t="s">
        <v>69</v>
      </c>
      <c r="R6" s="185" t="s">
        <v>70</v>
      </c>
      <c r="S6" s="150"/>
      <c r="T6" s="150"/>
    </row>
    <row r="7" spans="1:20" ht="15.75" x14ac:dyDescent="0.25">
      <c r="A7" s="180"/>
      <c r="B7" s="180"/>
      <c r="C7" s="180"/>
      <c r="D7" s="182"/>
      <c r="E7" s="182"/>
      <c r="F7" s="186">
        <v>1</v>
      </c>
      <c r="G7" s="181"/>
      <c r="H7" s="178">
        <v>1</v>
      </c>
      <c r="I7" s="178">
        <v>1</v>
      </c>
      <c r="J7" s="178"/>
      <c r="K7" s="179"/>
      <c r="L7" s="178"/>
      <c r="M7" s="178"/>
      <c r="N7" s="179"/>
      <c r="O7" s="178"/>
      <c r="P7" s="178"/>
      <c r="Q7" s="178"/>
      <c r="R7" s="178">
        <v>2</v>
      </c>
      <c r="S7" s="150"/>
      <c r="T7" s="150"/>
    </row>
    <row r="8" spans="1:20" ht="15.75" x14ac:dyDescent="0.25">
      <c r="A8" s="180"/>
      <c r="B8" s="180"/>
      <c r="C8" s="180"/>
      <c r="D8" s="180"/>
      <c r="E8" s="180"/>
      <c r="F8" s="215"/>
      <c r="G8" s="181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3"/>
      <c r="T8" s="193"/>
    </row>
    <row r="9" spans="1:20" ht="15" customHeight="1" thickBot="1" x14ac:dyDescent="0.3">
      <c r="D9" s="205" t="s">
        <v>82</v>
      </c>
      <c r="E9" s="205"/>
      <c r="F9" s="205"/>
      <c r="H9" s="205" t="s">
        <v>82</v>
      </c>
      <c r="I9" s="205"/>
      <c r="J9" s="205"/>
      <c r="L9" s="205" t="s">
        <v>82</v>
      </c>
      <c r="M9" s="205"/>
      <c r="O9" s="205" t="s">
        <v>82</v>
      </c>
      <c r="P9" s="205"/>
      <c r="Q9" s="205"/>
      <c r="R9" s="205"/>
    </row>
    <row r="10" spans="1:20" ht="82.5" customHeight="1" x14ac:dyDescent="0.25">
      <c r="A10" s="55" t="s">
        <v>55</v>
      </c>
      <c r="B10" s="60" t="s">
        <v>56</v>
      </c>
      <c r="C10" s="160" t="s">
        <v>0</v>
      </c>
      <c r="D10" s="209" t="s">
        <v>1</v>
      </c>
      <c r="E10" s="209" t="s">
        <v>2</v>
      </c>
      <c r="F10" s="209" t="s">
        <v>3</v>
      </c>
      <c r="G10" s="60" t="s">
        <v>65</v>
      </c>
      <c r="H10" s="208" t="s">
        <v>5</v>
      </c>
      <c r="I10" s="209" t="s">
        <v>6</v>
      </c>
      <c r="J10" s="209" t="s">
        <v>7</v>
      </c>
      <c r="K10" s="60" t="s">
        <v>66</v>
      </c>
      <c r="L10" s="208" t="s">
        <v>8</v>
      </c>
      <c r="M10" s="209" t="s">
        <v>9</v>
      </c>
      <c r="N10" s="60" t="s">
        <v>67</v>
      </c>
      <c r="O10" s="210" t="s">
        <v>10</v>
      </c>
      <c r="P10" s="211" t="s">
        <v>11</v>
      </c>
      <c r="Q10" s="211" t="s">
        <v>12</v>
      </c>
      <c r="R10" s="211" t="s">
        <v>13</v>
      </c>
      <c r="S10" s="60" t="s">
        <v>68</v>
      </c>
      <c r="T10" s="165" t="s">
        <v>4</v>
      </c>
    </row>
    <row r="11" spans="1:20" ht="17.25" customHeight="1" thickBot="1" x14ac:dyDescent="0.3">
      <c r="A11" s="59" t="s">
        <v>57</v>
      </c>
      <c r="B11" s="142">
        <v>1</v>
      </c>
      <c r="C11" s="56">
        <v>2</v>
      </c>
      <c r="D11" s="71">
        <v>3</v>
      </c>
      <c r="E11" s="4">
        <v>4</v>
      </c>
      <c r="F11" s="71">
        <v>5</v>
      </c>
      <c r="G11" s="87">
        <v>6</v>
      </c>
      <c r="H11" s="59">
        <v>7</v>
      </c>
      <c r="I11" s="4">
        <v>8</v>
      </c>
      <c r="J11" s="71">
        <v>9</v>
      </c>
      <c r="K11" s="87">
        <v>10</v>
      </c>
      <c r="L11" s="59">
        <v>11</v>
      </c>
      <c r="M11" s="4">
        <v>12</v>
      </c>
      <c r="N11" s="142">
        <v>13</v>
      </c>
      <c r="O11" s="56">
        <v>14</v>
      </c>
      <c r="P11" s="71">
        <v>15</v>
      </c>
      <c r="Q11" s="4">
        <v>16</v>
      </c>
      <c r="R11" s="71">
        <v>17</v>
      </c>
      <c r="S11" s="87">
        <v>18</v>
      </c>
      <c r="T11" s="166">
        <v>19</v>
      </c>
    </row>
    <row r="12" spans="1:20" ht="25.5" x14ac:dyDescent="0.25">
      <c r="A12" s="140" t="s">
        <v>14</v>
      </c>
      <c r="B12" s="154">
        <f>'2022'!B13</f>
        <v>88</v>
      </c>
      <c r="C12" s="161">
        <v>8</v>
      </c>
      <c r="D12" s="5">
        <v>22</v>
      </c>
      <c r="E12" s="5">
        <v>21</v>
      </c>
      <c r="F12" s="5">
        <v>20</v>
      </c>
      <c r="G12" s="62">
        <f>ROUND((B12*$G$3*C12*D12),2)+ROUND((B12*$G$3*C12*E12),2)+ROUND((B12*$G$3*C12*F12),2)-ROUND((SUM(D7:F7)*G3*B12),2)</f>
        <v>199188</v>
      </c>
      <c r="H12" s="57">
        <v>21</v>
      </c>
      <c r="I12" s="5">
        <v>21</v>
      </c>
      <c r="J12" s="5">
        <v>19</v>
      </c>
      <c r="K12" s="62">
        <f>ROUND((B12*$G$3*C12*H12),2)+ROUND((B12*$G$3*C12*I12),2)+ROUND((B12*$G$3*C12*J12),2)-ROUND((SUM(H7:J7)*G3*B12),2)</f>
        <v>192456</v>
      </c>
      <c r="L12" s="57">
        <v>23</v>
      </c>
      <c r="M12" s="5">
        <v>22</v>
      </c>
      <c r="N12" s="62">
        <f t="shared" ref="N12:N17" si="0">ROUND((B12*$G$3*C12*L12),2)+ROUND((B12*$G$3*C12*M12),2)</f>
        <v>142560</v>
      </c>
      <c r="O12" s="57">
        <v>21</v>
      </c>
      <c r="P12" s="5">
        <v>23</v>
      </c>
      <c r="Q12" s="5">
        <v>20</v>
      </c>
      <c r="R12" s="5">
        <v>18</v>
      </c>
      <c r="S12" s="62">
        <f>ROUND((B12*$G$3*C12*O12),2)+ROUND((B12*$G$3*C12*P12),2)+ROUND((B12*$G$3*C12*Q12),2)+ROUND((B12*$G$3*C12*R12),2)-ROUND((SUM(O7:R7)*G3*B12),2)</f>
        <v>258984</v>
      </c>
      <c r="T12" s="99">
        <f>G12+K12+N12+S12</f>
        <v>793188</v>
      </c>
    </row>
    <row r="13" spans="1:20" x14ac:dyDescent="0.25">
      <c r="A13" s="135" t="s">
        <v>15</v>
      </c>
      <c r="B13" s="155">
        <f>'2022'!B14</f>
        <v>33</v>
      </c>
      <c r="C13" s="162">
        <v>8</v>
      </c>
      <c r="D13" s="9">
        <v>18</v>
      </c>
      <c r="E13" s="6">
        <v>16</v>
      </c>
      <c r="F13" s="6">
        <v>15</v>
      </c>
      <c r="G13" s="74">
        <f>ROUND((B13*$G$3*C13*D13),2)+ROUND((B13*$G$3*C13*E13),2)+ROUND((B13*$G$3*C13*F13),2)-ROUND((SUM(D7:F7)*G3*B13),2)</f>
        <v>58063.5</v>
      </c>
      <c r="H13" s="58">
        <v>21</v>
      </c>
      <c r="I13" s="9">
        <v>21</v>
      </c>
      <c r="J13" s="6">
        <v>0</v>
      </c>
      <c r="K13" s="74">
        <f>ROUND((B13*$G$3*C13*H13),2)+ROUND((B13*$G$3*C13*I13),2)+ROUND((B13*$G$3*C13*J13),2)-ROUND((SUM(H7:I7)*G3*B13),2)</f>
        <v>49599</v>
      </c>
      <c r="L13" s="63">
        <v>0</v>
      </c>
      <c r="M13" s="6">
        <v>0</v>
      </c>
      <c r="N13" s="74">
        <f t="shared" si="0"/>
        <v>0</v>
      </c>
      <c r="O13" s="58">
        <v>21</v>
      </c>
      <c r="P13" s="6">
        <v>18</v>
      </c>
      <c r="Q13" s="9">
        <v>20</v>
      </c>
      <c r="R13" s="6">
        <v>15</v>
      </c>
      <c r="S13" s="74">
        <f t="shared" ref="S13:S16" si="1">ROUND((B13*$G$3*C13*O13),2)+ROUND((B13*$G$3*C13*P13),2)+ROUND((B13*$G$3*C13*Q13),2)+ROUND((B13*$G$3*C13*R13),2)</f>
        <v>87912</v>
      </c>
      <c r="T13" s="100">
        <f t="shared" ref="T13:T23" si="2">G13+K13+N13+S13</f>
        <v>195574.5</v>
      </c>
    </row>
    <row r="14" spans="1:20" ht="20.25" customHeight="1" x14ac:dyDescent="0.25">
      <c r="A14" s="136" t="s">
        <v>16</v>
      </c>
      <c r="B14" s="155">
        <f>'2022'!B15+30+30</f>
        <v>243</v>
      </c>
      <c r="C14" s="162">
        <v>8</v>
      </c>
      <c r="D14" s="9">
        <v>18</v>
      </c>
      <c r="E14" s="6">
        <v>20</v>
      </c>
      <c r="F14" s="6">
        <v>15</v>
      </c>
      <c r="G14" s="74">
        <f>ROUND((B14*$G$3*C14*D14),2)+ROUND((B14*$G$3*C14*E14),2)+ROUND((B14*$G$3*C14*F14),2)-ROUND((SUM(D7:F7)*G3*B14),2)</f>
        <v>462550.5</v>
      </c>
      <c r="H14" s="58">
        <v>21</v>
      </c>
      <c r="I14" s="9">
        <v>21</v>
      </c>
      <c r="J14" s="6">
        <v>0</v>
      </c>
      <c r="K14" s="74">
        <f>ROUND((B14*$G$3*C14*H14),2)+ROUND((B14*$G$3*C14*I14),2)+ROUND((B14*$G$3*C14*J14),2)-ROUND((SUM(H7:I7)*G3*B14),2)</f>
        <v>365229</v>
      </c>
      <c r="L14" s="63">
        <v>0</v>
      </c>
      <c r="M14" s="6">
        <v>0</v>
      </c>
      <c r="N14" s="74">
        <f t="shared" si="0"/>
        <v>0</v>
      </c>
      <c r="O14" s="58">
        <v>21</v>
      </c>
      <c r="P14" s="6">
        <v>18</v>
      </c>
      <c r="Q14" s="9">
        <v>20</v>
      </c>
      <c r="R14" s="6">
        <v>15</v>
      </c>
      <c r="S14" s="74">
        <f t="shared" si="1"/>
        <v>647352</v>
      </c>
      <c r="T14" s="100">
        <f t="shared" si="2"/>
        <v>1475131.5</v>
      </c>
    </row>
    <row r="15" spans="1:20" x14ac:dyDescent="0.25">
      <c r="A15" s="135" t="s">
        <v>17</v>
      </c>
      <c r="B15" s="155">
        <f>'2022'!B16</f>
        <v>11</v>
      </c>
      <c r="C15" s="162">
        <v>8</v>
      </c>
      <c r="D15" s="9">
        <v>18</v>
      </c>
      <c r="E15" s="6">
        <v>20</v>
      </c>
      <c r="F15" s="6">
        <v>15</v>
      </c>
      <c r="G15" s="74">
        <f>ROUND((B15*$G$3*C15*D15),2)+ROUND((B15*$G$3*C15*E15),2)+ROUND((B15*$G$3*C15*F15),2)-ROUND((SUM(D7:F7)*G3*B15),2)</f>
        <v>20938.5</v>
      </c>
      <c r="H15" s="58">
        <v>21</v>
      </c>
      <c r="I15" s="9">
        <v>21</v>
      </c>
      <c r="J15" s="6">
        <v>10</v>
      </c>
      <c r="K15" s="74">
        <f>ROUND((B15*$G$3*C15*H15),2)+ROUND((B15*$G$3*C15*I15),2)+ROUND((B15*$G$3*C15*J15),2)-ROUND((SUM(H7:I7)*G3*B15),2)</f>
        <v>20493</v>
      </c>
      <c r="L15" s="63">
        <v>0</v>
      </c>
      <c r="M15" s="6">
        <v>0</v>
      </c>
      <c r="N15" s="74">
        <f t="shared" si="0"/>
        <v>0</v>
      </c>
      <c r="O15" s="58">
        <v>21</v>
      </c>
      <c r="P15" s="6">
        <v>18</v>
      </c>
      <c r="Q15" s="9">
        <v>20</v>
      </c>
      <c r="R15" s="6">
        <v>15</v>
      </c>
      <c r="S15" s="74">
        <f t="shared" si="1"/>
        <v>29304</v>
      </c>
      <c r="T15" s="100">
        <f t="shared" si="2"/>
        <v>70735.5</v>
      </c>
    </row>
    <row r="16" spans="1:20" x14ac:dyDescent="0.25">
      <c r="A16" s="135" t="s">
        <v>18</v>
      </c>
      <c r="B16" s="155">
        <f>'2022'!B17</f>
        <v>3</v>
      </c>
      <c r="C16" s="162">
        <v>8</v>
      </c>
      <c r="D16" s="9">
        <v>18</v>
      </c>
      <c r="E16" s="6">
        <v>20</v>
      </c>
      <c r="F16" s="6">
        <v>15</v>
      </c>
      <c r="G16" s="74">
        <f>ROUND((B16*$G$3*C16*D16),2)+ROUND((B16*$G$3*C16*E16),2)+ROUND((B16*$G$3*C16*F16),2)-ROUND((SUM(D7:F7)*G3*B16),2)</f>
        <v>5710.5</v>
      </c>
      <c r="H16" s="58">
        <v>21</v>
      </c>
      <c r="I16" s="9">
        <v>21</v>
      </c>
      <c r="J16" s="6">
        <v>15</v>
      </c>
      <c r="K16" s="74">
        <f>ROUND((B16*$G$3*C16*H16),2)+ROUND((B16*$G$3*C16*I16),2)+ROUND((B16*$G$3*C16*J16),2)-ROUND((SUM(H7:I7)*G3*B16),2)</f>
        <v>6129</v>
      </c>
      <c r="L16" s="63">
        <v>0</v>
      </c>
      <c r="M16" s="6">
        <v>0</v>
      </c>
      <c r="N16" s="74">
        <f t="shared" si="0"/>
        <v>0</v>
      </c>
      <c r="O16" s="58">
        <v>21</v>
      </c>
      <c r="P16" s="6">
        <v>18</v>
      </c>
      <c r="Q16" s="9">
        <v>20</v>
      </c>
      <c r="R16" s="6">
        <v>15</v>
      </c>
      <c r="S16" s="74">
        <f t="shared" si="1"/>
        <v>7992</v>
      </c>
      <c r="T16" s="100">
        <f t="shared" si="2"/>
        <v>19831.5</v>
      </c>
    </row>
    <row r="17" spans="1:20" x14ac:dyDescent="0.25">
      <c r="A17" s="135" t="s">
        <v>19</v>
      </c>
      <c r="B17" s="155">
        <f>'2022'!B18</f>
        <v>4</v>
      </c>
      <c r="C17" s="162">
        <v>8</v>
      </c>
      <c r="D17" s="6">
        <f>D12</f>
        <v>22</v>
      </c>
      <c r="E17" s="6">
        <f t="shared" ref="E17:F17" si="3">E12</f>
        <v>21</v>
      </c>
      <c r="F17" s="6">
        <f t="shared" si="3"/>
        <v>20</v>
      </c>
      <c r="G17" s="74">
        <f>ROUND((B17*$G$3*C17*D17),2)+ROUND((B17*$G$3*C17*E17),2)+ROUND((B17*$G$3*C17*F17),2)-ROUND((SUM(D7:F7)*G3*B17),2)</f>
        <v>9054</v>
      </c>
      <c r="H17" s="58">
        <f>H12</f>
        <v>21</v>
      </c>
      <c r="I17" s="9">
        <f t="shared" ref="I17:J17" si="4">I12</f>
        <v>21</v>
      </c>
      <c r="J17" s="9">
        <f t="shared" si="4"/>
        <v>19</v>
      </c>
      <c r="K17" s="74">
        <f>ROUND((B17*$G$3*C17*H17),2)+ROUND((B17*$G$3*C17*I17),2)+ROUND((B17*$G$3*C17*J17),2)-ROUND((SUM(H7:J7)*G3*B17),2)</f>
        <v>8748</v>
      </c>
      <c r="L17" s="58">
        <f>L12</f>
        <v>23</v>
      </c>
      <c r="M17" s="9">
        <f>M12</f>
        <v>22</v>
      </c>
      <c r="N17" s="74">
        <f t="shared" si="0"/>
        <v>6480</v>
      </c>
      <c r="O17" s="58">
        <v>21</v>
      </c>
      <c r="P17" s="9">
        <f t="shared" ref="P17:R17" si="5">P12</f>
        <v>23</v>
      </c>
      <c r="Q17" s="9">
        <v>20</v>
      </c>
      <c r="R17" s="9">
        <f t="shared" si="5"/>
        <v>18</v>
      </c>
      <c r="S17" s="74">
        <f>ROUND((B17*$G$3*C17*O17),2)+ROUND((B17*$G$3*C17*P17),2)+ROUND((B17*$G$3*C17*Q17),2)+ROUND((B17*$G$3*C17*R17),2)-ROUND((SUM(O7:R7)*G3*B17),2)</f>
        <v>11772</v>
      </c>
      <c r="T17" s="100">
        <f t="shared" si="2"/>
        <v>36054</v>
      </c>
    </row>
    <row r="18" spans="1:20" s="28" customFormat="1" ht="15.75" thickBot="1" x14ac:dyDescent="0.3">
      <c r="A18" s="137" t="s">
        <v>20</v>
      </c>
      <c r="B18" s="156"/>
      <c r="C18" s="163"/>
      <c r="D18" s="65"/>
      <c r="E18" s="65"/>
      <c r="F18" s="65"/>
      <c r="G18" s="20"/>
      <c r="H18" s="69"/>
      <c r="I18" s="65"/>
      <c r="J18" s="65"/>
      <c r="K18" s="75"/>
      <c r="L18" s="69"/>
      <c r="M18" s="65"/>
      <c r="N18" s="75"/>
      <c r="O18" s="69"/>
      <c r="P18" s="65"/>
      <c r="Q18" s="65"/>
      <c r="R18" s="65"/>
      <c r="S18" s="75"/>
      <c r="T18" s="169"/>
    </row>
    <row r="19" spans="1:20" ht="25.5" x14ac:dyDescent="0.25">
      <c r="A19" s="134" t="s">
        <v>21</v>
      </c>
      <c r="B19" s="157">
        <f>'2022'!B20</f>
        <v>22</v>
      </c>
      <c r="C19" s="162">
        <v>8</v>
      </c>
      <c r="D19" s="9">
        <f>D12</f>
        <v>22</v>
      </c>
      <c r="E19" s="9">
        <f t="shared" ref="E19:F19" si="6">E12</f>
        <v>21</v>
      </c>
      <c r="F19" s="9">
        <f t="shared" si="6"/>
        <v>20</v>
      </c>
      <c r="G19" s="74">
        <f>ROUND((B19*$G$3*C19*D19),2)+ROUND((B19*$G$3*C19*E19),2)+ROUND((B19*$G$3*C19*F19),2)-ROUND((SUM(D7:F7)*G3*B19),2)</f>
        <v>49797</v>
      </c>
      <c r="H19" s="58">
        <f>H12</f>
        <v>21</v>
      </c>
      <c r="I19" s="9">
        <f t="shared" ref="I19:J19" si="7">I12</f>
        <v>21</v>
      </c>
      <c r="J19" s="9">
        <f t="shared" si="7"/>
        <v>19</v>
      </c>
      <c r="K19" s="74">
        <f>ROUND((B19*$G$3*C19*H19),2)+ROUND((B19*$G$3*C19*I19),2)+ROUND((B19*$G$3*C19*J19),2)-ROUND((SUM(H7:J7)*G3*B19),2)</f>
        <v>48114</v>
      </c>
      <c r="L19" s="58">
        <f>L12</f>
        <v>23</v>
      </c>
      <c r="M19" s="9">
        <f>M12</f>
        <v>22</v>
      </c>
      <c r="N19" s="74">
        <f>ROUND((B19*$G$3*C19*L19),2)+ROUND((B19*$G$3*C19*M19),2)</f>
        <v>35640</v>
      </c>
      <c r="O19" s="58">
        <f>O12</f>
        <v>21</v>
      </c>
      <c r="P19" s="9">
        <f t="shared" ref="P19:R19" si="8">P12</f>
        <v>23</v>
      </c>
      <c r="Q19" s="9">
        <f t="shared" si="8"/>
        <v>20</v>
      </c>
      <c r="R19" s="9">
        <f t="shared" si="8"/>
        <v>18</v>
      </c>
      <c r="S19" s="10">
        <f>ROUND((B19*$G$3*C19*O19),2)+ROUND((B19*$G$3*C19*P19),2)+ROUND((B19*$G$3*C19*Q19),2)+ROUND((B19*$G$3*C19*R19),2)-ROUND((SUM(O7:R7)*G3*B19),2)</f>
        <v>64746</v>
      </c>
      <c r="T19" s="170">
        <f t="shared" si="2"/>
        <v>198297</v>
      </c>
    </row>
    <row r="20" spans="1:20" x14ac:dyDescent="0.25">
      <c r="A20" s="135" t="s">
        <v>15</v>
      </c>
      <c r="B20" s="157">
        <f>'2022'!B21</f>
        <v>3</v>
      </c>
      <c r="C20" s="162">
        <v>8</v>
      </c>
      <c r="D20" s="9">
        <f t="shared" ref="D20:F23" si="9">D13</f>
        <v>18</v>
      </c>
      <c r="E20" s="9">
        <f t="shared" si="9"/>
        <v>16</v>
      </c>
      <c r="F20" s="9">
        <f t="shared" si="9"/>
        <v>15</v>
      </c>
      <c r="G20" s="74">
        <f>ROUND((B20*$G$3*C20*D20),2)+ROUND((B20*$G$3*C20*E20),2)+ROUND((B20*$G$3*C20*F20),2)-ROUND((SUM(D7:F7)*G3*B20),2)</f>
        <v>5278.5</v>
      </c>
      <c r="H20" s="58">
        <f t="shared" ref="H20:J23" si="10">H13</f>
        <v>21</v>
      </c>
      <c r="I20" s="9">
        <f t="shared" si="10"/>
        <v>21</v>
      </c>
      <c r="J20" s="9">
        <f t="shared" si="10"/>
        <v>0</v>
      </c>
      <c r="K20" s="74">
        <f>ROUND((B20*$G$3*C20*H20),2)+ROUND((B20*$G$3*C20*I20),2)+ROUND((B20*$G$3*C20*J20),2)-ROUND((SUM(H7:I7)*G3*B20),2)</f>
        <v>4509</v>
      </c>
      <c r="L20" s="58">
        <f t="shared" ref="L20:M23" si="11">L13</f>
        <v>0</v>
      </c>
      <c r="M20" s="9">
        <f t="shared" si="11"/>
        <v>0</v>
      </c>
      <c r="N20" s="74">
        <f>ROUND((B20*$G$3*C20*L20),2)+ROUND((B20*$G$3*C20*M20),2)</f>
        <v>0</v>
      </c>
      <c r="O20" s="58">
        <f t="shared" ref="O20:R23" si="12">O13</f>
        <v>21</v>
      </c>
      <c r="P20" s="9">
        <f t="shared" si="12"/>
        <v>18</v>
      </c>
      <c r="Q20" s="9">
        <f t="shared" si="12"/>
        <v>20</v>
      </c>
      <c r="R20" s="9">
        <f t="shared" si="12"/>
        <v>15</v>
      </c>
      <c r="S20" s="10">
        <f>ROUND((B20*$G$3*C20*O20),2)+ROUND((B20*$G$3*C20*P20),2)+ROUND((B20*$G$3*C20*Q20),2)+ROUND((B20*$G$3*C20*R20),2)</f>
        <v>7992</v>
      </c>
      <c r="T20" s="171">
        <f t="shared" si="2"/>
        <v>17779.5</v>
      </c>
    </row>
    <row r="21" spans="1:20" ht="30" x14ac:dyDescent="0.25">
      <c r="A21" s="135" t="s">
        <v>16</v>
      </c>
      <c r="B21" s="157">
        <f>'2022'!B22</f>
        <v>15</v>
      </c>
      <c r="C21" s="162">
        <v>8</v>
      </c>
      <c r="D21" s="9">
        <f t="shared" si="9"/>
        <v>18</v>
      </c>
      <c r="E21" s="9">
        <f t="shared" si="9"/>
        <v>20</v>
      </c>
      <c r="F21" s="9">
        <f t="shared" si="9"/>
        <v>15</v>
      </c>
      <c r="G21" s="74">
        <f>ROUND((B21*$G$3*C21*D21),2)+ROUND((B21*$G$3*C21*E21),2)+ROUND((B21*$G$3*C21*F21),2)-ROUND((SUM(D7:F7)*G3*B21),2)</f>
        <v>28552.5</v>
      </c>
      <c r="H21" s="58">
        <f t="shared" si="10"/>
        <v>21</v>
      </c>
      <c r="I21" s="9">
        <f t="shared" si="10"/>
        <v>21</v>
      </c>
      <c r="J21" s="9">
        <f t="shared" si="10"/>
        <v>0</v>
      </c>
      <c r="K21" s="74">
        <f>ROUND((B21*$G$3*C21*H21),2)+ROUND((B21*$G$3*C21*I21),2)+ROUND((B21*$G$3*C21*J21),2)-ROUND((SUM(H7:I7)*G3*B21),2)</f>
        <v>22545</v>
      </c>
      <c r="L21" s="58">
        <f t="shared" si="11"/>
        <v>0</v>
      </c>
      <c r="M21" s="9">
        <f t="shared" si="11"/>
        <v>0</v>
      </c>
      <c r="N21" s="74">
        <f>ROUND((B21*$G$3*C21*L21),2)+ROUND((B21*$G$3*C21*M21),2)</f>
        <v>0</v>
      </c>
      <c r="O21" s="58">
        <f t="shared" si="12"/>
        <v>21</v>
      </c>
      <c r="P21" s="9">
        <f t="shared" si="12"/>
        <v>18</v>
      </c>
      <c r="Q21" s="9">
        <f t="shared" si="12"/>
        <v>20</v>
      </c>
      <c r="R21" s="9">
        <f t="shared" si="12"/>
        <v>15</v>
      </c>
      <c r="S21" s="10">
        <f>ROUND((B21*$G$3*C21*O21),2)+ROUND((B21*$G$3*C21*P21),2)+ROUND((B21*$G$3*C21*Q21),2)+ROUND((B21*$G$3*C21*R21),2)</f>
        <v>39960</v>
      </c>
      <c r="T21" s="171">
        <f t="shared" si="2"/>
        <v>91057.5</v>
      </c>
    </row>
    <row r="22" spans="1:20" x14ac:dyDescent="0.25">
      <c r="A22" s="135" t="s">
        <v>17</v>
      </c>
      <c r="B22" s="158"/>
      <c r="C22" s="162">
        <v>8</v>
      </c>
      <c r="D22" s="9">
        <f t="shared" si="9"/>
        <v>18</v>
      </c>
      <c r="E22" s="9">
        <f t="shared" si="9"/>
        <v>20</v>
      </c>
      <c r="F22" s="9">
        <f t="shared" si="9"/>
        <v>15</v>
      </c>
      <c r="G22" s="74">
        <f>ROUND((B22*$G$3*C22*D22),2)+ROUND((B22*$G$3*C22*E22),2)+ROUND((B22*$G$3*C22*F22),2)</f>
        <v>0</v>
      </c>
      <c r="H22" s="58">
        <f t="shared" si="10"/>
        <v>21</v>
      </c>
      <c r="I22" s="9">
        <f t="shared" si="10"/>
        <v>21</v>
      </c>
      <c r="J22" s="9">
        <f t="shared" si="10"/>
        <v>10</v>
      </c>
      <c r="K22" s="74">
        <f>ROUND((B22*$G$3*C22*H22),2)+ROUND((B22*$G$3*C22*I22),2)+ROUND((B22*$G$3*C22*J22),2)</f>
        <v>0</v>
      </c>
      <c r="L22" s="58">
        <f t="shared" si="11"/>
        <v>0</v>
      </c>
      <c r="M22" s="9">
        <f t="shared" si="11"/>
        <v>0</v>
      </c>
      <c r="N22" s="74">
        <f>ROUND((B22*$G$3*C22*L22),2)+ROUND((B22*$G$3*C22*M22),2)</f>
        <v>0</v>
      </c>
      <c r="O22" s="58">
        <f t="shared" si="12"/>
        <v>21</v>
      </c>
      <c r="P22" s="9">
        <f t="shared" si="12"/>
        <v>18</v>
      </c>
      <c r="Q22" s="9">
        <f t="shared" si="12"/>
        <v>20</v>
      </c>
      <c r="R22" s="9">
        <f t="shared" si="12"/>
        <v>15</v>
      </c>
      <c r="S22" s="10">
        <f>ROUND((B22*$G$3*C22*O22),2)+ROUND((B22*$G$3*C22*P22),2)+ROUND((B22*$G$3*C22*Q22),2)+ROUND((B22*$G$3*C22*R22),2)</f>
        <v>0</v>
      </c>
      <c r="T22" s="171">
        <f t="shared" si="2"/>
        <v>0</v>
      </c>
    </row>
    <row r="23" spans="1:20" ht="15.75" thickBot="1" x14ac:dyDescent="0.3">
      <c r="A23" s="138" t="s">
        <v>18</v>
      </c>
      <c r="B23" s="159"/>
      <c r="C23" s="164">
        <v>8</v>
      </c>
      <c r="D23" s="71">
        <f t="shared" si="9"/>
        <v>18</v>
      </c>
      <c r="E23" s="71">
        <f t="shared" si="9"/>
        <v>20</v>
      </c>
      <c r="F23" s="71">
        <f t="shared" si="9"/>
        <v>15</v>
      </c>
      <c r="G23" s="76">
        <f>ROUND((B23*$G$3*C23*D23),2)+ROUND((B23*$G$3*C23*E23),2)+ROUND((B23*$G$3*C23*F23),2)</f>
        <v>0</v>
      </c>
      <c r="H23" s="59">
        <f t="shared" si="10"/>
        <v>21</v>
      </c>
      <c r="I23" s="71">
        <f t="shared" si="10"/>
        <v>21</v>
      </c>
      <c r="J23" s="71">
        <f>J16</f>
        <v>15</v>
      </c>
      <c r="K23" s="76">
        <f>ROUND((B23*$G$3*C23*H23),2)+ROUND((B23*$G$3*C23*I23),2)+ROUND((B23*$G$3*C23*J23),2)</f>
        <v>0</v>
      </c>
      <c r="L23" s="59">
        <f t="shared" si="11"/>
        <v>0</v>
      </c>
      <c r="M23" s="71">
        <f t="shared" si="11"/>
        <v>0</v>
      </c>
      <c r="N23" s="76">
        <f>ROUND((B23*$G$3*C23*L23),2)+ROUND((B23*$G$3*C23*M23),2)</f>
        <v>0</v>
      </c>
      <c r="O23" s="59">
        <f t="shared" si="12"/>
        <v>21</v>
      </c>
      <c r="P23" s="71">
        <f t="shared" si="12"/>
        <v>18</v>
      </c>
      <c r="Q23" s="71">
        <f t="shared" si="12"/>
        <v>20</v>
      </c>
      <c r="R23" s="71">
        <f t="shared" si="12"/>
        <v>15</v>
      </c>
      <c r="S23" s="167">
        <f>ROUND((B23*$G$3*C23*O23),2)+ROUND((B23*$G$3*C23*P23),2)+ROUND((B23*$G$3*C23*Q23),2)+ROUND((B23*$G$3*C23*R23),2)</f>
        <v>0</v>
      </c>
      <c r="T23" s="172">
        <f t="shared" si="2"/>
        <v>0</v>
      </c>
    </row>
    <row r="24" spans="1:20" ht="19.5" thickBot="1" x14ac:dyDescent="0.35">
      <c r="B24" s="11">
        <f>SUM(B12:B23)</f>
        <v>422</v>
      </c>
      <c r="G24" s="12">
        <f>SUM(G12:G23)</f>
        <v>839133</v>
      </c>
      <c r="K24" s="12">
        <f>SUM(K12:K23)</f>
        <v>717822</v>
      </c>
      <c r="N24" s="12">
        <f>SUM(N12:N23)</f>
        <v>184680</v>
      </c>
      <c r="S24" s="12">
        <f>SUM(S12:S23)</f>
        <v>1156014</v>
      </c>
      <c r="T24" s="103">
        <f>SUM(T12:T23)</f>
        <v>2897649</v>
      </c>
    </row>
    <row r="25" spans="1:20" ht="18.75" x14ac:dyDescent="0.3">
      <c r="B25" s="11"/>
      <c r="G25" s="12"/>
      <c r="K25" s="12"/>
      <c r="N25" s="12"/>
      <c r="S25" s="12"/>
      <c r="T25" s="13"/>
    </row>
    <row r="26" spans="1:20" x14ac:dyDescent="0.25">
      <c r="H26" s="206"/>
      <c r="I26" s="206"/>
      <c r="J26" s="206"/>
      <c r="K26" s="206"/>
    </row>
    <row r="27" spans="1:20" ht="90" x14ac:dyDescent="0.25">
      <c r="J27" s="29"/>
      <c r="K27" s="29"/>
      <c r="L27" s="29"/>
      <c r="N27" s="19"/>
      <c r="O27" s="26" t="s">
        <v>30</v>
      </c>
      <c r="P27" s="26" t="s">
        <v>29</v>
      </c>
      <c r="Q27" s="174" t="s">
        <v>32</v>
      </c>
      <c r="R27" s="26" t="s">
        <v>33</v>
      </c>
      <c r="S27" s="26" t="s">
        <v>34</v>
      </c>
      <c r="T27" s="26" t="s">
        <v>31</v>
      </c>
    </row>
    <row r="28" spans="1:20" ht="15" customHeight="1" x14ac:dyDescent="0.25">
      <c r="A28" s="24"/>
      <c r="B28" s="17"/>
      <c r="C28" s="104"/>
      <c r="D28" s="47"/>
      <c r="E28" s="47"/>
      <c r="F28" s="47"/>
      <c r="G28" s="47"/>
      <c r="H28" s="47"/>
      <c r="I28" s="24"/>
      <c r="J28" s="207"/>
      <c r="K28" s="207"/>
      <c r="L28" s="207"/>
      <c r="N28" s="19"/>
      <c r="O28" s="145">
        <v>1</v>
      </c>
      <c r="P28" s="145">
        <v>2</v>
      </c>
      <c r="Q28" s="145">
        <v>3</v>
      </c>
      <c r="R28" s="145">
        <v>4</v>
      </c>
      <c r="S28" s="145" t="s">
        <v>58</v>
      </c>
      <c r="T28" s="175" t="s">
        <v>59</v>
      </c>
    </row>
    <row r="29" spans="1:20" ht="30" x14ac:dyDescent="0.25">
      <c r="B29" s="105"/>
      <c r="C29" s="123"/>
      <c r="D29" s="124"/>
      <c r="E29" s="124"/>
      <c r="F29" s="107"/>
      <c r="G29" s="15"/>
      <c r="I29" s="27"/>
      <c r="J29" s="24"/>
      <c r="N29" s="49" t="s">
        <v>48</v>
      </c>
      <c r="O29" s="148">
        <v>1031876</v>
      </c>
      <c r="P29" s="173">
        <f>T24</f>
        <v>2897649</v>
      </c>
      <c r="Q29" s="176">
        <f>O29-P29</f>
        <v>-1865773</v>
      </c>
      <c r="R29" s="146">
        <v>0.75</v>
      </c>
      <c r="S29" s="45">
        <f>P29*R29</f>
        <v>2173236.75</v>
      </c>
      <c r="T29" s="147">
        <f>O29-S29</f>
        <v>-1141360.75</v>
      </c>
    </row>
    <row r="30" spans="1:20" x14ac:dyDescent="0.25">
      <c r="B30" s="15"/>
      <c r="C30" s="108"/>
      <c r="D30" s="124"/>
      <c r="E30" s="124"/>
      <c r="F30" s="107"/>
      <c r="G30" s="15"/>
      <c r="H30" s="52"/>
      <c r="I30" s="27"/>
      <c r="J30" s="24"/>
      <c r="K30" s="24"/>
    </row>
    <row r="31" spans="1:20" x14ac:dyDescent="0.25">
      <c r="B31" s="15"/>
      <c r="C31" s="108"/>
      <c r="D31" s="124"/>
      <c r="E31" s="124"/>
      <c r="F31" s="107"/>
      <c r="G31" s="15"/>
      <c r="H31" s="52"/>
      <c r="I31" s="27"/>
      <c r="J31" s="24"/>
      <c r="K31" s="24"/>
    </row>
    <row r="32" spans="1:20" x14ac:dyDescent="0.25">
      <c r="B32" s="15"/>
      <c r="C32" s="109"/>
      <c r="D32" s="151"/>
      <c r="E32" s="125"/>
      <c r="F32" s="125"/>
      <c r="G32" s="124"/>
      <c r="H32" s="52"/>
      <c r="I32" s="27"/>
      <c r="J32" s="24"/>
      <c r="K32" s="24"/>
    </row>
    <row r="33" spans="2:17" x14ac:dyDescent="0.25">
      <c r="B33" s="15"/>
      <c r="C33" s="123"/>
      <c r="D33" s="124"/>
      <c r="E33" s="124"/>
      <c r="F33" s="124"/>
      <c r="G33" s="15"/>
      <c r="H33" s="52"/>
      <c r="I33" s="27"/>
      <c r="J33" s="24"/>
      <c r="K33" s="24"/>
    </row>
    <row r="34" spans="2:17" x14ac:dyDescent="0.25">
      <c r="B34" s="15"/>
      <c r="C34" s="108"/>
      <c r="D34" s="124"/>
      <c r="E34" s="124"/>
      <c r="F34" s="124"/>
      <c r="G34" s="15"/>
      <c r="H34" s="52"/>
      <c r="I34" s="27"/>
      <c r="J34" s="24"/>
      <c r="K34" s="24"/>
    </row>
    <row r="35" spans="2:17" x14ac:dyDescent="0.25">
      <c r="B35" s="15"/>
      <c r="C35" s="108"/>
      <c r="D35" s="124"/>
      <c r="E35" s="124"/>
      <c r="F35" s="124"/>
      <c r="G35" s="15"/>
      <c r="H35" s="52"/>
      <c r="I35" s="27"/>
      <c r="J35" s="24"/>
      <c r="K35" s="24"/>
    </row>
    <row r="36" spans="2:17" x14ac:dyDescent="0.25">
      <c r="B36" s="15"/>
      <c r="C36" s="109"/>
      <c r="D36" s="125"/>
      <c r="E36" s="125"/>
      <c r="F36" s="125"/>
      <c r="G36" s="124"/>
      <c r="H36" s="52"/>
      <c r="I36" s="27"/>
      <c r="J36" s="24"/>
      <c r="K36" s="24"/>
    </row>
    <row r="37" spans="2:17" x14ac:dyDescent="0.25">
      <c r="B37" s="15"/>
      <c r="C37" s="123"/>
      <c r="D37" s="124"/>
      <c r="E37" s="124"/>
      <c r="F37" s="124"/>
      <c r="G37" s="15"/>
      <c r="H37" s="52"/>
      <c r="I37" s="27"/>
      <c r="J37" s="24"/>
      <c r="K37" s="24"/>
    </row>
    <row r="38" spans="2:17" x14ac:dyDescent="0.25">
      <c r="B38" s="15"/>
      <c r="C38" s="108"/>
      <c r="D38" s="124"/>
      <c r="E38" s="124"/>
      <c r="F38" s="124"/>
      <c r="G38" s="15"/>
      <c r="H38" s="52"/>
      <c r="I38" s="27"/>
      <c r="J38" s="24"/>
      <c r="K38" s="24"/>
    </row>
    <row r="39" spans="2:17" x14ac:dyDescent="0.25">
      <c r="B39" s="15"/>
      <c r="C39" s="108"/>
      <c r="D39" s="124"/>
      <c r="E39" s="124"/>
      <c r="F39" s="124"/>
      <c r="G39" s="15"/>
      <c r="H39" s="52"/>
      <c r="I39" s="27"/>
      <c r="J39" s="24"/>
      <c r="K39" s="24"/>
    </row>
    <row r="40" spans="2:17" x14ac:dyDescent="0.25">
      <c r="B40" s="15"/>
      <c r="C40" s="109"/>
      <c r="D40" s="125"/>
      <c r="E40" s="125"/>
      <c r="F40" s="125"/>
      <c r="G40" s="124"/>
      <c r="H40" s="52"/>
      <c r="I40" s="27"/>
      <c r="J40" s="24"/>
      <c r="K40" s="24"/>
    </row>
    <row r="41" spans="2:17" x14ac:dyDescent="0.25">
      <c r="B41" s="15"/>
      <c r="C41" s="123"/>
      <c r="D41" s="124"/>
      <c r="E41" s="124"/>
      <c r="F41" s="124"/>
      <c r="G41" s="15"/>
    </row>
    <row r="42" spans="2:17" ht="46.5" customHeight="1" x14ac:dyDescent="0.25">
      <c r="B42" s="15"/>
      <c r="C42" s="108"/>
      <c r="D42" s="124"/>
      <c r="E42" s="124"/>
      <c r="F42" s="124"/>
      <c r="G42" s="15"/>
      <c r="I42" s="15"/>
      <c r="J42" s="31"/>
      <c r="K42" s="31"/>
      <c r="L42" s="15"/>
      <c r="M42" s="31"/>
      <c r="N42" s="31"/>
      <c r="P42" s="29"/>
      <c r="Q42" s="29"/>
    </row>
    <row r="43" spans="2:17" ht="18.75" x14ac:dyDescent="0.3">
      <c r="B43" s="15"/>
      <c r="C43" s="108"/>
      <c r="D43" s="124"/>
      <c r="E43" s="124"/>
      <c r="F43" s="124"/>
      <c r="G43" s="15"/>
      <c r="I43" s="16"/>
      <c r="J43" s="32"/>
      <c r="K43" s="32"/>
      <c r="L43" s="32"/>
      <c r="M43" s="32"/>
      <c r="N43" s="39"/>
      <c r="O43" s="15"/>
      <c r="P43" s="15"/>
      <c r="Q43" s="15"/>
    </row>
    <row r="44" spans="2:17" x14ac:dyDescent="0.25">
      <c r="B44" s="15"/>
      <c r="C44" s="109"/>
      <c r="D44" s="125"/>
      <c r="E44" s="125"/>
      <c r="F44" s="125"/>
      <c r="G44" s="124"/>
      <c r="I44" s="17"/>
      <c r="J44" s="33"/>
      <c r="K44" s="32"/>
      <c r="L44" s="41"/>
      <c r="M44" s="40"/>
      <c r="N44" s="42"/>
      <c r="O44" s="18"/>
      <c r="P44" s="15"/>
      <c r="Q44" s="15"/>
    </row>
    <row r="45" spans="2:17" x14ac:dyDescent="0.25">
      <c r="B45" s="15"/>
      <c r="C45" s="123"/>
      <c r="D45" s="124"/>
      <c r="E45" s="124"/>
      <c r="F45" s="152"/>
      <c r="G45" s="15"/>
      <c r="I45" s="19"/>
      <c r="J45" s="34"/>
      <c r="K45" s="32"/>
      <c r="L45" s="41"/>
      <c r="M45" s="43"/>
      <c r="N45" s="42"/>
      <c r="O45" s="18"/>
      <c r="P45" s="30"/>
      <c r="Q45" s="15"/>
    </row>
    <row r="46" spans="2:17" x14ac:dyDescent="0.25">
      <c r="B46" s="15"/>
      <c r="C46" s="108"/>
      <c r="D46" s="124"/>
      <c r="E46" s="124"/>
      <c r="F46" s="152"/>
      <c r="G46" s="15"/>
      <c r="I46" s="19"/>
      <c r="J46" s="35"/>
      <c r="K46" s="32"/>
      <c r="L46" s="41"/>
      <c r="M46" s="44"/>
      <c r="N46" s="42"/>
      <c r="O46" s="18"/>
      <c r="P46" s="30"/>
      <c r="Q46" s="15"/>
    </row>
    <row r="47" spans="2:17" ht="60.75" customHeight="1" x14ac:dyDescent="0.25">
      <c r="B47" s="15"/>
      <c r="C47" s="108"/>
      <c r="D47" s="124"/>
      <c r="E47" s="124"/>
      <c r="F47" s="152"/>
      <c r="G47" s="15"/>
      <c r="N47" s="42"/>
      <c r="O47" s="18"/>
      <c r="P47" s="30"/>
      <c r="Q47" s="30"/>
    </row>
    <row r="48" spans="2:17" ht="32.25" customHeight="1" x14ac:dyDescent="0.25">
      <c r="B48" s="15"/>
      <c r="C48" s="109"/>
      <c r="D48" s="124"/>
      <c r="E48" s="124"/>
      <c r="F48" s="152"/>
      <c r="G48" s="15"/>
      <c r="N48" s="42"/>
      <c r="O48" s="18"/>
    </row>
    <row r="49" spans="2:15" x14ac:dyDescent="0.25">
      <c r="B49" s="15"/>
      <c r="C49" s="15"/>
      <c r="D49" s="113"/>
      <c r="E49" s="114"/>
      <c r="F49" s="153"/>
      <c r="G49" s="113"/>
      <c r="N49" s="42"/>
      <c r="O49" s="18"/>
    </row>
    <row r="50" spans="2:15" x14ac:dyDescent="0.25">
      <c r="B50" s="15"/>
      <c r="C50" s="15"/>
      <c r="D50" s="113"/>
      <c r="E50" s="114"/>
      <c r="F50" s="113"/>
      <c r="G50" s="113"/>
      <c r="I50" s="19"/>
    </row>
    <row r="51" spans="2:15" x14ac:dyDescent="0.25">
      <c r="D51" s="21"/>
      <c r="E51" s="22"/>
      <c r="F51" s="21"/>
      <c r="G51" s="21"/>
      <c r="I51" s="19"/>
      <c r="N51" s="23"/>
    </row>
  </sheetData>
  <mergeCells count="10">
    <mergeCell ref="A1:S1"/>
    <mergeCell ref="A2:T2"/>
    <mergeCell ref="H26:K26"/>
    <mergeCell ref="J28:L28"/>
    <mergeCell ref="A3:F3"/>
    <mergeCell ref="D5:R5"/>
    <mergeCell ref="D9:F9"/>
    <mergeCell ref="H9:J9"/>
    <mergeCell ref="L9:M9"/>
    <mergeCell ref="O9:R9"/>
  </mergeCells>
  <pageMargins left="0.31496062992125984" right="0.31496062992125984" top="0.74803149606299213" bottom="0.74803149606299213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2021</vt:lpstr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Pētersone</dc:creator>
  <cp:lastModifiedBy>Ieva Pētersone</cp:lastModifiedBy>
  <cp:lastPrinted>2021-04-29T13:49:28Z</cp:lastPrinted>
  <dcterms:created xsi:type="dcterms:W3CDTF">2020-10-22T13:25:55Z</dcterms:created>
  <dcterms:modified xsi:type="dcterms:W3CDTF">2021-06-02T09:09:10Z</dcterms:modified>
</cp:coreProperties>
</file>