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vnozare.pri\vm\Redirect_profiles\VM_Lolita_Melke\My Documents\Onko_Plans_2022-2024\PLANS_2022-2024\PLANS_2022-2024\Uz_VSS\VSS\"/>
    </mc:Choice>
  </mc:AlternateContent>
  <xr:revisionPtr revIDLastSave="0" documentId="13_ncr:1_{D7CCE5FF-F8A2-4263-BE03-0061F395AC9F}" xr6:coauthVersionLast="47" xr6:coauthVersionMax="47" xr10:uidLastSave="{00000000-0000-0000-0000-000000000000}"/>
  <bookViews>
    <workbookView xWindow="28680" yWindow="-120" windowWidth="29040" windowHeight="15840" xr2:uid="{6661944D-21B1-4429-ADAB-18E45D2DC71F}"/>
  </bookViews>
  <sheets>
    <sheet name="Aktivitātes" sheetId="1" r:id="rId1"/>
    <sheet name="Sheet2" sheetId="70" r:id="rId2"/>
    <sheet name="1.1." sheetId="2" r:id="rId3"/>
    <sheet name="1.2." sheetId="78" r:id="rId4"/>
    <sheet name="1.3." sheetId="3" r:id="rId5"/>
    <sheet name="1.4." sheetId="4" r:id="rId6"/>
    <sheet name="1.5.1." sheetId="5" r:id="rId7"/>
    <sheet name="1.5.2." sheetId="7" r:id="rId8"/>
    <sheet name="1.5.3." sheetId="8" r:id="rId9"/>
    <sheet name="1.6." sheetId="65" r:id="rId10"/>
    <sheet name="2.1." sheetId="9" r:id="rId11"/>
    <sheet name="2.2." sheetId="10" r:id="rId12"/>
    <sheet name="2.6." sheetId="49" r:id="rId13"/>
    <sheet name="2.10." sheetId="11" r:id="rId14"/>
    <sheet name="3.1." sheetId="6" r:id="rId15"/>
    <sheet name="4.1." sheetId="43" r:id="rId16"/>
    <sheet name="4.2." sheetId="44" r:id="rId17"/>
    <sheet name="4.3." sheetId="45" r:id="rId18"/>
    <sheet name="5.2." sheetId="76" r:id="rId19"/>
    <sheet name="6.1." sheetId="16" r:id="rId20"/>
    <sheet name="6.3.1." sheetId="60" r:id="rId21"/>
    <sheet name="6.3.2." sheetId="59" r:id="rId22"/>
    <sheet name="6.3.3" sheetId="58" r:id="rId23"/>
    <sheet name="6.3.4." sheetId="57" r:id="rId24"/>
    <sheet name="6.3.5." sheetId="18" r:id="rId25"/>
    <sheet name="6.5." sheetId="20" r:id="rId26"/>
    <sheet name="6.6." sheetId="56" r:id="rId27"/>
    <sheet name="6.7." sheetId="68" r:id="rId28"/>
    <sheet name="7.1." sheetId="69" r:id="rId29"/>
    <sheet name="7.2." sheetId="62" r:id="rId30"/>
    <sheet name="7.3." sheetId="67" r:id="rId31"/>
    <sheet name="8.1.1_8.1.2_8.2." sheetId="13" r:id="rId32"/>
    <sheet name="8.3." sheetId="14" r:id="rId33"/>
    <sheet name="8.6." sheetId="63" r:id="rId34"/>
    <sheet name="8.7." sheetId="15" r:id="rId35"/>
    <sheet name="8.8." sheetId="79" r:id="rId36"/>
    <sheet name="9.1.1." sheetId="51" r:id="rId37"/>
    <sheet name="9.1.2." sheetId="52" r:id="rId38"/>
    <sheet name="9.4.1." sheetId="53" r:id="rId39"/>
    <sheet name="10.1." sheetId="54" r:id="rId40"/>
    <sheet name="11.1.1." sheetId="55" r:id="rId41"/>
    <sheet name="12.1.1." sheetId="19" r:id="rId42"/>
    <sheet name="12.1.2." sheetId="21" r:id="rId43"/>
    <sheet name="12.1.3." sheetId="22" r:id="rId44"/>
    <sheet name="12.1.5." sheetId="64" r:id="rId45"/>
    <sheet name="12.1.6." sheetId="24" r:id="rId46"/>
    <sheet name="12.1.7." sheetId="25" r:id="rId47"/>
    <sheet name="13.1.1." sheetId="12" r:id="rId48"/>
    <sheet name="13.1.2." sheetId="26" r:id="rId49"/>
    <sheet name="13.1.3." sheetId="27" r:id="rId50"/>
    <sheet name="13.1.4." sheetId="28" r:id="rId51"/>
    <sheet name="13.1.5." sheetId="29" r:id="rId52"/>
    <sheet name="13.1.7." sheetId="30" r:id="rId53"/>
    <sheet name="13.1.8." sheetId="31" r:id="rId54"/>
    <sheet name="13.1.9." sheetId="33" r:id="rId55"/>
    <sheet name="13.1.10." sheetId="34" r:id="rId56"/>
    <sheet name="13.1.11." sheetId="35" r:id="rId57"/>
    <sheet name="13.1.12." sheetId="36" r:id="rId58"/>
    <sheet name="13.1.13." sheetId="38" r:id="rId59"/>
    <sheet name="13.1.14." sheetId="37" r:id="rId60"/>
    <sheet name="14.1." sheetId="74" r:id="rId61"/>
    <sheet name="14.3." sheetId="40" r:id="rId62"/>
    <sheet name="14.4." sheetId="41" r:id="rId63"/>
    <sheet name="14.5." sheetId="42" r:id="rId64"/>
    <sheet name="16.1." sheetId="47" r:id="rId65"/>
    <sheet name="16.2." sheetId="48" r:id="rId66"/>
    <sheet name="16.3." sheetId="46" r:id="rId67"/>
    <sheet name="16.4." sheetId="73" r:id="rId68"/>
    <sheet name="18.3" sheetId="72" r:id="rId69"/>
    <sheet name="19.1" sheetId="71" r:id="rId70"/>
  </sheets>
  <externalReferences>
    <externalReference r:id="rId71"/>
    <externalReference r:id="rId72"/>
    <externalReference r:id="rId73"/>
    <externalReference r:id="rId74"/>
  </externalReferences>
  <definedNames>
    <definedName name="_Hlk68697302" localSheetId="0">Aktivitātes!#REF!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79" l="1"/>
  <c r="F4" i="79"/>
  <c r="F5" i="79" s="1"/>
  <c r="D4" i="79"/>
  <c r="D5" i="79" s="1"/>
  <c r="H5" i="79"/>
  <c r="D4" i="78" l="1"/>
  <c r="E4" i="78" s="1"/>
  <c r="G14" i="1"/>
  <c r="L14" i="9"/>
  <c r="E5" i="76"/>
  <c r="F5" i="76" s="1"/>
  <c r="C17" i="68"/>
  <c r="K37" i="51"/>
  <c r="J4" i="12"/>
  <c r="I4" i="12"/>
  <c r="J6" i="26"/>
  <c r="I5" i="26"/>
  <c r="I4" i="26"/>
  <c r="J6" i="27"/>
  <c r="I5" i="27"/>
  <c r="I4" i="27"/>
  <c r="J6" i="28"/>
  <c r="I5" i="28"/>
  <c r="I4" i="28"/>
  <c r="J6" i="29"/>
  <c r="I5" i="29"/>
  <c r="I4" i="29"/>
  <c r="J4" i="30"/>
  <c r="I4" i="30"/>
  <c r="J4" i="31"/>
  <c r="I4" i="31"/>
  <c r="J4" i="33"/>
  <c r="I4" i="33"/>
  <c r="I5" i="37"/>
  <c r="I4" i="37"/>
  <c r="I4" i="38"/>
  <c r="I4" i="36"/>
  <c r="J7" i="34"/>
  <c r="I5" i="34"/>
  <c r="I6" i="34"/>
  <c r="I4" i="34"/>
  <c r="J7" i="35"/>
  <c r="I5" i="35"/>
  <c r="I6" i="35"/>
  <c r="I4" i="35"/>
  <c r="J5" i="37" l="1"/>
  <c r="J4" i="37"/>
  <c r="F5" i="74"/>
  <c r="J6" i="37" l="1"/>
  <c r="E14" i="73" l="1"/>
  <c r="D14" i="73"/>
  <c r="C14" i="73"/>
  <c r="C7" i="72" l="1"/>
  <c r="D7" i="72"/>
  <c r="B7" i="72"/>
  <c r="D8" i="71"/>
  <c r="C8" i="71"/>
  <c r="B8" i="71"/>
  <c r="J16" i="1" l="1"/>
  <c r="N17" i="1" l="1"/>
  <c r="N11" i="1"/>
  <c r="D16" i="59"/>
  <c r="E16" i="59"/>
  <c r="C16" i="59"/>
  <c r="H95" i="69" l="1"/>
  <c r="E89" i="69"/>
  <c r="H88" i="69"/>
  <c r="I88" i="69" s="1"/>
  <c r="G88" i="69"/>
  <c r="F88" i="69"/>
  <c r="H87" i="69"/>
  <c r="I87" i="69" s="1"/>
  <c r="G87" i="69"/>
  <c r="F87" i="69"/>
  <c r="H86" i="69"/>
  <c r="I86" i="69" s="1"/>
  <c r="G86" i="69"/>
  <c r="F86" i="69"/>
  <c r="H85" i="69"/>
  <c r="I85" i="69" s="1"/>
  <c r="G85" i="69"/>
  <c r="F85" i="69"/>
  <c r="H84" i="69"/>
  <c r="I84" i="69" s="1"/>
  <c r="G84" i="69"/>
  <c r="F84" i="69"/>
  <c r="H83" i="69"/>
  <c r="I83" i="69" s="1"/>
  <c r="G83" i="69"/>
  <c r="F83" i="69"/>
  <c r="H82" i="69"/>
  <c r="I82" i="69" s="1"/>
  <c r="G82" i="69"/>
  <c r="F82" i="69"/>
  <c r="H81" i="69"/>
  <c r="I81" i="69" s="1"/>
  <c r="G81" i="69"/>
  <c r="F81" i="69"/>
  <c r="H80" i="69"/>
  <c r="I80" i="69" s="1"/>
  <c r="G80" i="69"/>
  <c r="F80" i="69"/>
  <c r="H79" i="69"/>
  <c r="I79" i="69" s="1"/>
  <c r="G79" i="69"/>
  <c r="F79" i="69"/>
  <c r="H78" i="69"/>
  <c r="I78" i="69" s="1"/>
  <c r="G78" i="69"/>
  <c r="F78" i="69"/>
  <c r="H77" i="69"/>
  <c r="I77" i="69" s="1"/>
  <c r="G77" i="69"/>
  <c r="F77" i="69"/>
  <c r="H76" i="69"/>
  <c r="I76" i="69" s="1"/>
  <c r="G76" i="69"/>
  <c r="F76" i="69"/>
  <c r="H75" i="69"/>
  <c r="I75" i="69" s="1"/>
  <c r="G75" i="69"/>
  <c r="F75" i="69"/>
  <c r="H74" i="69"/>
  <c r="I74" i="69" s="1"/>
  <c r="G74" i="69"/>
  <c r="F74" i="69"/>
  <c r="H73" i="69"/>
  <c r="I73" i="69" s="1"/>
  <c r="G73" i="69"/>
  <c r="F73" i="69"/>
  <c r="V16" i="69"/>
  <c r="K15" i="69"/>
  <c r="K14" i="69"/>
  <c r="I14" i="69"/>
  <c r="W13" i="69"/>
  <c r="K13" i="69"/>
  <c r="I13" i="69"/>
  <c r="H13" i="69"/>
  <c r="W12" i="69"/>
  <c r="K12" i="69"/>
  <c r="H12" i="69"/>
  <c r="G12" i="69"/>
  <c r="I7" i="69"/>
  <c r="I15" i="69" s="1"/>
  <c r="H7" i="69"/>
  <c r="H14" i="69" s="1"/>
  <c r="G7" i="69"/>
  <c r="G13" i="69" s="1"/>
  <c r="B2" i="69"/>
  <c r="I89" i="69" l="1"/>
  <c r="Q13" i="69"/>
  <c r="J13" i="69"/>
  <c r="P13" i="69"/>
  <c r="O13" i="69"/>
  <c r="I12" i="69"/>
  <c r="Q12" i="69" s="1"/>
  <c r="G14" i="69"/>
  <c r="H15" i="69"/>
  <c r="G15" i="69"/>
  <c r="R13" i="69" l="1"/>
  <c r="T13" i="69" s="1"/>
  <c r="J12" i="69"/>
  <c r="O14" i="69"/>
  <c r="Q14" i="69"/>
  <c r="J14" i="69"/>
  <c r="P14" i="69"/>
  <c r="P15" i="69"/>
  <c r="R15" i="69"/>
  <c r="T15" i="69" s="1"/>
  <c r="W15" i="69" s="1"/>
  <c r="Q15" i="69"/>
  <c r="J15" i="69"/>
  <c r="O15" i="69"/>
  <c r="O12" i="69"/>
  <c r="P12" i="69"/>
  <c r="R14" i="69" l="1"/>
  <c r="T14" i="69" s="1"/>
  <c r="W14" i="69" s="1"/>
  <c r="W18" i="69" s="1"/>
  <c r="R12" i="69"/>
  <c r="T12" i="69" s="1"/>
  <c r="C13" i="58" l="1"/>
  <c r="B13" i="58"/>
  <c r="K11" i="1" l="1"/>
  <c r="E34" i="20"/>
  <c r="H24" i="20"/>
  <c r="J20" i="1"/>
  <c r="K20" i="1"/>
  <c r="L20" i="1"/>
  <c r="M20" i="1"/>
  <c r="N20" i="1"/>
  <c r="K18" i="1"/>
  <c r="L18" i="1"/>
  <c r="M18" i="1"/>
  <c r="N18" i="1"/>
  <c r="J18" i="1"/>
  <c r="M17" i="1"/>
  <c r="K15" i="1"/>
  <c r="L15" i="1"/>
  <c r="M15" i="1"/>
  <c r="N15" i="1"/>
  <c r="J15" i="1"/>
  <c r="D35" i="20"/>
  <c r="D34" i="20"/>
  <c r="C35" i="20"/>
  <c r="C34" i="20"/>
  <c r="C32" i="20"/>
  <c r="D32" i="20"/>
  <c r="D26" i="20"/>
  <c r="E26" i="20" s="1"/>
  <c r="F26" i="20" s="1"/>
  <c r="G26" i="20" s="1"/>
  <c r="H26" i="20" s="1"/>
  <c r="D25" i="20"/>
  <c r="E25" i="20" s="1"/>
  <c r="F25" i="20" s="1"/>
  <c r="G25" i="20" s="1"/>
  <c r="H25" i="20" s="1"/>
  <c r="D24" i="20"/>
  <c r="E24" i="20" s="1"/>
  <c r="E27" i="20" l="1"/>
  <c r="F24" i="20"/>
  <c r="F27" i="20" l="1"/>
  <c r="G24" i="20"/>
  <c r="G27" i="20" l="1"/>
  <c r="H27" i="20" l="1"/>
  <c r="E32" i="20" s="1"/>
  <c r="E35" i="20" l="1"/>
  <c r="H17" i="1" l="1"/>
  <c r="I17" i="1"/>
  <c r="G17" i="1"/>
  <c r="G15" i="1"/>
  <c r="F40" i="24" l="1"/>
  <c r="G41" i="24"/>
  <c r="G42" i="24"/>
  <c r="J27" i="24"/>
  <c r="J24" i="24"/>
  <c r="J26" i="24" s="1"/>
  <c r="J23" i="24"/>
  <c r="J31" i="24" s="1"/>
  <c r="J32" i="24" l="1"/>
  <c r="J33" i="24"/>
  <c r="J34" i="24"/>
  <c r="J36" i="24" s="1"/>
  <c r="T10" i="19" l="1"/>
  <c r="J10" i="19"/>
  <c r="G10" i="19"/>
  <c r="I10" i="19" s="1"/>
  <c r="F10" i="19"/>
  <c r="P10" i="19" s="1"/>
  <c r="O10" i="19" l="1"/>
  <c r="N10" i="19"/>
  <c r="Q10" i="19" s="1"/>
  <c r="V10" i="19" l="1"/>
  <c r="U10" i="19"/>
  <c r="L95" i="64" l="1"/>
  <c r="L93" i="64"/>
  <c r="F89" i="64"/>
  <c r="F88" i="64"/>
  <c r="F87" i="64"/>
  <c r="F86" i="64"/>
  <c r="F85" i="64"/>
  <c r="F84" i="64"/>
  <c r="F83" i="64"/>
  <c r="F82" i="64"/>
  <c r="F81" i="64"/>
  <c r="F80" i="64"/>
  <c r="F90" i="64" s="1"/>
  <c r="H15" i="1" l="1"/>
  <c r="I15" i="1"/>
  <c r="H20" i="1"/>
  <c r="I20" i="1"/>
  <c r="G20" i="1"/>
  <c r="H13" i="1"/>
  <c r="I13" i="1"/>
  <c r="J13" i="1"/>
  <c r="K13" i="1"/>
  <c r="L13" i="1"/>
  <c r="M13" i="1"/>
  <c r="N13" i="1"/>
  <c r="G13" i="1"/>
  <c r="H19" i="1"/>
  <c r="I19" i="1"/>
  <c r="J19" i="1"/>
  <c r="K19" i="1"/>
  <c r="L19" i="1"/>
  <c r="M19" i="1"/>
  <c r="N19" i="1"/>
  <c r="G19" i="1"/>
  <c r="H18" i="1"/>
  <c r="I18" i="1"/>
  <c r="G18" i="1"/>
  <c r="H16" i="1"/>
  <c r="I16" i="1"/>
  <c r="K16" i="1"/>
  <c r="L16" i="1"/>
  <c r="M16" i="1"/>
  <c r="N16" i="1"/>
  <c r="G16" i="1"/>
  <c r="E13" i="68" l="1"/>
  <c r="B17" i="68" s="1"/>
  <c r="D13" i="68"/>
  <c r="C13" i="68"/>
  <c r="I8" i="68"/>
  <c r="H8" i="68"/>
  <c r="G8" i="68"/>
  <c r="F8" i="68"/>
  <c r="E8" i="68"/>
  <c r="D8" i="68"/>
  <c r="C8" i="68"/>
  <c r="B8" i="68"/>
  <c r="I7" i="68"/>
  <c r="H7" i="68"/>
  <c r="G7" i="68"/>
  <c r="F7" i="68"/>
  <c r="E7" i="68"/>
  <c r="D7" i="68"/>
  <c r="C7" i="68"/>
  <c r="B7" i="68"/>
  <c r="J6" i="68"/>
  <c r="J7" i="68" s="1"/>
  <c r="J8" i="68" l="1"/>
  <c r="J9" i="68" s="1"/>
  <c r="A17" i="68" s="1"/>
  <c r="K75" i="64" l="1"/>
  <c r="F75" i="64"/>
  <c r="J69" i="64"/>
  <c r="H64" i="64"/>
  <c r="G64" i="64"/>
  <c r="F64" i="64"/>
  <c r="I5" i="67" l="1"/>
  <c r="C5" i="67"/>
  <c r="E5" i="67" s="1"/>
  <c r="J5" i="67" s="1"/>
  <c r="B5" i="67"/>
  <c r="H14" i="1" l="1"/>
  <c r="I14" i="1"/>
  <c r="J14" i="1"/>
  <c r="K14" i="1"/>
  <c r="L14" i="1"/>
  <c r="M14" i="1"/>
  <c r="N14" i="1"/>
  <c r="H12" i="1"/>
  <c r="I12" i="1"/>
  <c r="J12" i="1"/>
  <c r="K12" i="1"/>
  <c r="L12" i="1"/>
  <c r="M12" i="1"/>
  <c r="N12" i="1"/>
  <c r="G12" i="1"/>
  <c r="H11" i="1"/>
  <c r="I11" i="1"/>
  <c r="G11" i="1"/>
  <c r="D8" i="65" l="1"/>
  <c r="I9" i="55" l="1"/>
  <c r="K9" i="55"/>
  <c r="J55" i="64"/>
  <c r="J54" i="64"/>
  <c r="J53" i="64"/>
  <c r="J52" i="64"/>
  <c r="J51" i="64"/>
  <c r="J50" i="64"/>
  <c r="J49" i="64"/>
  <c r="J48" i="64"/>
  <c r="J47" i="64"/>
  <c r="J46" i="64"/>
  <c r="J45" i="64"/>
  <c r="J44" i="64"/>
  <c r="J43" i="64"/>
  <c r="J42" i="64"/>
  <c r="H41" i="64"/>
  <c r="J41" i="64" s="1"/>
  <c r="H40" i="64"/>
  <c r="J40" i="64" s="1"/>
  <c r="J36" i="64"/>
  <c r="I36" i="64"/>
  <c r="H36" i="64"/>
  <c r="K35" i="64"/>
  <c r="G35" i="64"/>
  <c r="K34" i="64"/>
  <c r="G34" i="64"/>
  <c r="J26" i="64"/>
  <c r="I26" i="64"/>
  <c r="H26" i="64"/>
  <c r="K25" i="64"/>
  <c r="G25" i="64"/>
  <c r="L25" i="64" s="1"/>
  <c r="K24" i="64"/>
  <c r="G24" i="64"/>
  <c r="L24" i="64" s="1"/>
  <c r="V19" i="64"/>
  <c r="J18" i="64"/>
  <c r="J17" i="64"/>
  <c r="J16" i="64"/>
  <c r="J15" i="64"/>
  <c r="J14" i="64"/>
  <c r="J13" i="64"/>
  <c r="T12" i="64"/>
  <c r="H6" i="64"/>
  <c r="G6" i="64"/>
  <c r="F6" i="64"/>
  <c r="L35" i="64" l="1"/>
  <c r="F13" i="64"/>
  <c r="F69" i="64"/>
  <c r="G14" i="64"/>
  <c r="G69" i="64"/>
  <c r="H18" i="64"/>
  <c r="H69" i="64"/>
  <c r="L34" i="64"/>
  <c r="L36" i="64" s="1"/>
  <c r="J56" i="64"/>
  <c r="L26" i="64"/>
  <c r="K36" i="64"/>
  <c r="K26" i="64"/>
  <c r="F16" i="64"/>
  <c r="H13" i="64"/>
  <c r="H14" i="64"/>
  <c r="G15" i="64"/>
  <c r="G16" i="64"/>
  <c r="G17" i="64"/>
  <c r="G18" i="64"/>
  <c r="F14" i="64"/>
  <c r="G13" i="64"/>
  <c r="P13" i="64" s="1"/>
  <c r="F15" i="64"/>
  <c r="F17" i="64"/>
  <c r="F18" i="64"/>
  <c r="H15" i="64"/>
  <c r="H16" i="64"/>
  <c r="H17" i="64"/>
  <c r="P69" i="64" l="1"/>
  <c r="I69" i="64"/>
  <c r="Q69" i="64"/>
  <c r="O69" i="64"/>
  <c r="R69" i="64" s="1"/>
  <c r="S69" i="64" s="1"/>
  <c r="E75" i="64" s="1"/>
  <c r="G75" i="64" s="1"/>
  <c r="L75" i="64" s="1"/>
  <c r="I18" i="64"/>
  <c r="P17" i="64"/>
  <c r="O17" i="64"/>
  <c r="Q17" i="64"/>
  <c r="P15" i="64"/>
  <c r="Q15" i="64"/>
  <c r="O15" i="64"/>
  <c r="I17" i="64"/>
  <c r="I13" i="64"/>
  <c r="I16" i="64"/>
  <c r="P16" i="64"/>
  <c r="O16" i="64"/>
  <c r="Q16" i="64"/>
  <c r="O13" i="64"/>
  <c r="P18" i="64"/>
  <c r="Q18" i="64"/>
  <c r="R18" i="64" s="1"/>
  <c r="T18" i="64" s="1"/>
  <c r="W18" i="64" s="1"/>
  <c r="AA18" i="64" s="1"/>
  <c r="O18" i="64"/>
  <c r="Q14" i="64"/>
  <c r="O14" i="64"/>
  <c r="P14" i="64"/>
  <c r="I15" i="64"/>
  <c r="I14" i="64"/>
  <c r="Q13" i="64"/>
  <c r="R17" i="64" l="1"/>
  <c r="T17" i="64" s="1"/>
  <c r="W17" i="64" s="1"/>
  <c r="AA17" i="64" s="1"/>
  <c r="R14" i="64"/>
  <c r="T14" i="64" s="1"/>
  <c r="W14" i="64" s="1"/>
  <c r="R16" i="64"/>
  <c r="T16" i="64" s="1"/>
  <c r="W16" i="64" s="1"/>
  <c r="AA16" i="64" s="1"/>
  <c r="R15" i="64"/>
  <c r="T15" i="64" s="1"/>
  <c r="W15" i="64" s="1"/>
  <c r="AA15" i="64" s="1"/>
  <c r="R13" i="64"/>
  <c r="T13" i="64" s="1"/>
  <c r="W13" i="64" s="1"/>
  <c r="AA13" i="64" s="1"/>
  <c r="AA14" i="64"/>
  <c r="AB14" i="64"/>
  <c r="AB19" i="64" s="1"/>
  <c r="L94" i="64" s="1"/>
  <c r="W19" i="64" l="1"/>
  <c r="AA19" i="64"/>
  <c r="H11" i="63" l="1"/>
  <c r="G11" i="63"/>
  <c r="F11" i="63"/>
  <c r="H10" i="63"/>
  <c r="G10" i="63"/>
  <c r="F10" i="63"/>
  <c r="H9" i="63"/>
  <c r="G9" i="63"/>
  <c r="F9" i="63"/>
  <c r="H8" i="63"/>
  <c r="G8" i="63"/>
  <c r="F8" i="63"/>
  <c r="H7" i="63"/>
  <c r="G7" i="63"/>
  <c r="F7" i="63"/>
  <c r="H6" i="63"/>
  <c r="G6" i="63"/>
  <c r="F6" i="63"/>
  <c r="H5" i="63"/>
  <c r="H13" i="63" s="1"/>
  <c r="B5" i="63"/>
  <c r="G5" i="63" s="1"/>
  <c r="G13" i="63" s="1"/>
  <c r="F5" i="63" l="1"/>
  <c r="F13" i="63" s="1"/>
  <c r="C17" i="62" l="1"/>
  <c r="J12" i="62"/>
  <c r="I12" i="62"/>
  <c r="G12" i="62"/>
  <c r="F12" i="62"/>
  <c r="D12" i="62"/>
  <c r="C12" i="62"/>
  <c r="K11" i="62"/>
  <c r="H11" i="62"/>
  <c r="K10" i="62"/>
  <c r="H9" i="62"/>
  <c r="E9" i="62"/>
  <c r="K8" i="62"/>
  <c r="K7" i="62"/>
  <c r="H7" i="62"/>
  <c r="H12" i="62" s="1"/>
  <c r="K6" i="62"/>
  <c r="H6" i="62"/>
  <c r="E6" i="62"/>
  <c r="K5" i="62"/>
  <c r="H5" i="62"/>
  <c r="E5" i="62"/>
  <c r="E12" i="62" s="1"/>
  <c r="K4" i="62"/>
  <c r="K12" i="62" l="1"/>
  <c r="E45" i="60" l="1"/>
  <c r="G45" i="60" s="1"/>
  <c r="I39" i="60"/>
  <c r="I41" i="60" s="1"/>
  <c r="H8" i="60"/>
  <c r="H10" i="60" s="1"/>
  <c r="G8" i="60"/>
  <c r="G10" i="60" s="1"/>
  <c r="F8" i="60"/>
  <c r="E8" i="60"/>
  <c r="E10" i="60" s="1"/>
  <c r="E39" i="60" l="1"/>
  <c r="F39" i="60"/>
  <c r="F41" i="60" s="1"/>
  <c r="G39" i="60"/>
  <c r="G41" i="60" s="1"/>
  <c r="H39" i="60"/>
  <c r="H41" i="60" s="1"/>
  <c r="F10" i="60"/>
  <c r="E41" i="60"/>
  <c r="E42" i="60" l="1"/>
  <c r="H33" i="57" l="1"/>
  <c r="I33" i="57" s="1"/>
  <c r="I29" i="57"/>
  <c r="H29" i="57"/>
  <c r="E29" i="57"/>
  <c r="I27" i="57"/>
  <c r="H27" i="57"/>
  <c r="G27" i="57"/>
  <c r="G29" i="57" s="1"/>
  <c r="F27" i="57"/>
  <c r="F29" i="57" s="1"/>
  <c r="E27" i="57"/>
  <c r="C14" i="18"/>
  <c r="D14" i="18" s="1"/>
  <c r="C5" i="18"/>
  <c r="D5" i="18" s="1"/>
  <c r="F5" i="18" s="1"/>
  <c r="N41" i="56"/>
  <c r="M41" i="56"/>
  <c r="K41" i="56"/>
  <c r="L41" i="56" s="1"/>
  <c r="J41" i="56"/>
  <c r="I41" i="56"/>
  <c r="H41" i="56"/>
  <c r="F41" i="56"/>
  <c r="G41" i="56" s="1"/>
  <c r="E41" i="56"/>
  <c r="D41" i="56"/>
  <c r="C41" i="56"/>
  <c r="O40" i="56"/>
  <c r="L40" i="56"/>
  <c r="P40" i="56" s="1"/>
  <c r="G40" i="56"/>
  <c r="O39" i="56"/>
  <c r="L39" i="56"/>
  <c r="P39" i="56" s="1"/>
  <c r="G39" i="56"/>
  <c r="O38" i="56"/>
  <c r="L38" i="56"/>
  <c r="P38" i="56" s="1"/>
  <c r="G38" i="56"/>
  <c r="O37" i="56"/>
  <c r="L37" i="56"/>
  <c r="P37" i="56" s="1"/>
  <c r="G37" i="56"/>
  <c r="O36" i="56"/>
  <c r="L36" i="56"/>
  <c r="P36" i="56" s="1"/>
  <c r="G36" i="56"/>
  <c r="O35" i="56"/>
  <c r="L35" i="56"/>
  <c r="P35" i="56" s="1"/>
  <c r="G35" i="56"/>
  <c r="O34" i="56"/>
  <c r="L34" i="56"/>
  <c r="P34" i="56" s="1"/>
  <c r="G34" i="56"/>
  <c r="O33" i="56"/>
  <c r="L33" i="56"/>
  <c r="P33" i="56" s="1"/>
  <c r="G33" i="56"/>
  <c r="O32" i="56"/>
  <c r="L32" i="56"/>
  <c r="P32" i="56" s="1"/>
  <c r="G32" i="56"/>
  <c r="O31" i="56"/>
  <c r="L31" i="56"/>
  <c r="P31" i="56" s="1"/>
  <c r="G31" i="56"/>
  <c r="E21" i="56"/>
  <c r="D21" i="56"/>
  <c r="E20" i="56"/>
  <c r="D20" i="56"/>
  <c r="E19" i="56"/>
  <c r="D19" i="56"/>
  <c r="E18" i="56"/>
  <c r="D18" i="56"/>
  <c r="E17" i="56"/>
  <c r="D17" i="56"/>
  <c r="D12" i="56"/>
  <c r="F12" i="56" s="1"/>
  <c r="D11" i="56"/>
  <c r="F11" i="56" s="1"/>
  <c r="D10" i="56"/>
  <c r="F10" i="56" s="1"/>
  <c r="D9" i="56"/>
  <c r="F9" i="56" s="1"/>
  <c r="D8" i="56"/>
  <c r="F8" i="56" s="1"/>
  <c r="D7" i="56"/>
  <c r="F7" i="56" s="1"/>
  <c r="D6" i="56"/>
  <c r="F6" i="56" s="1"/>
  <c r="E30" i="57" l="1"/>
  <c r="H5" i="18"/>
  <c r="I10" i="18"/>
  <c r="I9" i="18"/>
  <c r="P41" i="56"/>
  <c r="O41" i="56"/>
  <c r="E22" i="56"/>
  <c r="D22" i="56"/>
  <c r="M45" i="56"/>
  <c r="L45" i="56"/>
  <c r="F13" i="56"/>
  <c r="K45" i="56" s="1"/>
  <c r="F8" i="55"/>
  <c r="G8" i="55" s="1"/>
  <c r="F7" i="55"/>
  <c r="G7" i="55" s="1"/>
  <c r="G5" i="55"/>
  <c r="E5" i="54"/>
  <c r="G5" i="54" s="1"/>
  <c r="C8" i="53"/>
  <c r="D8" i="53"/>
  <c r="B8" i="53"/>
  <c r="B24" i="52"/>
  <c r="E23" i="52"/>
  <c r="J23" i="52" s="1"/>
  <c r="K23" i="52" s="1"/>
  <c r="E22" i="52"/>
  <c r="J22" i="52" s="1"/>
  <c r="K22" i="52" s="1"/>
  <c r="E21" i="52"/>
  <c r="J21" i="52" s="1"/>
  <c r="K21" i="52" s="1"/>
  <c r="E20" i="52"/>
  <c r="J20" i="52" s="1"/>
  <c r="K20" i="52" s="1"/>
  <c r="E19" i="52"/>
  <c r="J19" i="52" s="1"/>
  <c r="K19" i="52" s="1"/>
  <c r="E18" i="52"/>
  <c r="J18" i="52" s="1"/>
  <c r="K18" i="52" s="1"/>
  <c r="E17" i="52"/>
  <c r="J17" i="52" s="1"/>
  <c r="K17" i="52" s="1"/>
  <c r="E16" i="52"/>
  <c r="J16" i="52" s="1"/>
  <c r="E15" i="52"/>
  <c r="F15" i="52" s="1"/>
  <c r="E14" i="52"/>
  <c r="F14" i="52" s="1"/>
  <c r="E13" i="52"/>
  <c r="J13" i="52" s="1"/>
  <c r="K13" i="52" s="1"/>
  <c r="E12" i="52"/>
  <c r="F12" i="52" s="1"/>
  <c r="E11" i="52"/>
  <c r="F11" i="52" s="1"/>
  <c r="E10" i="52"/>
  <c r="J10" i="52" s="1"/>
  <c r="K10" i="52" s="1"/>
  <c r="E9" i="52"/>
  <c r="F9" i="52" s="1"/>
  <c r="E8" i="52"/>
  <c r="F8" i="52" s="1"/>
  <c r="E7" i="52"/>
  <c r="J7" i="52" s="1"/>
  <c r="K7" i="52" s="1"/>
  <c r="E6" i="52"/>
  <c r="F6" i="52" s="1"/>
  <c r="E5" i="52"/>
  <c r="F5" i="52" s="1"/>
  <c r="E4" i="52"/>
  <c r="G35" i="51"/>
  <c r="K25" i="51"/>
  <c r="L8" i="51"/>
  <c r="L9" i="51"/>
  <c r="L13" i="51"/>
  <c r="L14" i="51"/>
  <c r="L15" i="51"/>
  <c r="L7" i="51"/>
  <c r="F6" i="55" l="1"/>
  <c r="G6" i="55" s="1"/>
  <c r="G9" i="55" s="1"/>
  <c r="J5" i="52"/>
  <c r="K5" i="52" s="1"/>
  <c r="F13" i="52"/>
  <c r="F16" i="52"/>
  <c r="F20" i="52"/>
  <c r="F22" i="52"/>
  <c r="F18" i="52"/>
  <c r="E24" i="52"/>
  <c r="B28" i="52" s="1"/>
  <c r="F10" i="52"/>
  <c r="F17" i="52"/>
  <c r="F19" i="52"/>
  <c r="F21" i="52"/>
  <c r="F23" i="52"/>
  <c r="J24" i="52"/>
  <c r="C28" i="52" s="1"/>
  <c r="K16" i="52"/>
  <c r="K24" i="52" s="1"/>
  <c r="F4" i="52"/>
  <c r="F7" i="52"/>
  <c r="D28" i="52" l="1"/>
  <c r="E28" i="52" s="1"/>
  <c r="F24" i="52"/>
  <c r="E7" i="49" l="1"/>
  <c r="D7" i="49"/>
  <c r="C7" i="49"/>
  <c r="E7" i="48"/>
  <c r="D7" i="48"/>
  <c r="C7" i="48"/>
  <c r="E11" i="47"/>
  <c r="D11" i="47"/>
  <c r="C11" i="47"/>
  <c r="E6" i="46"/>
  <c r="D6" i="46"/>
  <c r="C6" i="46"/>
  <c r="E7" i="45" l="1"/>
  <c r="D7" i="45"/>
  <c r="C7" i="45"/>
  <c r="E7" i="44"/>
  <c r="D7" i="44"/>
  <c r="C7" i="44"/>
  <c r="E7" i="43"/>
  <c r="D7" i="43"/>
  <c r="C7" i="43"/>
  <c r="E10" i="42" l="1"/>
  <c r="E9" i="42"/>
  <c r="E10" i="41"/>
  <c r="E11" i="41" s="1"/>
  <c r="E12" i="41"/>
  <c r="D5" i="40"/>
  <c r="C5" i="40"/>
  <c r="H5" i="40" s="1"/>
  <c r="J4" i="38"/>
  <c r="J4" i="36"/>
  <c r="J6" i="35"/>
  <c r="J5" i="35"/>
  <c r="J4" i="35"/>
  <c r="J6" i="34"/>
  <c r="J5" i="34"/>
  <c r="J4" i="34"/>
  <c r="J5" i="29"/>
  <c r="J4" i="29"/>
  <c r="J5" i="28"/>
  <c r="J4" i="28"/>
  <c r="J5" i="27"/>
  <c r="J4" i="27"/>
  <c r="J5" i="26"/>
  <c r="J4" i="26"/>
  <c r="F21" i="25" l="1"/>
  <c r="G19" i="25" s="1"/>
  <c r="F27" i="25"/>
  <c r="G26" i="25" s="1"/>
  <c r="K14" i="25"/>
  <c r="K13" i="25"/>
  <c r="I13" i="25"/>
  <c r="H13" i="25"/>
  <c r="G13" i="25"/>
  <c r="I7" i="25"/>
  <c r="I8" i="25" s="1"/>
  <c r="I14" i="25" s="1"/>
  <c r="H7" i="25"/>
  <c r="H8" i="25" s="1"/>
  <c r="H14" i="25" s="1"/>
  <c r="G7" i="25"/>
  <c r="G8" i="25" s="1"/>
  <c r="G14" i="25" s="1"/>
  <c r="H15" i="24"/>
  <c r="G25" i="25" l="1"/>
  <c r="F30" i="25"/>
  <c r="G20" i="25"/>
  <c r="H33" i="25" s="1"/>
  <c r="P13" i="25"/>
  <c r="G30" i="25"/>
  <c r="Q14" i="25"/>
  <c r="P14" i="25"/>
  <c r="R14" i="25"/>
  <c r="J14" i="25"/>
  <c r="Q13" i="25"/>
  <c r="J13" i="25"/>
  <c r="R13" i="25"/>
  <c r="H32" i="25"/>
  <c r="D22" i="22"/>
  <c r="E21" i="22"/>
  <c r="F21" i="22" s="1"/>
  <c r="E20" i="22"/>
  <c r="F20" i="22" s="1"/>
  <c r="E19" i="22"/>
  <c r="F19" i="22" s="1"/>
  <c r="E18" i="22"/>
  <c r="F18" i="22" s="1"/>
  <c r="E14" i="22"/>
  <c r="H13" i="22"/>
  <c r="I13" i="22" s="1"/>
  <c r="H12" i="22"/>
  <c r="I12" i="22" s="1"/>
  <c r="H11" i="22"/>
  <c r="I11" i="22" s="1"/>
  <c r="H10" i="22"/>
  <c r="I10" i="22" s="1"/>
  <c r="H9" i="22"/>
  <c r="I9" i="22" s="1"/>
  <c r="I8" i="22"/>
  <c r="H8" i="22"/>
  <c r="H7" i="22"/>
  <c r="I7" i="22" s="1"/>
  <c r="H6" i="22"/>
  <c r="I6" i="22" s="1"/>
  <c r="C17" i="21"/>
  <c r="M12" i="21"/>
  <c r="L12" i="21"/>
  <c r="K12" i="21"/>
  <c r="H12" i="21"/>
  <c r="D12" i="21"/>
  <c r="G12" i="21" s="1"/>
  <c r="C12" i="21"/>
  <c r="F12" i="21" s="1"/>
  <c r="L11" i="21"/>
  <c r="J11" i="21"/>
  <c r="I11" i="21"/>
  <c r="G11" i="21"/>
  <c r="F11" i="21"/>
  <c r="Q11" i="21" s="1"/>
  <c r="J12" i="21" l="1"/>
  <c r="S14" i="25"/>
  <c r="E30" i="25" s="1"/>
  <c r="S13" i="25"/>
  <c r="D30" i="25" s="1"/>
  <c r="T13" i="25"/>
  <c r="T14" i="25"/>
  <c r="F22" i="22"/>
  <c r="I14" i="22"/>
  <c r="N12" i="21"/>
  <c r="P12" i="21"/>
  <c r="O12" i="21"/>
  <c r="I12" i="21"/>
  <c r="F15" i="20"/>
  <c r="F12" i="20"/>
  <c r="I13" i="20" s="1"/>
  <c r="C10" i="20"/>
  <c r="C11" i="20" s="1"/>
  <c r="C15" i="20" s="1"/>
  <c r="C16" i="20" l="1"/>
  <c r="I14" i="20" s="1"/>
  <c r="I15" i="20" s="1"/>
  <c r="F16" i="20"/>
  <c r="F11" i="20"/>
  <c r="Q12" i="21"/>
  <c r="S11" i="21" s="1"/>
  <c r="D15" i="21" s="1"/>
  <c r="I30" i="25"/>
  <c r="H30" i="25"/>
  <c r="I17" i="22"/>
  <c r="D16" i="21" l="1"/>
  <c r="D17" i="21" s="1"/>
  <c r="H31" i="25"/>
  <c r="I33" i="25" s="1"/>
  <c r="I32" i="25" l="1"/>
  <c r="B6" i="16" l="1"/>
  <c r="E59" i="15"/>
  <c r="F59" i="15" s="1"/>
  <c r="E58" i="15"/>
  <c r="F58" i="15" s="1"/>
  <c r="G58" i="15" s="1"/>
  <c r="H58" i="15" s="1"/>
  <c r="F53" i="15"/>
  <c r="E53" i="15"/>
  <c r="G53" i="15" s="1"/>
  <c r="F52" i="15"/>
  <c r="G52" i="15" s="1"/>
  <c r="E52" i="15"/>
  <c r="G51" i="15"/>
  <c r="F51" i="15"/>
  <c r="E51" i="15"/>
  <c r="F50" i="15"/>
  <c r="G50" i="15" s="1"/>
  <c r="E50" i="15"/>
  <c r="F49" i="15"/>
  <c r="E49" i="15"/>
  <c r="G49" i="15" s="1"/>
  <c r="F48" i="15"/>
  <c r="G48" i="15" s="1"/>
  <c r="E48" i="15"/>
  <c r="G47" i="15"/>
  <c r="F47" i="15"/>
  <c r="E47" i="15"/>
  <c r="F46" i="15"/>
  <c r="G46" i="15" s="1"/>
  <c r="E46" i="15"/>
  <c r="F45" i="15"/>
  <c r="E45" i="15"/>
  <c r="G45" i="15" s="1"/>
  <c r="F44" i="15"/>
  <c r="G44" i="15" s="1"/>
  <c r="E44" i="15"/>
  <c r="G43" i="15"/>
  <c r="F43" i="15"/>
  <c r="E43" i="15"/>
  <c r="F42" i="15"/>
  <c r="G42" i="15" s="1"/>
  <c r="E42" i="15"/>
  <c r="F41" i="15"/>
  <c r="E41" i="15"/>
  <c r="G41" i="15" s="1"/>
  <c r="H37" i="15"/>
  <c r="G37" i="15"/>
  <c r="I37" i="15" s="1"/>
  <c r="H36" i="15"/>
  <c r="G36" i="15"/>
  <c r="I36" i="15" s="1"/>
  <c r="I35" i="15"/>
  <c r="H35" i="15"/>
  <c r="G35" i="15"/>
  <c r="H34" i="15"/>
  <c r="G34" i="15"/>
  <c r="I34" i="15" s="1"/>
  <c r="H33" i="15"/>
  <c r="G33" i="15"/>
  <c r="I33" i="15" s="1"/>
  <c r="H32" i="15"/>
  <c r="G32" i="15"/>
  <c r="I32" i="15" s="1"/>
  <c r="I31" i="15"/>
  <c r="H31" i="15"/>
  <c r="G31" i="15"/>
  <c r="H30" i="15"/>
  <c r="G30" i="15"/>
  <c r="I30" i="15" s="1"/>
  <c r="H29" i="15"/>
  <c r="G29" i="15"/>
  <c r="I29" i="15" s="1"/>
  <c r="H28" i="15"/>
  <c r="G28" i="15"/>
  <c r="I28" i="15" s="1"/>
  <c r="I27" i="15"/>
  <c r="H27" i="15"/>
  <c r="G27" i="15"/>
  <c r="H26" i="15"/>
  <c r="G26" i="15"/>
  <c r="I26" i="15" s="1"/>
  <c r="E23" i="15"/>
  <c r="E17" i="15"/>
  <c r="I17" i="15" s="1"/>
  <c r="C6" i="16" l="1"/>
  <c r="H6" i="16" s="1"/>
  <c r="I38" i="15"/>
  <c r="G54" i="15"/>
  <c r="C64" i="15" s="1"/>
  <c r="C65" i="15" s="1"/>
  <c r="H9" i="16" l="1"/>
  <c r="H12" i="16"/>
  <c r="H8" i="16"/>
  <c r="H11" i="16"/>
  <c r="H10" i="16"/>
  <c r="H13" i="16" l="1"/>
  <c r="J6" i="16" s="1"/>
  <c r="K6" i="16" s="1"/>
  <c r="L6" i="16" s="1"/>
  <c r="D4" i="14" l="1"/>
  <c r="F4" i="14" s="1"/>
  <c r="C4" i="13" l="1"/>
  <c r="D4" i="13"/>
  <c r="E4" i="13"/>
  <c r="F4" i="13"/>
  <c r="G4" i="13"/>
  <c r="B4" i="13"/>
  <c r="I15" i="6" l="1"/>
  <c r="I14" i="6"/>
  <c r="I13" i="6"/>
  <c r="I12" i="6"/>
  <c r="C7" i="6"/>
  <c r="D7" i="6" s="1"/>
  <c r="C6" i="6"/>
  <c r="D6" i="6" s="1"/>
  <c r="D5" i="6" s="1"/>
  <c r="B5" i="6"/>
  <c r="C5" i="6" s="1"/>
  <c r="C4" i="6"/>
  <c r="D4" i="6" s="1"/>
  <c r="E7" i="11"/>
  <c r="E6" i="11"/>
  <c r="E5" i="11"/>
  <c r="E4" i="11"/>
  <c r="E8" i="11" s="1"/>
  <c r="H7" i="10"/>
  <c r="G7" i="10"/>
  <c r="F7" i="10"/>
  <c r="B15" i="9"/>
  <c r="E15" i="9" s="1"/>
  <c r="G8" i="9"/>
  <c r="J7" i="9"/>
  <c r="I7" i="9"/>
  <c r="H7" i="9"/>
  <c r="K7" i="9" s="1"/>
  <c r="J6" i="9"/>
  <c r="I6" i="9"/>
  <c r="B16" i="9" s="1"/>
  <c r="H6" i="9"/>
  <c r="K5" i="9"/>
  <c r="J5" i="9"/>
  <c r="C15" i="9" s="1"/>
  <c r="I5" i="9"/>
  <c r="H5" i="9"/>
  <c r="L5" i="9" s="1"/>
  <c r="K4" i="9"/>
  <c r="C14" i="9" s="1"/>
  <c r="J4" i="9"/>
  <c r="I4" i="9"/>
  <c r="I8" i="9" s="1"/>
  <c r="H4" i="9"/>
  <c r="B14" i="9" s="1"/>
  <c r="E4" i="8"/>
  <c r="D4" i="8"/>
  <c r="I15" i="7"/>
  <c r="F15" i="7"/>
  <c r="H14" i="7"/>
  <c r="H16" i="7" s="1"/>
  <c r="G14" i="7"/>
  <c r="E14" i="7"/>
  <c r="E16" i="7" s="1"/>
  <c r="D14" i="7"/>
  <c r="B8" i="7"/>
  <c r="I13" i="7" s="1"/>
  <c r="D7" i="5"/>
  <c r="C7" i="5"/>
  <c r="C7" i="4"/>
  <c r="C6" i="3"/>
  <c r="C6" i="2"/>
  <c r="E5" i="6" l="1"/>
  <c r="F14" i="9"/>
  <c r="I14" i="9"/>
  <c r="G15" i="9"/>
  <c r="E14" i="9"/>
  <c r="H14" i="9"/>
  <c r="D14" i="9"/>
  <c r="H16" i="9"/>
  <c r="E16" i="9"/>
  <c r="C17" i="9"/>
  <c r="I15" i="9"/>
  <c r="F15" i="9"/>
  <c r="C16" i="9"/>
  <c r="J8" i="9"/>
  <c r="K6" i="9"/>
  <c r="L6" i="9" s="1"/>
  <c r="H8" i="9"/>
  <c r="D15" i="9"/>
  <c r="H15" i="9"/>
  <c r="J15" i="9" s="1"/>
  <c r="B17" i="9"/>
  <c r="L7" i="9"/>
  <c r="L4" i="9"/>
  <c r="F12" i="7"/>
  <c r="F14" i="7" s="1"/>
  <c r="F16" i="7" s="1"/>
  <c r="I12" i="7"/>
  <c r="I14" i="7" s="1"/>
  <c r="I16" i="7" s="1"/>
  <c r="F13" i="7"/>
  <c r="D8" i="7"/>
  <c r="F16" i="9" l="1"/>
  <c r="I16" i="9"/>
  <c r="J16" i="9" s="1"/>
  <c r="G16" i="9"/>
  <c r="E17" i="9"/>
  <c r="D17" i="9"/>
  <c r="H17" i="9"/>
  <c r="D16" i="9"/>
  <c r="D18" i="9" s="1"/>
  <c r="J14" i="9"/>
  <c r="C18" i="9"/>
  <c r="K8" i="9"/>
  <c r="G14" i="9"/>
  <c r="E18" i="9"/>
  <c r="I18" i="9"/>
  <c r="L8" i="9"/>
  <c r="F17" i="9"/>
  <c r="F18" i="9" s="1"/>
  <c r="I17" i="9"/>
  <c r="B18" i="9"/>
  <c r="J17" i="9" l="1"/>
  <c r="G18" i="9"/>
  <c r="H18" i="9"/>
  <c r="J18" i="9"/>
  <c r="G17" i="9"/>
  <c r="K17" i="1" l="1"/>
  <c r="L17" i="1"/>
  <c r="J17" i="1"/>
  <c r="J11" i="1" l="1"/>
  <c r="L11" i="1"/>
</calcChain>
</file>

<file path=xl/sharedStrings.xml><?xml version="1.0" encoding="utf-8"?>
<sst xmlns="http://schemas.openxmlformats.org/spreadsheetml/2006/main" count="2995" uniqueCount="1650">
  <si>
    <t>Pasākums</t>
  </si>
  <si>
    <t>2022.g.</t>
  </si>
  <si>
    <t>2023.g.</t>
  </si>
  <si>
    <t xml:space="preserve">Iespēja izvērtēt viltus pozitīvo un viltus negatīvo, kā arī intervāla vēžu īpatsvaru. </t>
  </si>
  <si>
    <t>1.1.</t>
  </si>
  <si>
    <t>1.2.</t>
  </si>
  <si>
    <t>1.3.</t>
  </si>
  <si>
    <t>1.4.</t>
  </si>
  <si>
    <t>2.2.</t>
  </si>
  <si>
    <t>2.1.</t>
  </si>
  <si>
    <t>2.3.</t>
  </si>
  <si>
    <t>SPKC</t>
  </si>
  <si>
    <t>3.1.</t>
  </si>
  <si>
    <t>3.2.</t>
  </si>
  <si>
    <t>NVD</t>
  </si>
  <si>
    <t>4.1.</t>
  </si>
  <si>
    <t>4.2.</t>
  </si>
  <si>
    <t>4.3.</t>
  </si>
  <si>
    <t>5.1.</t>
  </si>
  <si>
    <t>5.2.</t>
  </si>
  <si>
    <t>5.3.</t>
  </si>
  <si>
    <t>VM</t>
  </si>
  <si>
    <t>Pārskatīt Stratēģiskā iepirkumā noteiktos kvalitātes indikatorus ārstniecības iestādēm, laboratorijām un ārstniecības personām, nodrošinot kvalitatīvus veselības aprūpes pakalpojumus onkoloģijas jomā.</t>
  </si>
  <si>
    <t>Definētas vēža skrīninga vadlīnijas, kuras tiek piemērotas Latvijā, atbilstošie kvalitātes indikatori. Noteikts pacienta ceļš skrīninga programmā, iekļaujot arī turpmāko ārtsēšanu.</t>
  </si>
  <si>
    <t>Bez finansējuma</t>
  </si>
  <si>
    <t>1.5.</t>
  </si>
  <si>
    <t>Plānots DG REFORM projekta ietvarā</t>
  </si>
  <si>
    <t>Pārskatītas kvalitātes prasības pakalpojuma sniedzējiem, kas nodrošina primāro un sekundāro skrīninga izmeklējumu veikšanu, minimāli nepieciešamā aprīkojuma sarakstu, paraugu loģistiku, veiktas atbilstošās izmaiņas iepirkumiem plānotajā dokumentācijā</t>
  </si>
  <si>
    <t>Darbības rezultāts</t>
  </si>
  <si>
    <t>Līdzatbildīgā institūcija</t>
  </si>
  <si>
    <t>Atbildīgā institūcija</t>
  </si>
  <si>
    <t xml:space="preserve">NVD </t>
  </si>
  <si>
    <t xml:space="preserve">VM </t>
  </si>
  <si>
    <t>NVD, VM</t>
  </si>
  <si>
    <t>RAKUS</t>
  </si>
  <si>
    <t>RAKUS, PSKUS, Daugavpils</t>
  </si>
  <si>
    <t>Pamatojoties uz ES kvalitātes vadlīniju kritērijiem, izstrādāt metodiku, pēc kuras jāvadās atkārtotu un kontroles izmeklējumu veikšanai (t.sk. intervāls)</t>
  </si>
  <si>
    <t>IZM, pētniecības organizācijas</t>
  </si>
  <si>
    <t>Ārstniecības iestādes, Ārstniecības personu profesionālās asociācijas, VM</t>
  </si>
  <si>
    <t>11.1.</t>
  </si>
  <si>
    <t>Attīstīt rekonstruktīvās ķirurģijas pakalpojumus onkoloģisko slimību pacientiem</t>
  </si>
  <si>
    <t>Sagatavoti priekšlikumi grozījumiem NA</t>
  </si>
  <si>
    <t>Ārstniecības personu profesionālās asociācijas</t>
  </si>
  <si>
    <t>Attīstīt Orpha koda izmantošanu medikamentu izrakstīšanā</t>
  </si>
  <si>
    <t>Izstrādāts onkoloģisko pacientu ārstēšanā lietojamo zāļu saraksts (gaidīšanas rinda), tā uzlabojot procesa caurredzamību un budžeta plānošanu</t>
  </si>
  <si>
    <t>Papildus finansējuma piešķiršanas gadījumā kā prioritāras KZS tiek iekļautas zāles ar augstāku vietu gaidīšanas rindā</t>
  </si>
  <si>
    <t>Pieejama moderna datu bāze, kas apkopo izmeklējumu statistiku un ļauj izsekot pacientam dinamikā</t>
  </si>
  <si>
    <t xml:space="preserve">Samazināts diagnostikas laiks izmeklējumien, ieviesta Quality management (QM) system un Good Clinical Practice and Good Laboratory Practice standarts. </t>
  </si>
  <si>
    <t>12.1.</t>
  </si>
  <si>
    <t>Priekšlikumi grozījumiem NA</t>
  </si>
  <si>
    <t>Esošā budžeta ietvaros</t>
  </si>
  <si>
    <t>2022.-2024.g.</t>
  </si>
  <si>
    <t>Dalītas aprūpes ieviešana bērnu hematoonkoloģijā</t>
  </si>
  <si>
    <t>Onkoloģisko pacientu pāreja uz pieaugušo ārstēšanas un uzraudzības etapu</t>
  </si>
  <si>
    <t>Tiek nodrošināta koordinēta bērnu parēju uz pieaugušo aprūpes centru.</t>
  </si>
  <si>
    <t>Ārstniecības iestādes</t>
  </si>
  <si>
    <t>Patoloģijas laboratorijas aprīkotas ar modernām audu krāsošanas, IHC veikšanai nepieciešamām tehnoloģijām</t>
  </si>
  <si>
    <t>Patoloģijas laboratorijas spēj nodrošināt pacientiem nepieciešamo IHC testu izpildi atbilstoši protokolu starptautiskām prasībām.</t>
  </si>
  <si>
    <t>Izvērtēt iespējas izveidot allokaula banku</t>
  </si>
  <si>
    <t>ES finansējums</t>
  </si>
  <si>
    <t xml:space="preserve">Sagatavoti priekšlikumi </t>
  </si>
  <si>
    <t>Vēža reģistra satura veidošana</t>
  </si>
  <si>
    <t>Izpildes termiņš</t>
  </si>
  <si>
    <t xml:space="preserve">Mazināt onkogēno CPV izplatību sabiedrībā un ar to saistīto onkoloģisko patoloģiju, t.sk. saslimstību ar dzemdes kakla vēzi. </t>
  </si>
  <si>
    <t>Ārstniecības personu profesionālās asociācijas, NVO</t>
  </si>
  <si>
    <t xml:space="preserve">Sabiedrības informēšanas pasākumi par valsts apmaksātu prostatas specifiskā antigēna noteikšanu </t>
  </si>
  <si>
    <t>LM</t>
  </si>
  <si>
    <t>NRC Vaivari sadarbībā ar ārstniecības personu profesionālajām asociācijām, VM</t>
  </si>
  <si>
    <t>Izstrādātas klīniskās rekomendācijas ar speciālistu novērtēšanas protokolu paraugiem un pacienta ceļa kartēm. Izstrādāti novērtēšanas kritēriji onkoloģisko pacientu nosūtīšanai uz rehabilitāciju vai paliatīvo aprūpi, balstoties uz pierādījumiem balstītā un starptautiski atzītiem novērtēšanas instrumentiem. Veikt Starptautiskās funkcionēšanas klasifikācijas ar onkoloģiskām slimībām saistīto pamatkopu tulkojumu un adaptāciju latviešu valodā.</t>
  </si>
  <si>
    <t>VI. RĪCĪBAS VIRZIENS - CILVĒKRESURSU PIEEJAMĪBA ONKOLOĢIJAS JOMĀ</t>
  </si>
  <si>
    <t>III. RĪCĪBAS VIRZIENS - ĀRSTNIECĪBAS KVALITĀTES UN PIEEJAMĪBAS UZLABOŠANA</t>
  </si>
  <si>
    <t>2.4.</t>
  </si>
  <si>
    <t>2.5.</t>
  </si>
  <si>
    <t>9.4.</t>
  </si>
  <si>
    <t>18.3.</t>
  </si>
  <si>
    <t>19.1.</t>
  </si>
  <si>
    <t>20.1.</t>
  </si>
  <si>
    <t>16.2.</t>
  </si>
  <si>
    <t>16.3.</t>
  </si>
  <si>
    <t>Veikts uz pierādījumiem un ES rekomendācijām balstīts izvērtējums jaunu skrīninga programu ieviešanai valstī, noteikti nākamie soļi šādas ieviešanas plānošanai. Potenciālās skrīninga jomas - plaušu, kuņģa vēzis</t>
  </si>
  <si>
    <t>NVO, NVD</t>
  </si>
  <si>
    <t>LU KPMI, SPKC</t>
  </si>
  <si>
    <t>Sagatavoti pētījuma pierādījumos balstīti ieteikumi</t>
  </si>
  <si>
    <t>Valsts pētījumu programma "Sabiedrības veselība"</t>
  </si>
  <si>
    <t>Īstenot pētījumus onkoloģijas jomā, lai izvērtētu veselības aprūpes pakalpojumu/programmas un izstrādātu priekšlikumus izmaiņām veselības aprūpes pakalpojumu organizācijā, tai skaitā ieviestu uz pierādījumiem balstītas jaunas, izmaksu efektīvas profilakses, skrīninga, diagnostikas un ārstēšanas metodes, algoritmus, kā arī pilnveidotu esošos. </t>
  </si>
  <si>
    <t>Ārstniecības iestādes, augstskolas, VI, NVD, SPKC, LMA, LĀB, LĀPPOS</t>
  </si>
  <si>
    <t xml:space="preserve">Ieviest māsu resura plānošanu atbilstoši pacientu pašaprūpes līmenim stacionāro onkoloģisko pacientu aprūpē </t>
  </si>
  <si>
    <t xml:space="preserve">Izstrādāts normatīvais reguējums, kas paredz ieviest izmaiņas māsas darba organizācijā, ka māsa atbilstoši kompetencei veic noteikta skaita pacientu (t.sk,.onkoloģijas) aprūpi, atbilsotoši pacientu pašaprūpes līmenim </t>
  </si>
  <si>
    <t xml:space="preserve">Uzsākts ieviest pierādījumos balstītu praksi, kad  māsu darbs tiek organizēts,  pamatojoties uz pacientu vajadzībām (aprūpes līmeņiem) </t>
  </si>
  <si>
    <t>LMA, stacionārās ārstiecības iestādes</t>
  </si>
  <si>
    <t>Visaptverošas Veseības nozares cilvēkresursu stratēģijas ietvaros,  analizēt medicīniskās izglītības sistēmu, ieskaitot profesionālo pilnveidi, tai skaitā onkoloģijas jomā un izstrādāt ilgtspējīgu modeli ārstniecības personu profesionālajā sagatvošanā un profesionālo spēju pilnveidē</t>
  </si>
  <si>
    <t xml:space="preserve">Visaptverošas Veseības nozares cilvēkresursu stratēģijas ietvaros izanalizēta medicīniskās izglītības sistēma, ieskaitot profesionālo pilnveidi un izstrādāts modelis izglītošanās iespējas nepārtrauktībai un gatavībai pielāgoties un savlaicīgi reaģēt uz tehnoloģiskām un organizatoriskām inovācijām veselības aprūpes sniegšanā   </t>
  </si>
  <si>
    <t>Ilgtsējīgs modelis ārstniecības personu profesionālajā sagatvošanā un profesionālo spēju pilnveidē.</t>
  </si>
  <si>
    <t>IZM, ārstniecības iestādes, augstskolas, VI, NVD, SPKC, LMA, LĀB, LĀPPOS</t>
  </si>
  <si>
    <t xml:space="preserve">Gada pirmajā pusē ir izstrādāts kārtējam akadēmiskajam gadam un indikatīvi turpmākajiem 2 gadiem medicīnas pamatstudiju un rezidentūras vietu skaits atbilstoši iedzīvotāju un veselības nozares vajadzībām, tai skaitā onkoloģijas jomā. </t>
  </si>
  <si>
    <t xml:space="preserve">Speciālistu sagatavošana onkoloģijas jomā atbilstoši valsts apmaksātās veselības aprūpes sistēmas vajadzībām, tai skaitā onkoloģijas jomai. </t>
  </si>
  <si>
    <t>Ārstniecības personām ir iespēja īstenot savu profesionālo izaugsmi, lai individuālā līmenī un ārstniecības iesaistītās speciālsitu komandas ietvaros pielāgotos un savlaicīgi reaģētu uz tehnoloģiskām un organizatoriskām inovācijām veselības aprūpes sniegšanā (akurāta diagnostika un adekvāta terapija uzlabojot dzīvildzi, dzīves kvalitāti un terapijas rezultātus).</t>
  </si>
  <si>
    <t>Stiprināt darba devēja lomu speciālistu piesaistē un noturēšanā valsts apmaksātajā veselības sektorā onkoloģijas jomā, tai skaitā veicinot paaudžu nomaiņu.</t>
  </si>
  <si>
    <t>Uzlabota pieejamība ārstniecības personām, kas sniedz pakalpojumus onkoloģijas jomā, kas  ir viena no prioritārajām veselības jomām.</t>
  </si>
  <si>
    <t xml:space="preserve">Plānot un nodrošināt medicīnas pamatstudiju un rezidentūras vietu skaitu, prioritāri palielinot vietu skaitu profesijās ar novecojošu vecuma struktūru  un atbilstoši iedzīvotāju un veselības nozares vajadzībām onkoloģijas jomā (īpaši bērnu hematoonkoloģijas apakšspecialitātē) </t>
  </si>
  <si>
    <t xml:space="preserve">Samazinājusies onkoloģisko slimību riska faktoru izplatība un ietekme uz sabiedrības veselību </t>
  </si>
  <si>
    <t>Veikti sabiedrības informēšanas un izglītošanas pasākumi onkoloģisko slimību riska faktoru izplatības un ietekmes uz veselību mazināšanai.</t>
  </si>
  <si>
    <t>Smēķēšanas atmešanas konsultatīvā tālruņa pakalpojuma uzturēšanas nodrošināšana</t>
  </si>
  <si>
    <t>Veikti sabiedrības informēšanas un izglītošanas pasākumi, lai veicinātu vakcinācijas aptveri pret CPV</t>
  </si>
  <si>
    <t>SPKC, NVD ārstniecības personu profesionālās asociācijas</t>
  </si>
  <si>
    <t>no 2022.g.</t>
  </si>
  <si>
    <t>ESF finansējums</t>
  </si>
  <si>
    <t>RAKUS, Ārstniecības personu profesionālās asociācijas, NVD</t>
  </si>
  <si>
    <t>ANM ietvaros 500 tk., taču akreditācija ietver virkni citu darbību un ietekmi uz budžetu utt. (kā tas iet kopā ar 2.rīcības virzienā paredzēto institucionālo vadību?)</t>
  </si>
  <si>
    <t xml:space="preserve">Attīstīt onkoloģisko pacientu integratīvu veselības aprūpes modeli - rehabilitācijas speciālistu (FRM ārsti, funkcionālie speciālisti) iesaisti uzreiz pēc diagnozes uzstādīšanas, primārās terapijas laikā, pēc primārās terapijas, ilgtermiņā, iekļaut speciālistu komandā, kas veido onkoloģiskās ārstēšanas un aprūpes plānu. </t>
  </si>
  <si>
    <t>Nodrošināt akūto, subakūto, ilgtermiņa rehabilitāciju stacionāra, dienas stacionāra un ambulatoru pakalpojumu pieejamību visās ārstniecības iestādēs, kas veic primāro onkoloģisko pacientu diagnostiku un ārstēšanu (plānojot akūtās rehabilitācijas pakalpojumus stacionārā ¾ no onkoloģiskajiem stacionārajiem pacientiem vismaz 5x/hospitalizācijas etapā; subakūto rehabilitāciju plānot atbilstoši funkcionēšanas ierobežojumiem vismaz ½ no akūto ārstēšanu pabeigušajiem pacientiem ambulatoru vai stacionāru pakalpojumu veidā).</t>
  </si>
  <si>
    <t>Paplašināt psihoemocinālā atbalsta iespējas</t>
  </si>
  <si>
    <t xml:space="preserve">Papildināt un modernizēt tehnisko palīglīdzekļu klāstu un uzlabot tehnisko palīglīdzekļu pieejamību. </t>
  </si>
  <si>
    <t xml:space="preserve">Valsts finansēta psihosociālās rehabilitācijas pakalpojuma personām pēc onkoloģiskās slimības ārstēšanās beigām/ dinamiskās novērošanas periodā pilnveidošana un pieejamības palielināšana </t>
  </si>
  <si>
    <t>Ārstniecības iestādes, NVO, sociālo pakalpojumu sniedzēji, pacientu organizācijas, NVD, VM</t>
  </si>
  <si>
    <t>Ārstniecības iestādes, NVO, pacientu organizācijas, LM, VM</t>
  </si>
  <si>
    <t>Priekšlikumi līguma grozījumiem</t>
  </si>
  <si>
    <t>Pārskatīt veselības aprūpes pakalpojumu saņemšanas kārtību "zaļā koridora" ietvaros</t>
  </si>
  <si>
    <t>Pārskatīta veselības aprūpes pakalpojumu saņemšanas kārtība "zaļā koridora" ietvaros</t>
  </si>
  <si>
    <t>1. Informēšana un profilakse</t>
  </si>
  <si>
    <t>2.6.</t>
  </si>
  <si>
    <t>Budžeta programmas (apakšprogrammas kods un nosaukums)</t>
  </si>
  <si>
    <t>Vidēja termiņa budžeta ietvara likumā plānotais finansējums</t>
  </si>
  <si>
    <t>2021.gads</t>
  </si>
  <si>
    <t>2022.gads</t>
  </si>
  <si>
    <t>2023.gads</t>
  </si>
  <si>
    <t>2024.gads</t>
  </si>
  <si>
    <t>Turpmākajā laikposmā līdz pasākuma pabeigšanai (ja pasākuma īstenošana ir terminēta)</t>
  </si>
  <si>
    <t>Turpmāk ik gadu (ja pasākuma izpilde nav terminēta)</t>
  </si>
  <si>
    <t>46.03.00 "Slimību profilakse nodrošināšna"</t>
  </si>
  <si>
    <t>ESF</t>
  </si>
  <si>
    <t>VBF</t>
  </si>
  <si>
    <t>Speciālās automatizētās ķīmijterapijas zāļu šķaidīšanas sistēmas lietošana integrēta ķīmijterapijas medikamentozās terapijas procedūras tarifos, kas sadalīti piecos līmeņos pēc starptautiski atzīta protokola, ņemot vērā ķīmijterapijas procedūru ilgumu un sarežģītības pakāpi, kā arī ārstu un māsu iesaisti procesā</t>
  </si>
  <si>
    <t>RAKUS, PSKUS, BKUS, Daugavpils reģionālā slimnīca, Liepājas reģionālā slimnīca</t>
  </si>
  <si>
    <t>Iekļauts konceptuālajā ziņojumā “Par situāciju paliatīvajā aprūpē Latvijā un nepieciešamajām izmaiņām paliatīvās aprūpes pakalpojumu pieejamības nodrošināšanā”</t>
  </si>
  <si>
    <t>Izstrādātas vēža skrīninga vadlīnijas un noteikti kvalitātes indikatori, izstrādāts pacienta ceļš</t>
  </si>
  <si>
    <t>Samazināt gaidīšanas rindu veselības aprūpes pakalpojumiem pēc onkoloģijas diagnozes noteikšanas vai slimības recidīva gadījumā</t>
  </si>
  <si>
    <t>Definēti pakalpojumu saņemšanas laiki</t>
  </si>
  <si>
    <t xml:space="preserve">Multidisciplināro speciālistu komandu pilnveidošana </t>
  </si>
  <si>
    <t xml:space="preserve">Veicināt ģimenes ārstu iesaisti CPV vakcinācijas aptveres palielināšanā </t>
  </si>
  <si>
    <t xml:space="preserve">Veicināt lielāku ģimenes ārstu  iesaisti organizēta vēža skrīninga koordinācijā un uzraudzībā </t>
  </si>
  <si>
    <t>Latvijas Gastroenterologu asociācija, Latvijas Gastrointestinālās endoskopijas asociācija</t>
  </si>
  <si>
    <t xml:space="preserve">Definēt riska grupas, vadoties pēc kolonoskopijas rezultātiem un kolonoskopijā iegūtā materiāla morfoloģiskās izmeklēšanas datiem, sekojoši kontrolei, kā arī kontroles metodes </t>
  </si>
  <si>
    <t xml:space="preserve">Īstenot sabiedrības informēšanas, izglītošanas un profilakses pasākumus, ņemot vērā dzimumu atšķirības, onkoloģisko slimību riska faktoru izplatības un ietekmes uz veselību mazināšanai (neveselīgs dzīvesveids, t.sk., atkarību izraisošu vielu lietošana, nesabalansēts uzturs, nepietiekama fiziskā aktivitāte) </t>
  </si>
  <si>
    <t xml:space="preserve">Uzlabot medicīniskās rehabilitācijas pakalpojumu pieejamību un kvalitāti onkoloģiskiem pacientiem, tai skaitā, pakalpojumu sniedzēju zināšanas un prasmes darbā ar onkoloģisko slimību pacientiem </t>
  </si>
  <si>
    <t xml:space="preserve">Izveidot reģionālos psihoemocionālos atbalsta kabinetus SIA “Liepājas reģionālā slimnīca” un SIA “Daugavpils reģionālā slimnīca”. </t>
  </si>
  <si>
    <t>Onkoloģiskiem pacientiem nodrošināts pihoemocionālais atbalsts brīdi, kad tiek noteikta diagnoze, ārstēšanas periodā, kā arī pēc saņemtas ārstēšanas.</t>
  </si>
  <si>
    <t>VM, LM, NVO</t>
  </si>
  <si>
    <t>Pilnveidot dinamisko pacientu novērošanu onkoloģijā un pacientiem pēc pabeigtas ārstēšanas</t>
  </si>
  <si>
    <t>Dinamiskā novērošana onkoloģijā noteikta kā prioritāte, ņemot vērā augstu komplikāciju risku onkoloģisko slimību recidīva gadījumā.</t>
  </si>
  <si>
    <t>RAKUS, Ārstniecības iestādes, Ārstniecības personu profesionālās asociācijas, NVD</t>
  </si>
  <si>
    <t xml:space="preserve">Standartizēta dinamiskā novērošanas plāna izstrāde pa audzēju diagnozēm bērnu onkoloģijā un pieauguša vecuma pacientiem ar sarkomas tipa audzējiem </t>
  </si>
  <si>
    <t>Izstrādāts dinamiskās novērošanas plāns (protokols) profesionāļiem, kā arī pacientiem un viņu tuviniekiem.</t>
  </si>
  <si>
    <t>Izvērtēt iespēju iesaistīt ģimenes ārstus onkoloģisko pacientu dinamiskajā novērošanā</t>
  </si>
  <si>
    <t>Izstrādāt vienotu konsiliju veidlapu</t>
  </si>
  <si>
    <t>Izstrādāt pacientu un pakalpojumu koordinatoru ieviešanas modeli</t>
  </si>
  <si>
    <t>Visaptverošas Veselības nozares cilvēkresursu stratēģijas ietvaros, izstrādāt nepieciešamo cilvēkresursu  “kartējumu" onkoloģijas jomā</t>
  </si>
  <si>
    <t>33.18.00 "Plānveida stacionāro veselības aprūpes pakalpojumu nodrošināšana"</t>
  </si>
  <si>
    <t>33.04.00 “Centralizēta medikamentu un materiālu iegāde”</t>
  </si>
  <si>
    <t>no 2023.g.</t>
  </si>
  <si>
    <t xml:space="preserve">Sievietēm no 30 gadu vecuma tiek nodrošināts CPV skrīnings </t>
  </si>
  <si>
    <t xml:space="preserve">Izvērtēt iespēju uzsākt CPV skrīningu kā primāro skrīninga testu sievietēm no 30 gadu vecuma </t>
  </si>
  <si>
    <t>Izskatīti un noteikti kvalitātes kritēriji citoloģijas un patoloģijas laboratorijām, kuras ir iesaistītas dzemdes kakla vēža skrīninga nodrošināšanā. Sekot kvalitātes kritēriju atbilstībai laboratorijām, kuras ir iesaistītas dzemdes kakla vēža skrīninga nodrošināšanā</t>
  </si>
  <si>
    <t>2.7.</t>
  </si>
  <si>
    <t>2.8.</t>
  </si>
  <si>
    <t>2.9.</t>
  </si>
  <si>
    <t>Izvērtēt kolonsokopiju kapacitātes un tās palielināšanas iespējas</t>
  </si>
  <si>
    <t>3. Dzemdes kakla vēža skrīnings</t>
  </si>
  <si>
    <t>4. Krūts vēža skrīnings</t>
  </si>
  <si>
    <t>5. Kolorektālā vēža skrīnings</t>
  </si>
  <si>
    <t>Izvērtēti iespējamie risinājumi atsaucības veicināšanai (uzaicinājuma - atgādinājuma sistēma)</t>
  </si>
  <si>
    <t>Izvēlēts atbilstošākais uzaicinājuma saturs, veids un citi uzaicinājuma - atgādinājuma sistēmas komponenti iedzīvotāju mērķa grupu atsaucības palielināšanai</t>
  </si>
  <si>
    <t>Izvērtēt citu ļaundabīgo audzēju skrīninga programmu ieviešanu, atbilstoši ES rekomendācijām</t>
  </si>
  <si>
    <t>I. RĪCĪBAS VIRZIENS - RISKA FAKTORU IZPLATĪBAS UN IETEKMES UZ VESELĪBU MAZINĀŠANA</t>
  </si>
  <si>
    <t>II. RĪCĪBAS VIRZIENS - VISAPTVEROŠA VALSTS ORGANIZĒTĀ VĒŽA SKRĪNINGA ATTĪSTĪBA</t>
  </si>
  <si>
    <t>V. RĪCĪBAS VIRZIENS - ONKOLOĢISKO SLIMĪBU DATU PLATFORMU UN IT RISINĀJUMU PILNVEIDOŠANA</t>
  </si>
  <si>
    <t>VII. RĪCĪBAS VIRZIENS - PACIENTU APMIERINĀTĪBA</t>
  </si>
  <si>
    <t>Ik gadu</t>
  </si>
  <si>
    <t>Veikti sabiedrības informēšanas un izglītošanas pasākumi par onkoloģisko slimību agrīnu diagnostiku.</t>
  </si>
  <si>
    <t>Aktualizēta onkoloģisko slimību agrīnas diagnostikas un ārstēšanas nozīme.</t>
  </si>
  <si>
    <t>Stiprināt SPKC, nodrošinot skrīninga pārvaldību, koordināciju un uzraudzību</t>
  </si>
  <si>
    <t xml:space="preserve">No 2022.g. </t>
  </si>
  <si>
    <t>Ārstniecības personu profesionālās asociācijas, LĢĀA, LLĢĀA, VM</t>
  </si>
  <si>
    <t>2. Organizēta vēža skrīninga koordinācija un uzraudzība</t>
  </si>
  <si>
    <t xml:space="preserve"> Ārstniecības personu profesionālās asociācijas, NVD, VM </t>
  </si>
  <si>
    <t>Izmantojot starptautisku ekspertīzi DG REFORM projekta ietvarā, izvērtētas iespējas pilnveidot atbilstoši ES prasībām skrīninga kvalitātes nodrošinājumam līdzšinējo skrīninga datu platformu, sniegt ieteikumus par optimālo turpmāko risinājumu (pašreizējās datu bāzes pilnveidošanu vai jaunas izveidi un integrāciju esošajās datu platformās). Starptautiskas pārrobežu sadarbības veicināšana</t>
  </si>
  <si>
    <t>Izstrādāt krūts, dzemdes kakla un kolorektālā vēža skrīningu kvalitātes indikatorus, pacientu klīniskos ceļus, kā arī metodikas izstrāde skrīninga kvalitāti raksturojošo indikatoru reģistrēšanai.</t>
  </si>
  <si>
    <t>2023.g. 2.pusgads</t>
  </si>
  <si>
    <t>Pamatojoties uz ārvalstu pieredzi un izmantojot ārvalstīs funkcionējošus matemātiskos modeļus, izvērtēt Latvijas situācijai ekonomiski pamatotākos risinājumus vēža skrīningam</t>
  </si>
  <si>
    <t>LU KPMI, SPKC, VM</t>
  </si>
  <si>
    <t>Ārstniecības personu profesionālās asociācijas, VM</t>
  </si>
  <si>
    <t>Ārstniecības personu profesionālās asociācijas, SPKC, VM</t>
  </si>
  <si>
    <t>Latvijas Gastrointestinālās endoskopijas asociācija (GASTRO), VM</t>
  </si>
  <si>
    <t>2023.g.1.pusgads</t>
  </si>
  <si>
    <t>2023. 2.pusgads</t>
  </si>
  <si>
    <t>Latvijas Gastroenterologu asociācija, Latvijas Gastrointestinālās endoskopijas asociācija, VM</t>
  </si>
  <si>
    <t>6. Diagnostika</t>
  </si>
  <si>
    <t>6.1.</t>
  </si>
  <si>
    <t xml:space="preserve">Ārstniecības iestādes,  ārstniecības personu profesionālās asociācijas, VM
</t>
  </si>
  <si>
    <t xml:space="preserve">Izstrādāt vienotus standartizētus diagnostikās radioloģijas protokolus noteiktām lokalizācijām (sākotnēji kolorektālam vēzim, kuņģa vai aizkuņģa vēzim)  (ņemot vērā pieejamos finanšu un cilvēkresursus). </t>
  </si>
  <si>
    <t>6.2.</t>
  </si>
  <si>
    <t xml:space="preserve">Laboratorijā ir iespēja veikt diagnostiskos testus ar plūsmas citometrijas metodi (atbilstoši starptautiskām vadlīnijām (SIOPE, COG, NOPHO, GPOH, EPSSG, ESMO, NCCN u.c.). </t>
  </si>
  <si>
    <t>Nodrošināt nepieciešamos patohistoloģiskos un  molekulāros izmeklējumus onkoloģijā, atbilstoši starptautiskajām vadlīnijām,  ieviestajiem protokoliem un algoritmiem, tai skaita, bērnu onkoloģijā</t>
  </si>
  <si>
    <t>Ģenētikas laboratorijas spēj nodrošināt onko-molekulāro testu izpildi. Pacientiem tiek nodrošināta iespēja veikt onko-molekulāro testēšanu.</t>
  </si>
  <si>
    <t>Laboratorijā ir iespēja veikt onko-molekulāros testus un šūnu škirošanu.</t>
  </si>
  <si>
    <t>6.3.</t>
  </si>
  <si>
    <t xml:space="preserve">Definēti nepieciešamie cilvēkresursi,  kompetences un konkurētspējīgs atalgojums, komanda ar valsts references centram atbilstošām kompetencēm, mācību centra funkcijas, nodrošinot datu analīzi un iesaistīšanos starptautiskos zinātnes projektos. </t>
  </si>
  <si>
    <t>6.4.</t>
  </si>
  <si>
    <t>6.5.</t>
  </si>
  <si>
    <t>6.6.</t>
  </si>
  <si>
    <t>6.7.</t>
  </si>
  <si>
    <t xml:space="preserve">Uzlabot sarkomas tipa audzēju diagnostikas iespējas </t>
  </si>
  <si>
    <t>7. Ķirurģija</t>
  </si>
  <si>
    <t>7.1.</t>
  </si>
  <si>
    <t>BKUS, TOS, RAKUS, VM</t>
  </si>
  <si>
    <t>7.2.</t>
  </si>
  <si>
    <t>Uzlabot ķirurģisko pacienta drošību un kvalitāti, atbilstoši starptautiskām vadlīnijām, protokoliem, tai skaitā, bērnu vecuma audzējiem</t>
  </si>
  <si>
    <t>8.1.</t>
  </si>
  <si>
    <t>8.2.</t>
  </si>
  <si>
    <t>8.3.</t>
  </si>
  <si>
    <t>8.4.</t>
  </si>
  <si>
    <t>8.5.</t>
  </si>
  <si>
    <t>8.6.</t>
  </si>
  <si>
    <t>9. Rehabilitācija un paliatīvā aprūpe</t>
  </si>
  <si>
    <t>9.1.</t>
  </si>
  <si>
    <t>9.2.</t>
  </si>
  <si>
    <t>9.3.</t>
  </si>
  <si>
    <t>9.5.</t>
  </si>
  <si>
    <t xml:space="preserve">10. Dinamiskā novērošana </t>
  </si>
  <si>
    <t>10.1.</t>
  </si>
  <si>
    <t>11. Konsiliji</t>
  </si>
  <si>
    <t>12. Tarifi</t>
  </si>
  <si>
    <t>Pārskatīti veselības aprūpes tarifi onkoloģijā</t>
  </si>
  <si>
    <t>12.2.</t>
  </si>
  <si>
    <t>Pārskatīt veselības aprūpes pakalpojumu, kas saņemti S2 veidlapas ietvaros, saņemšanu Latvijā</t>
  </si>
  <si>
    <t>Esošās situācijas izvērtējums</t>
  </si>
  <si>
    <t>Priekšlikumi veselības aprūpes pakalpojuma saņemšanai Latvijā</t>
  </si>
  <si>
    <t>13. Algoritmi</t>
  </si>
  <si>
    <t>Esošo algoritmu izvērtēšana un aktualizācija, kā arī jaunu algoritmu izstrāde</t>
  </si>
  <si>
    <t>13.1.</t>
  </si>
  <si>
    <t>Izstrādāts algoritms</t>
  </si>
  <si>
    <t xml:space="preserve">Izstrādāti vienoti standartizēti diagnostikās radioloģijas protokoli noteiktām lokalizācijām </t>
  </si>
  <si>
    <t xml:space="preserve">Izstrādāt algoritmu, ka pie aizdomām par audzēju bērnu vecumā, jebkura veida ķirurģiska manipulācija t.sk. biopsija veicama tikai BKUS vai citā terciālā līmeņa slimnīcā, tai skaitā, ārpus Latvijas, to saskaņojot ar BKUS. </t>
  </si>
  <si>
    <t xml:space="preserve">Izstrādāts algoritms, noskaot, ka bērni ar aizdomāma par onkoloģisku saslimšanu netiek izmeklēti un bioptēti reģionālās slimnīcās, bet nekavējoties nosūtīti uz BKUS. </t>
  </si>
  <si>
    <t>Izstrādāts algoritms skriemeļu biopsijas veikšanai Latvijā, kā arī kopīgi konsīliji.</t>
  </si>
  <si>
    <t>Izstrādāts algoritms visiem pacientiem ar aizdomām par onkoloģisku balsta- kustību aparāta saslimšanu, kurā piedalās arī ortopēdi (multidisciplinārs konsīlijs).</t>
  </si>
  <si>
    <t xml:space="preserve">Nepieciešamības gadījumā aktualizēts algoritms ļaundabīgo audzēju recidīvu un izplatības diagnostikai noteiktām lokalizācijām. </t>
  </si>
  <si>
    <t xml:space="preserve">Pārskatīt esošos kritērijus un diagnostiskos algoritmus augsta riska grupas sievietēm </t>
  </si>
  <si>
    <t>Pārskatītas rekomendācijas augsta riska grupas identifikācijai, izmeklējumu algoritmiem.</t>
  </si>
  <si>
    <t>Ģimenes ārstu iesaiste onkoloģisko pacientu dinamiskajā novērošanā</t>
  </si>
  <si>
    <t>Pārskatīt esošo algoritmu ļaundabīgo audzēju recidīvu un izplatības diagnostikai noteiktām lokalizācijām, nepieciešamības gadījumā to aktualizēt.</t>
  </si>
  <si>
    <t>Pārskatīt esošo dinamiskās novērošanas kārtību pacientiem ar Latvijā biežāk sastopamiem ļaundabīgiem audzējiem, nepieciešamības gadījumā to aktualizēt.</t>
  </si>
  <si>
    <t>Nepieciešamības gadījumā aktualizēts dinamiskās novērošanas kārtība pacientiem ar Latvijā biežāk sastopamiem ļaundabīgiem audzējiem. Nodrošināta pēctecīga onkoloģisko pacientu veselības aprūpe jeb dinamiskā novērošana.</t>
  </si>
  <si>
    <t>Pārskatīt multimodālo krūts diagnostikas algoritmu, nepieciešamības gadījumā to aktualizējot.</t>
  </si>
  <si>
    <t>Nepieciešamības gadījumā aktualizēts multimodālais krūts diagnostikas algoritms.</t>
  </si>
  <si>
    <t>Izvērtēt iespēju izstrādāt kvalitātes kritērijus un indikatorus uzaicināšanai uz kolorektālā vēža skrīningu, paraugu loģistikai, pacientu klīniskajam ceļam.</t>
  </si>
  <si>
    <t>Izvērtēt iespēju izstrādāt kvalitātes indikatorus mamogrāfijas skrīninga pakalpojumam, skrīninga mamogrāfijas attēlu kvalitātei un interpretācijai, citoloģiskā materiāla novērtēšanai.</t>
  </si>
  <si>
    <t>Nepieciešamības gadījumā izstrādāti kvalitātes indikatori mamogrāfijas skrīninga pakalpojumam, skrīninga mamogrāfijas attēlu kvalitātei un interpretācijai, citoloģiskā materiāla novērtēšanai.</t>
  </si>
  <si>
    <t>nepieciešamības gadījumā izstrādāti kvalitātes kritēriji un indikatori uzaicināšanai uz kolorektālā vēža skrīningu, paraugu loģistikai, pacientu klīniskajam ceļam.</t>
  </si>
  <si>
    <t>Latvijas Radiologu asociācija, Ārstniecības personu profesionālās asociācijas, NVD</t>
  </si>
  <si>
    <t xml:space="preserve"> Ārstniecības personu profesionālās asociācijas, BKUS, NVD</t>
  </si>
  <si>
    <t xml:space="preserve"> TOS, RAKUS, BKUS, Latvijas plastiskās rekonstruktīvās un mikroķirurģijas centrs, Ārstniecības personu profesionālās asociācijas, NVD</t>
  </si>
  <si>
    <t>TOS, RAKUS, Latvijas plastiskās rekonstruktīvās un mikroķirurģijas centrs, Ārstniecības personu profesionālās asociācijas, NVD</t>
  </si>
  <si>
    <t>PSKUS, RAKUS, TOS,Ārstniecības profesionālās asociācijas NVD</t>
  </si>
  <si>
    <t xml:space="preserve"> Ārstniecības iestādes, Ārstniecības personu profesionālās asociācijas, NVD</t>
  </si>
  <si>
    <t xml:space="preserve"> Ārstniecības iestādes, Ārstniecības personu profesionālās asociācijas, NVD, SPKC</t>
  </si>
  <si>
    <t>1.Onko-molekulāro testu veikšanai tiek iegādāta/nodrošināta reālā laika PCR iekārta, kas ir IVD sertificēta un saderīga ar onko-molekulārajiem testiem.
2. NGS testēšanas nolūkiem tiek izveidota laboratorija, kas ir aprīkota ar nepieciešamo ekipējumu, to skaitā, nukleīnskābju kvantificēšanas iekārtu, NGS iekārtu, kas ir piemērota arī eksoma un lielizmēra gēnu paneļu sekvencēšanai,  transkriptoma sekvencēšanai (RNS-seq, mRNS-seq un gēnu ekspresijas profilēšanai), kā arī DNS metilāciju analīzei, un saderīgiem testēšanas reaģentiem, to skaitā, gēnu paneļiem. 3. NGS datu analīzes veikšanai un terapiju piemeklēšanai ieviesti atbilstoši datu analīzes rīki un algoritmi.
4. Molekulāro, t.s. NGS, testu veikšanas nolūkos, paraugu sagatavošanai tiek nepieciešams nodrošināt IVD sertificētu iekārtu, kas ļauj veikt audu mikrosadalīšanu un precīzi atlasīt NGS testam nepieciešamo audu parauga daļu.</t>
  </si>
  <si>
    <t>BKUS, VM</t>
  </si>
  <si>
    <t>PSKUS, TOS, BKUS, RAKUS, Ārstniecības personu profesionālās asociācijas, NVD</t>
  </si>
  <si>
    <t>Izstrādāt pacientu ceļu un noteikt kvalitātes indikātori sarkomas pacientu diagnostikā, ārstēšanā un pēcaprūpē.</t>
  </si>
  <si>
    <t>Izstrādāts pacientu ceļš un noteikti kvalitātes indikātori sarkomas pacientu diagnostikā, ārstēšanā un pēcaprūpē.Uzlabota pacietnu diagnostiskā kvalitāte, terapija un pēcaprūpe, kas samazina recidīva iespējamību un pagarina pacienta dzīvildzi</t>
  </si>
  <si>
    <t>14. Retā onkoloģija un hematoloģija</t>
  </si>
  <si>
    <t>14.1.</t>
  </si>
  <si>
    <t>14.2.</t>
  </si>
  <si>
    <t>14.3.</t>
  </si>
  <si>
    <t>14.4.</t>
  </si>
  <si>
    <t>14.5.</t>
  </si>
  <si>
    <t>Bērnu onkoloģijas pacientu un viņu ģimeņu onkoģenētiskā riska grupu atlase un padziļināta ģenētiskā izmeklēšana, iedzimtas onkoloģijas predispozīcijas sindromu ietvaros.</t>
  </si>
  <si>
    <t>Sekundāro un primāro audzēju savlaicīga diagnostika riska grupās. Onkoloģisko saslimšanu prevencija, savlaicīga atklāšana un ārstēšana.</t>
  </si>
  <si>
    <t xml:space="preserve">Izstrādāt strukturētu uzraudzības plānu un aprūpes modeli tiem bērnu vecuma onkoloģiskajiem pacientiem un viņu ģimenes locekļiem ar ģenētisku predispozīciju onkoloģiskai saslimšanai. </t>
  </si>
  <si>
    <t>Izstrādāti kritēriji un apmaksas modelis sadarbībai starp universitāšu slimnīcu speciālistiem.</t>
  </si>
  <si>
    <t>TOS, RAKUS,  Latvijas muskuloskeletālās radioloģijas asociācija, VM</t>
  </si>
  <si>
    <t>RAKUS, Valsts asins donoru centrs, VM</t>
  </si>
  <si>
    <t>15.1.</t>
  </si>
  <si>
    <t>15.2.</t>
  </si>
  <si>
    <t>IV. RĪCĪBAS VIRZIENS - ONKOLOĢIJAS NOZARES METODISKĀS VADĪBAS IZVEIDOŠANA LATVIJĀ</t>
  </si>
  <si>
    <t>15. Onkoloģijas  metodiskais centrs un pētniecība</t>
  </si>
  <si>
    <t>2024.g.2.pusgads</t>
  </si>
  <si>
    <t>16. Onkoloģisko slimību dati</t>
  </si>
  <si>
    <t xml:space="preserve">Izstrādāt valstī vienotu veselības un izmeklējumu datu bāzi onkoloģijā </t>
  </si>
  <si>
    <t>VM, SPKC, Ārstniecības personu profesionālās asociācijas, Ārstniecības iestādes, LU KPMI, klīnicisti</t>
  </si>
  <si>
    <t xml:space="preserve">Skaidri definēti funkcionālie reģistra mērķi, skaidri definēti kādi dati un funkcionalitāte ir nepieciešama, nepieciešamo datu un reģistra lietojamības apraksts. </t>
  </si>
  <si>
    <t>16.1.</t>
  </si>
  <si>
    <t>Izvērtēt vienotas digitālo skrīninga mamogrāfijas attēlu centrāla arhīva izveides iespējas, Latvijā veikto skrīninga mamogrāfijas attēlu arhivācijai.</t>
  </si>
  <si>
    <t>17. Onkoloģijas jomas cilvēkresursu plānošana un kartējums</t>
  </si>
  <si>
    <t>17.1.</t>
  </si>
  <si>
    <t>17.2.</t>
  </si>
  <si>
    <t>18. Izglītība un profesionālā pilnveide</t>
  </si>
  <si>
    <t>18.1.</t>
  </si>
  <si>
    <t>18.2.</t>
  </si>
  <si>
    <t>19. Speciālsitu piesaite un noturēšana</t>
  </si>
  <si>
    <t>Pilnveidot veselības aprūpē strādājošā personāla zināšanas un sagatavot darbam onkoloģijas jomā, prioritāti:
1) vēža skrīniga programmas ietvaros;
2) bērnu hematoonkoloģijas speciālistus;
3) speciālistus darbam ar onkoloģijas pacientiem pediatrijā (uztura speciālisti, psihologi un psihoterapeiti, fizioterapeiti, māsas, sociālie darbinieki u.c.); 
4) onkoloģiskās rehabilitācijas jomā, lai mazinātu onkoloģisko pacientu “stigmatizāciju” pat veselības aprūpes profesionāļu vidū;
5) ģimenes ārstu, pediatru, ķirurgu izglītošana par augsta riska brīdinājuma simptomiem, kas ar lielu varbūtību ir bērnu onkoloģiskas saslimšanas vai pieaugušahiem sarkomas saslimšanas vēstnesis un rīcība šādā gadījumā (nosūtīšana uz NMPON vai RAKUS, TOS);                                                           6) u.c.</t>
  </si>
  <si>
    <t xml:space="preserve">ESF īstenotā projekta 9.2.6. Cilvēkresursu apmācību plānā iekļautas  profesionālās pilnveides programmas un pieredzes apmaiņas pasākumi onkoloģijas jomas speciālistiem. </t>
  </si>
  <si>
    <t xml:space="preserve">ESF īstenoto projektu 9.2.5. un 9.2.7. ietvaors piešķirtas kompensācijas ārstniecības personām par darba uzsākšanu profesijā vai specialitātē (tai skaitā arī onkoloģijas jomā), ārstniecības iestādēs ārpus Rīgas un māsām arī ārstniecības iestādēs Rīgā. </t>
  </si>
  <si>
    <t>Pacientu ziņotās pieredzes (PREMS)  noskaidrošana</t>
  </si>
  <si>
    <t>Pacientu ziņotās pieredzes izmantošana sniegto pakalpojumu kvalitātes uzlabošanā</t>
  </si>
  <si>
    <t>Konkrētā ārstniecības iestādē sniegto paklapojumu kvalitāte tiek uzlabota, ņemot vērā pacientu reāllaikā ziņoto pieredzi stacionārā; Uzlabota veselības aprūpes pakalpojumu kvalitāte onkoloģijas jomā Latvijā, izmnatojot pacientu ziņoto pieredzi par ārstēšanos stacionārā ar onkoloģijas diagnozi</t>
  </si>
  <si>
    <t>Ārtsniecības iestādes</t>
  </si>
  <si>
    <t>Pilottpētījumā veikta pacienšu ar krūts vēža diagnozi  ziņoto iznākumu (PROMS) noskaidrošana</t>
  </si>
  <si>
    <t>Pacientu ziņoto iznākumu izmantošana veselības aprūpes pakalpojumu kvalitātes izvērtēšanā un uzlabošanā</t>
  </si>
  <si>
    <t>Izvērtēti pacienšu ar krūts vēža diagnozi ziņotie iznākumi saistībā ar pielietoto ārstēšanas metodi; Pacienšu ziņotie iznākumi salīdzināti ar klīniskajiem rezultātiem;</t>
  </si>
  <si>
    <t>RAKUS vai PSKUS</t>
  </si>
  <si>
    <t>20.Pacientu pieredze</t>
  </si>
  <si>
    <r>
      <rPr>
        <vertAlign val="superscript"/>
        <sz val="14"/>
        <color theme="1"/>
        <rFont val="Times New Roman"/>
        <family val="1"/>
      </rPr>
      <t xml:space="preserve">2 </t>
    </r>
    <r>
      <rPr>
        <sz val="14"/>
        <color theme="1"/>
        <rFont val="Times New Roman"/>
        <family val="1"/>
      </rPr>
      <t>Sabiedrības veselības pamatnostādņu 2.1.4.uzdevums.</t>
    </r>
  </si>
  <si>
    <r>
      <rPr>
        <vertAlign val="superscript"/>
        <sz val="14"/>
        <color theme="1"/>
        <rFont val="Times New Roman"/>
        <family val="1"/>
      </rPr>
      <t xml:space="preserve">1 </t>
    </r>
    <r>
      <rPr>
        <sz val="14"/>
        <color theme="1"/>
        <rFont val="Times New Roman"/>
        <family val="1"/>
      </rPr>
      <t>Azartspēļu un izložu politikas pamatnostādņu 2021 -2027.gadam projekta 1.rīcības virziena 3.pasākums.</t>
    </r>
  </si>
  <si>
    <t>Politikas rezultāts/i un rezultatīvais rādītājs/-i</t>
  </si>
  <si>
    <t>Plāna mērķs</t>
  </si>
  <si>
    <t>Veicināt uz cilvēku centrētas un integrētas veselības aprūpes pakalpojumu pieejamību onkoloģijā, vienlaikus novēršot priekšlaicīgu mirstību no onkoloģiskām slimībām.</t>
  </si>
  <si>
    <r>
      <rPr>
        <b/>
        <sz val="12"/>
        <color theme="1"/>
        <rFont val="Times New Roman"/>
        <family val="1"/>
      </rPr>
      <t>Politikas rezultāts:</t>
    </r>
    <r>
      <rPr>
        <sz val="12"/>
        <color theme="1"/>
        <rFont val="Times New Roman"/>
        <family val="1"/>
      </rPr>
      <t xml:space="preserve"> Veicināts, lai pacients saņemtu izmaksu efektīvus, savlaicīgus, pieejamus un kvalitatīvus veselības aprūpes pakalpojumus, tādejādi pagarinot labā veselībā nodzīvotos mūža gadus, novēršot priekšlaicīgu mirstību un mazinot nevienlīdzību veselības jomā.</t>
    </r>
  </si>
  <si>
    <t xml:space="preserve">Veikts izvērtējums par valsts finansētā psihosociālās rehabilitācijas pakalpojumu atbilstību cilvēkiem ar onkoloģisku saslimšanu, sniegtas rekomendācijas pakalpojuma pilnveidošanai un pieejamības palielināšanai. </t>
  </si>
  <si>
    <t>Onkoloģijas pacientiem nodrošināta iespēja saņemt atbilstošus paliatīvās aprūpes pakalpojumus katrā veselības aprūpes līmenī</t>
  </si>
  <si>
    <t>Onkoloģijas pacients saņem paliatīvās aprūpes  pakalpojumus atbilstoši savam veselības stāvoklim un tuvāk dzīvesvietai.</t>
  </si>
  <si>
    <t>Cilvēkresursu  "kartējums" onkoloģijas jomā</t>
  </si>
  <si>
    <t>Izstrādātas vēža skrīninga pakalpojumu sniegšanas organizācijas un vadības struktūras shēma un process.</t>
  </si>
  <si>
    <t>TOS,  Latvijas muskuloskeletālās radioloģijas asociācija, NVD, VM</t>
  </si>
  <si>
    <t xml:space="preserve">Izvērtēt iespēju izveidot un attīstīt ārpusģimenes cilmes šūnu transplantāciju, iekļaujot to jau esošajā RAKUS realizētajā perifērisko asiņu cilmes šūnu tarnsplantācijas programmā onkoloģiskajiem slimniekiem </t>
  </si>
  <si>
    <r>
      <t xml:space="preserve">Īstenot izglītojošus pasākumus par onkoloģisko slimību agrīnu diagnostiku un ārstēšanu, pievēršot uzmanību </t>
    </r>
    <r>
      <rPr>
        <sz val="12"/>
        <rFont val="Times New Roman"/>
        <family val="1"/>
      </rPr>
      <t>krūšu</t>
    </r>
    <r>
      <rPr>
        <sz val="12"/>
        <color theme="1"/>
        <rFont val="Times New Roman"/>
        <family val="1"/>
      </rPr>
      <t>, plaušu, ādas, priekšdziedzera u.c. izplatītajām onkoloģiskajām slimībām,  tādējādi mazinot priekšstatu par vēzi kā neārstējamu slimību</t>
    </r>
  </si>
  <si>
    <t>Veikti sabiedrības informēšanas un izglītošanas pasākumi par onkoloģisko slimību agrīnu diagnostiku un ārstēšanu.</t>
  </si>
  <si>
    <t>Palielināta meiteņu vakcinācijas pret CPV</t>
  </si>
  <si>
    <t xml:space="preserve">Uzsākta CPV vakcinācija zēniem. </t>
  </si>
  <si>
    <t>Veicināta vakcinācijas aptvere pret CPV palielināšana, tai skaitā, zēnu vakcinācija.</t>
  </si>
  <si>
    <t xml:space="preserve">Efektīva vēža skrīninga programma </t>
  </si>
  <si>
    <t>Izstrādāt priekšlikumus ģimenes ārstu kvalitātes kritērijiem</t>
  </si>
  <si>
    <t xml:space="preserve">Sagatavoti priekšlikumi ģimenes ārstu kvalitātes kritērijiem. Veicināta vēža skrīninga aptveres palielināšana. </t>
  </si>
  <si>
    <t>Pamatojoties uz ES skrīninga kvalitātes vadlīnijām, krūts, dzemdes kakla, kolorektālajam un prostatas vēzim izveidot kodu grāmata turpmākas programmatūras veidošanai</t>
  </si>
  <si>
    <t>Izveidota kodu grāmata turpmākas programmatūras veidošanai</t>
  </si>
  <si>
    <t>Sagatavoti priekšlikumi vēža skrīninga pilnveidošanai</t>
  </si>
  <si>
    <t>Pāriet uz Eiropas valstu pielietoto BI-RAD klasifikācijas sistēmu.</t>
  </si>
  <si>
    <t xml:space="preserve">Uzlabota mamogrāfijas izmeklējuma kvalitāte </t>
  </si>
  <si>
    <t>Pāriet no decentralizēta skrīninga organizācijas uz centralizētu, kur mamogrāfijas izmeklējuma otrais lasījums tiek veikts universitātes slimnīcās.</t>
  </si>
  <si>
    <t xml:space="preserve">Izveidot vienotu skrīninga mamogrāfijas izmeklējuma datu ievades programmoduli, kas nodrošina dubultaklo izmeklējuma aprakstu. </t>
  </si>
  <si>
    <t>Standartizētas BI-RAD klasifikācijas sistēmas ieviešana klīniskās universitātes slimnīcās (RAKUS un PSKUS) (pilotprojekts) un pāreja uz BI-RAD apraksta sistēmu.</t>
  </si>
  <si>
    <r>
      <rPr>
        <sz val="12"/>
        <rFont val="Times New Roman"/>
        <family val="1"/>
      </rPr>
      <t>Izvērtēt esošo situāciju, veicot sistēmas izvērtējumu sniegtajiem pakalpojumiem.</t>
    </r>
    <r>
      <rPr>
        <sz val="12"/>
        <color theme="1"/>
        <rFont val="Times New Roman"/>
        <family val="1"/>
      </rPr>
      <t xml:space="preserve"> </t>
    </r>
  </si>
  <si>
    <t>Izstrādāt patoloģijas un molekulārās izmeklēšanas attīstības rīcības virzienus</t>
  </si>
  <si>
    <t>Izstrādāti patoloģijas un molekulārās izmeklēšanas attīstības rīcības virzieni.</t>
  </si>
  <si>
    <t xml:space="preserve">Uzlabot nodrošināšanu ar inovatīvajiem medikamentiem dažādu lokalizāciju audzēju gadījumā, kā arī paplašināt medikamentozās terapijas pieejamību un nepārtrauktību onkoloģiskajiem pacientiem </t>
  </si>
  <si>
    <t>Izvērtēta iespēja samazināt pacientu līdzmaksājumu pēcskrīninga izmeklējumiem</t>
  </si>
  <si>
    <t xml:space="preserve">Izvērtēta esošā situācija, veicot sistēmas izvērtējumu sniegtajiem pakalpojumiem (aparatūras pieejamība, noslodze, iekārtas vecums, kāda ir aprīkojuma izšķirtspēja). </t>
  </si>
  <si>
    <t>Definētas prasības veselības aprūpes pakalpojumu sniedzējiem, kas sniedz pakalpojumus onkoloģiskajiem pacientiem.</t>
  </si>
  <si>
    <t xml:space="preserve">Kvalitātes prasībām atbilstošs aprīkojums mugurkaulāja un iegurņa onkoloģisko pacientu ķirurģiskai ārstēšanai </t>
  </si>
  <si>
    <r>
      <t xml:space="preserve">Izvērtēt iespēju, ka </t>
    </r>
    <r>
      <rPr>
        <sz val="12"/>
        <color rgb="FF000000"/>
        <rFont val="Times New Roman"/>
        <family val="1"/>
      </rPr>
      <t xml:space="preserve"> aizdomu gadījumā par onkoloģisku saslimšanu nosūtījumu pie onkologa var izsniegt ārsts speciālists, kurš nav līgumatiecībās  ar NVD.</t>
    </r>
  </si>
  <si>
    <r>
      <t xml:space="preserve">Izvērtēta iespēja, ka </t>
    </r>
    <r>
      <rPr>
        <sz val="12"/>
        <color rgb="FF000000"/>
        <rFont val="Times New Roman"/>
        <family val="1"/>
      </rPr>
      <t xml:space="preserve"> aizdomu gadījumā par onkoloģisku saslimšanu nosūtījumu pie onkologa var izsniegt arī ārsts speciālists, kurš nav līgumatiecībās  ar NVD.</t>
    </r>
  </si>
  <si>
    <t>Izstrādāt priekšlikumus skrīninga datu platformas funkcionalitātei, nodrošinot ES kvalitātes rādītājiem atbilstošo indikatoru reģistrēšanu un datu apmaiņu ES līmenī.</t>
  </si>
  <si>
    <t>Izstrādāti priekšlikumi skrīninga datu platformas funkcionalitātei.</t>
  </si>
  <si>
    <t>2.10.</t>
  </si>
  <si>
    <t>Izvērtēt iespēju samazināt pacientu līdzmaksājumu pēcskrīninga izmeklējumiem</t>
  </si>
  <si>
    <t>Sagatavot aprēķinus terapijas turpināšanas nodrošināšanai pacientiem, kuri inovatīvo terapiju uzsākuši iepriekšējos gados</t>
  </si>
  <si>
    <t>Nodrošināta inovatīvās terapijas nepārtrauktība onkoloģiskajiem pacientiem.</t>
  </si>
  <si>
    <t>Nodrošināta KZS jau iekļautu zāļu kompensācijas nosacījumu paplašināšana onkoloģiskajiem pacientiem.</t>
  </si>
  <si>
    <t xml:space="preserve">Sagatavoti aprēķini terapijas turpināšanas nodrošināšanai onkoloģiskajiem pacientiem. </t>
  </si>
  <si>
    <t xml:space="preserve">Izstrādāt rekomendācijas, kā tiek organizēta parenterāli lietojamo ķīmijterapijas zāļu sagatavošana speciālās automatizētās šķaidīšanas sistēmās un ķīmijterapijas zāļu ievadei, atbilstoši starptautiskām rekomendācijām piecos līmeņos. </t>
  </si>
  <si>
    <t>Veicināt specializētu onkoloģisko pacientu rehabilitācijas programmu attīstību, atbilstoši ārstniecības iestāžu profiliem un profesionālai kapacitātei.</t>
  </si>
  <si>
    <t>Nodrošināta akūta, subakūta, ilgtermiņa rehabilitācija stacionārā, dienas stacionāra un ambulatoru pakalpojumu pieejamība visās ārstniecības iestādēs, kas veic primāro onkoloģisko pacientu diagnostiku un ārstēšanu.</t>
  </si>
  <si>
    <t>Izvērtēt iespēju plašāk iesaistīt NVO psihoemocionālā atbalsta sniegšanā</t>
  </si>
  <si>
    <t>Sagatavoti priekšlikumi</t>
  </si>
  <si>
    <t>Paliatīvās aprūpes nodrošināšana onkoloģijas pacientiem</t>
  </si>
  <si>
    <t>Sagatavoti priekšlikumi vienotai konsiliju veidlapai</t>
  </si>
  <si>
    <t>Aprēķināti reālājām izmaksām atbilstoši apmaksas tarifi.</t>
  </si>
  <si>
    <r>
      <rPr>
        <sz val="12"/>
        <rFont val="Times New Roman"/>
        <family val="1"/>
      </rPr>
      <t>Pārskatīt</t>
    </r>
    <r>
      <rPr>
        <sz val="12"/>
        <color theme="1"/>
        <rFont val="Times New Roman"/>
        <family val="1"/>
      </rPr>
      <t xml:space="preserve"> esošos kolonoskopijas manipulācijas tarifus.</t>
    </r>
  </si>
  <si>
    <r>
      <rPr>
        <sz val="12"/>
        <rFont val="Times New Roman"/>
        <family val="1"/>
      </rPr>
      <t>Pārskatīt</t>
    </r>
    <r>
      <rPr>
        <sz val="12"/>
        <color theme="1"/>
        <rFont val="Times New Roman"/>
        <family val="1"/>
      </rPr>
      <t xml:space="preserve"> stereotakstiskās staru terapijas, intensitātes modulētās staru terapijas un brahiterpaija manipulāciju tarifus.</t>
    </r>
  </si>
  <si>
    <t>Aprēķināti reālājām izmaksām atbilstoši apmaksas tarifi, kas ļauj nodrošināt pakalpojumu pieejamību onkoloģiskajiem pacientiem.</t>
  </si>
  <si>
    <t>Aprēķināti biomarķieru testēšanas tarifi pēc izmantotās metodes (visaptveroša genoma profilēšana (NGS) utt., tostarp paneļi indikācijām ar daudz mutācijām, IHĶ, PCR).</t>
  </si>
  <si>
    <t>Pārskatīt biomarķieru testēšanas tarifus pēc izmantotās metodes (visaptveroša genoma profilēšana (NGS) utt., tostarp paneļi indikācijām ar daudz mutācijām, IHĶ, PCR), piešķirot finansējumu per capita atbilstoši audzēja sastopamībai noteiktajā lokalizācijā un stadijā gan attiecībā uz audu testiem, gan šķidro biopsiju.</t>
  </si>
  <si>
    <t>Pārskatīt ķirurģiskajā pakalpojumā ietverto manipulāciju tarifus</t>
  </si>
  <si>
    <t>8.7.</t>
  </si>
  <si>
    <t>Izstrādāt kritērijus/ sistēmu Orpha kodu izmantošanai retajiem audzējiem KZS sistēmā</t>
  </si>
  <si>
    <t>Iztrādāti noteikti kritēriji Orpha kodu izmantošanai retajiem audzējiem KZS sistēmā</t>
  </si>
  <si>
    <t>Iekļaujot KZS zāles reto audzēju ārstēšanai, papildus pie zāļu izrakstīšanas norādīt Orpha kodu, kas ļauj precīzi izsekot izlietotajiem budžeta līdzekļiem</t>
  </si>
  <si>
    <r>
      <t xml:space="preserve">NVD sagatavotas regulāras atskaites par zāļu izlietojumu pacientiem ar retajiem audzējiem (Orpha diagnozēm) zāļu iegādes </t>
    </r>
    <r>
      <rPr>
        <sz val="12"/>
        <color rgb="FF000000"/>
        <rFont val="Times New Roman"/>
        <family val="1"/>
      </rPr>
      <t>kompensācijas sistēmā</t>
    </r>
  </si>
  <si>
    <t>Sagatavoti priekšlikumi grozījumiem NA. Aprēķināti reālājām izmaksām atbilstoši apmaksas tarifi.</t>
  </si>
  <si>
    <t xml:space="preserve">Izvērtēt iespēju integrēt riska piemaksu ārstniecības personām, kas iesaistās onkoloģisko pacientu aprūpē. </t>
  </si>
  <si>
    <t>Izvērtēta iespēja integrēt riska piemaksu ārstniecības personām, kas iesaistās onkoloģisko pacientu aprūpē.  Onkoloģijas pacientiem nodrošināta savlaicīga un kvalitatīva veselības aprūpe.</t>
  </si>
  <si>
    <t xml:space="preserve">Ārstniecības iestādes, Ārstniecības personu profesionālās asociācijas, VM galvenie speciālisti, NVD
</t>
  </si>
  <si>
    <t>Izstrādāt algoritmu, kādos gadījumos pieauguša vecuma pacientus ar audzējiem nepieciešams operēt specializēta profila ķirurģijas klīnikā.</t>
  </si>
  <si>
    <t>Izvērtēt iespēju izstrādāt algoritmu vēža skrīninga programmas dalībniekiem, nodrošinot pakalpojuma pēctecību, kā arī pacientu ceļus pēcskrīninga etapā.</t>
  </si>
  <si>
    <t>Nepieciešamības gadījumā izstrādāts algoritms vēža skrīninga programmas dalībniekiem un pacienta ceļi pēcskrīninga etapā.</t>
  </si>
  <si>
    <t xml:space="preserve">Izstrādāti kritēriji un apmācības programma darbam ar hematoonkoloģiskiem pediatriskiem pacientiem (piem., zema riska febrilu neitropēniju ārstēšana). </t>
  </si>
  <si>
    <t>Sagatavoti priekšlikumi allokaula bankas izveidošanai</t>
  </si>
  <si>
    <t>Sagatavoti priekšlikumi ārpusģimenes cilmes šūnu transplantācijas attīstībai</t>
  </si>
  <si>
    <t>Sagatavot priekšlikumus vienotai skrīninga datu aprites (formatēšanas glabāšanas u.c.) kārtībai</t>
  </si>
  <si>
    <t>Sagatavoti priekšlikumi vienotai skrīninga datu aprites (formatēšanas glabāšanas u.c.) kārtībai</t>
  </si>
  <si>
    <t>Sagatavoti priekšlikumi NA  par onkoloģijas datu apstrādes regulējumu. Vēža reģistra lietošanas procesa izveide.</t>
  </si>
  <si>
    <t>Līdz 2024.g. 2.pusgadam</t>
  </si>
  <si>
    <r>
      <t>Izstrādātas rekomendācijas, kā nodrošināt efektīvu ķīmijterapijas zāļu sagatavošanu un ievadi medicīnas personālam un pacientam drošā veidā. Izstrādāta apmaksas sistēmā tās ieveišanai.</t>
    </r>
    <r>
      <rPr>
        <u/>
        <sz val="11"/>
        <color rgb="FF008080"/>
        <rFont val="Calibri"/>
        <family val="2"/>
        <scheme val="minor"/>
      </rPr>
      <t xml:space="preserve"> </t>
    </r>
  </si>
  <si>
    <t>2022.g.2.pusgads</t>
  </si>
  <si>
    <t>Ārstniecības personu profesionālās asociācijas, NVD, VM</t>
  </si>
  <si>
    <t>Ārstniecības personu profesionālās asociācijas, NVO, pašvaldības</t>
  </si>
  <si>
    <r>
      <t xml:space="preserve">
</t>
    </r>
    <r>
      <rPr>
        <sz val="12"/>
        <color theme="1"/>
        <rFont val="Times New Roman"/>
        <family val="1"/>
        <charset val="186"/>
      </rPr>
      <t>33.14.00 Primārās veselības aprūpes pakalpojumu nodrošināšana</t>
    </r>
  </si>
  <si>
    <t>No 2022.g.</t>
  </si>
  <si>
    <t>6.8.</t>
  </si>
  <si>
    <t>No 2023.g.</t>
  </si>
  <si>
    <t>No 2022.gada</t>
  </si>
  <si>
    <t>sasaistē ar 6.3.4.uzdevumu</t>
  </si>
  <si>
    <t>Bez finansējums</t>
  </si>
  <si>
    <t>9.1.punkta finansējuma ietvaros</t>
  </si>
  <si>
    <t>KOPĒJAIS NEPIECIEŠAMAIS FINASĒJUMS PLĀNA REALIZĀCIJAI:</t>
  </si>
  <si>
    <t>Nepieciešamais papildu finansējums (finansējums ir indikatīvs)</t>
  </si>
  <si>
    <t>Finansējuma avots</t>
  </si>
  <si>
    <r>
      <t xml:space="preserve">
</t>
    </r>
    <r>
      <rPr>
        <sz val="12"/>
        <rFont val="Times New Roman"/>
        <family val="1"/>
        <charset val="186"/>
      </rPr>
      <t>33.14.00 "Primārās veselības aprūpes pakalpojumu nodrošināšana"</t>
    </r>
  </si>
  <si>
    <t>33.16.00 "Pārējo ambulatoro veselības aprūpes pakalpojumu nodrošināšana"</t>
  </si>
  <si>
    <t>33.15.00 "Laboratorisko izmeklējumu nodrošināšana ambulatorajā aprūpē"</t>
  </si>
  <si>
    <t>33.03.00 "Kompensējamo medikamentu un materiālu apmaksāšana"</t>
  </si>
  <si>
    <t>Kopsavilkums par plānā paredzētajiem pasākumiem un to īstenošanai nepieciešamo  finansējumu</t>
  </si>
  <si>
    <t>8.1.1..finansējuma ietvaros</t>
  </si>
  <si>
    <t>Pielikums Nr.1.1.</t>
  </si>
  <si>
    <t>Nr.p.k.</t>
  </si>
  <si>
    <t>Pasākuma veids</t>
  </si>
  <si>
    <r>
      <t>Nepieciešamais papildu finansējums 2023.gadā un turpmāk ik gadu, </t>
    </r>
    <r>
      <rPr>
        <b/>
        <i/>
        <sz val="9"/>
        <color rgb="FF000000"/>
        <rFont val="Times New Roman"/>
        <family val="1"/>
      </rPr>
      <t>euro</t>
    </r>
  </si>
  <si>
    <t>Kampaņas plānošana un izstrāde (ietilpst programmas izstrāde, uzskates un/vai izdales materiālu izstrāde, u.c. sagatavošanās izmaksas)*</t>
  </si>
  <si>
    <t>Pasākumu īstenošana *</t>
  </si>
  <si>
    <r>
      <t>Kopā, </t>
    </r>
    <r>
      <rPr>
        <i/>
        <sz val="9"/>
        <color rgb="FF000000"/>
        <rFont val="Times New Roman"/>
        <family val="1"/>
      </rPr>
      <t>euro</t>
    </r>
    <r>
      <rPr>
        <sz val="9"/>
        <color rgb="FF000000"/>
        <rFont val="Times New Roman"/>
        <family val="1"/>
      </rPr>
      <t>: </t>
    </r>
  </si>
  <si>
    <t>*informācija no Slimību profilakses un kontroles centra datu bāzes</t>
  </si>
  <si>
    <t>Pielikums Nr.1.3.</t>
  </si>
  <si>
    <t>Īstenot izglītojošus pasākumus par krūšu veselību, onkoloģisko slimību agrīnu diagnostiku un ārstēšanu, pievēršot uzmanību plaušu, ādas, priekšdziedzera u.c. izplatītajām onkoloģiskajām slimībām,  tādējādi mazinot priekšstatu par vēzi kā neārstējamu slimību</t>
  </si>
  <si>
    <t>Pasākumu īstenošana (ietilpst atalgojums lektoriem un moderatoram, vebināru vai klātienes pasākumu īstenošana un citi pakalpojumi)*</t>
  </si>
  <si>
    <t>Sabiedrības informēšanas pasākumi par valsts apmaksātu prostatas specifiskā antigēna noteikšanu</t>
  </si>
  <si>
    <r>
      <t xml:space="preserve">Nepieciešamais finansējums 2023.gadā un turpmāk, </t>
    </r>
    <r>
      <rPr>
        <b/>
        <i/>
        <sz val="10"/>
        <color theme="1"/>
        <rFont val="Times New Roman"/>
        <family val="1"/>
      </rPr>
      <t>euro</t>
    </r>
  </si>
  <si>
    <t>Kampaņas plānošana un izstrāde (ietilpst video, informatīvo bukletu un interaktīvā risinājuma sagatavošana un citi plānošanas darbi)*</t>
  </si>
  <si>
    <t>Kampaņas īstenošana divos posmos (ietilpst mediju pasākumu īstenošana, reģionālo pasākumu īstenošana, vebināra īstenošana un citi pakalpojumi)*</t>
  </si>
  <si>
    <t>Pēckampaņas novērtējums*</t>
  </si>
  <si>
    <r>
      <t>Kopā, </t>
    </r>
    <r>
      <rPr>
        <i/>
        <sz val="10"/>
        <color rgb="FF000000"/>
        <rFont val="Times New Roman"/>
        <family val="1"/>
      </rPr>
      <t>euro</t>
    </r>
    <r>
      <rPr>
        <sz val="10"/>
        <color rgb="FF000000"/>
        <rFont val="Times New Roman"/>
        <family val="1"/>
      </rPr>
      <t>: </t>
    </r>
  </si>
  <si>
    <t>Pielikums Nr.1.4.</t>
  </si>
  <si>
    <t>Mazināt onkogēno CPV izplatību sabiedrībā un ar to saistīto onkoloģisko patoloģiju, t.sk. saslimstību ar dzemdes kakla vēzi</t>
  </si>
  <si>
    <r>
      <t>Nepieciešamais finansējums 2022.gadā, </t>
    </r>
    <r>
      <rPr>
        <b/>
        <i/>
        <sz val="10"/>
        <color rgb="FF000000"/>
        <rFont val="Times New Roman"/>
        <family val="1"/>
      </rPr>
      <t>euro</t>
    </r>
  </si>
  <si>
    <t>Pielikums Nr.1.5.1.</t>
  </si>
  <si>
    <t>Dzimumneitrālas vakcinācijas pret cilvēka papilomas vīrusu (CPV) ieviešana valsts vakcinācijas programmā no 2022.gada</t>
  </si>
  <si>
    <t>Vakcīna</t>
  </si>
  <si>
    <t>9-valentās vakcīnas cena ar PVN, EUR (2020/2021 iepirkums)</t>
  </si>
  <si>
    <t>2021.gadam plānotais daudzums</t>
  </si>
  <si>
    <t>Plānotā summa 2021.gadā</t>
  </si>
  <si>
    <t>Vakcīna pret cilvēka papilomas vīrusu (CPV) (12 gadi (meitenes))</t>
  </si>
  <si>
    <t>Nosaukums</t>
  </si>
  <si>
    <t>Vecuma grupa</t>
  </si>
  <si>
    <t>Skaidrojums</t>
  </si>
  <si>
    <t>2022. gads</t>
  </si>
  <si>
    <t>2023. gads un turpmāk</t>
  </si>
  <si>
    <t>Demogrāfiskie dati (personu skaits)</t>
  </si>
  <si>
    <t>Prognozējamais daudzums (vakcīnas devas apaļojot)</t>
  </si>
  <si>
    <t>Vakcīnas iegādei nepieciešamais finansējums, EUR</t>
  </si>
  <si>
    <t>Vakcīna pret cilvēka papilomas vīrusa infekciju (CPV)</t>
  </si>
  <si>
    <t>12 gadi (meitenes)</t>
  </si>
  <si>
    <t>2020.gadā plānotā aptvere - 70%, 2 potes atbilstoši Sabiedrības veselības pamatnostādnēm 2014.-2020.</t>
  </si>
  <si>
    <t>12 gadi 
(zēni)</t>
  </si>
  <si>
    <t>Vidēja aptvere 2011.-2012. gadā, uzsākot meiteņu vakcināciju - 60%, 2 potes.</t>
  </si>
  <si>
    <t>KOPĀ (meitenēm un zēniem)</t>
  </si>
  <si>
    <t>2021.gadā budžetā plānotie līdzekļi meiteņu vakcinēšanai pret CPV</t>
  </si>
  <si>
    <t>Papildus nepieciešamais finansējums dzimumneitrālai vakcinēšanai pret CPV</t>
  </si>
  <si>
    <t>Pielikums Nr.1.5.2.</t>
  </si>
  <si>
    <t>Veicināt ģimenes ārstu iesaisti CPV vakcinācijas aptveres palielināšanā</t>
  </si>
  <si>
    <t>Gada darbības novērtējuma kritērijs ģimenes ārstiem</t>
  </si>
  <si>
    <t>Ģimenes ārstu skaits, kuru bērnu vakcinācijas aptveres rādītājs 2019. gadā bija ≥ 92%</t>
  </si>
  <si>
    <t>Izmaksāta summa par bērnu vakcinācijas aptveri 2019. gadā, EUR</t>
  </si>
  <si>
    <t>Plānotais ģimenes ārstu skaits 2022. gadā, kuri sasniegs CPV vakcinācijas aptveres rādītāju ≥ 92%</t>
  </si>
  <si>
    <t>Nepieciešamais papildus finansējums 2022. gada izmaksai ģimenes ārstiem par CPV vakcinācijas aptveres rādītāja sasniegšanu, EUR</t>
  </si>
  <si>
    <t>Nepieciešamais papildus finansējums 2023. gada izmaksai ģimenes ārstiem par CPV vakcinācijas aptveres rādītāja sasniegšanu, EUR</t>
  </si>
  <si>
    <t>Nepieciešamais papildus finansējums 2024. gada un turpmāk izmaksai ģimenes ārstiem par CPV vakcinācijas aptveres rādītāja sasniegšanu, EUR</t>
  </si>
  <si>
    <t>Bērnu vakcinācijas aptvere (divus gadus veci bērni saskaņā ar vakcinācijas kalendāru ir vakcinēti pret difteriju, stinguma krampjiem, poliomielītu, garo klepu, b tipa Haemophilus influenzae infekciju un B hepatītu)</t>
  </si>
  <si>
    <t>Pielikums Nr.1.5.3.</t>
  </si>
  <si>
    <t>Pielikums Nr.2.1.</t>
  </si>
  <si>
    <t>Slimību profilakses un kontroles centra nepieciešamais darba atalgojuma aprēķins jaunai struktūrvienībai - skrīninga pārvaldība, koordinācija un uzraudzība 
(2.1. rīcības virziens)</t>
  </si>
  <si>
    <t>amats</t>
  </si>
  <si>
    <t>amata kods</t>
  </si>
  <si>
    <t>amatu saime</t>
  </si>
  <si>
    <t>līmenis</t>
  </si>
  <si>
    <t>mēnešalgu grupa</t>
  </si>
  <si>
    <t>amata vietu skaits</t>
  </si>
  <si>
    <t>maksimālā mēnešalga 3.kateg.
(EKK 1110)</t>
  </si>
  <si>
    <r>
      <t xml:space="preserve">piemaksa
10%
</t>
    </r>
    <r>
      <rPr>
        <b/>
        <sz val="10"/>
        <color indexed="8"/>
        <rFont val="Times New Roman"/>
        <family val="1"/>
      </rPr>
      <t>(EKK 1147)</t>
    </r>
  </si>
  <si>
    <r>
      <t xml:space="preserve">prēmijas un naudas balvas 10%
</t>
    </r>
    <r>
      <rPr>
        <b/>
        <sz val="10"/>
        <color indexed="8"/>
        <rFont val="Times New Roman"/>
        <family val="1"/>
      </rPr>
      <t>(EKK 1148)</t>
    </r>
  </si>
  <si>
    <r>
      <t xml:space="preserve">Sociālā garantija 5% 
</t>
    </r>
    <r>
      <rPr>
        <b/>
        <sz val="10"/>
        <color indexed="8"/>
        <rFont val="Times New Roman"/>
        <family val="1"/>
      </rPr>
      <t>(EKK 1220)</t>
    </r>
  </si>
  <si>
    <r>
      <t xml:space="preserve">DD VSAOI 23,59%
</t>
    </r>
    <r>
      <rPr>
        <b/>
        <sz val="10"/>
        <color indexed="8"/>
        <rFont val="Times New Roman"/>
        <family val="1"/>
      </rPr>
      <t>(EKK 1210)</t>
    </r>
  </si>
  <si>
    <r>
      <t xml:space="preserve">kopā
</t>
    </r>
    <r>
      <rPr>
        <b/>
        <sz val="10"/>
        <color indexed="8"/>
        <rFont val="Times New Roman"/>
        <family val="1"/>
      </rPr>
      <t>(EKK 1000)</t>
    </r>
  </si>
  <si>
    <t xml:space="preserve">Nodaļas vadītājs </t>
  </si>
  <si>
    <t>1342 01</t>
  </si>
  <si>
    <t>IV A</t>
  </si>
  <si>
    <t>Vecākais eksperts</t>
  </si>
  <si>
    <t>2511 02</t>
  </si>
  <si>
    <t>19.4</t>
  </si>
  <si>
    <t>IV</t>
  </si>
  <si>
    <t>Sabiedrības veselības analītiķis</t>
  </si>
  <si>
    <t>2269 03</t>
  </si>
  <si>
    <t>18.6</t>
  </si>
  <si>
    <t>III B</t>
  </si>
  <si>
    <t>KOPĀ</t>
  </si>
  <si>
    <t>Nepieciešmā atlīdzības summa vienam mēnesim</t>
  </si>
  <si>
    <t>Nepieciešmā atlīdzības summa  
(6 mēnešiem)</t>
  </si>
  <si>
    <t>Nepieciešmā atlīdzības summa  
(12 mēnešiem)</t>
  </si>
  <si>
    <r>
      <t xml:space="preserve">atalgojums
</t>
    </r>
    <r>
      <rPr>
        <b/>
        <sz val="10"/>
        <color indexed="8"/>
        <rFont val="Times New Roman"/>
        <family val="1"/>
      </rPr>
      <t>(EKK 1100)</t>
    </r>
  </si>
  <si>
    <r>
      <t xml:space="preserve">DD VSAOI 
</t>
    </r>
    <r>
      <rPr>
        <b/>
        <sz val="10"/>
        <color indexed="8"/>
        <rFont val="Times New Roman"/>
        <family val="1"/>
      </rPr>
      <t>(EKK 1200)</t>
    </r>
  </si>
  <si>
    <t xml:space="preserve">Sistēmanalītiķis </t>
  </si>
  <si>
    <t>Pielikums Nr.2.2.</t>
  </si>
  <si>
    <t>Veicināt lielāku ģimenes ārstu  iesaisti organizēta vēža skrīninga koordinācijā un uzraudzībā</t>
  </si>
  <si>
    <t>Zarnu vēža skrīnings,  ja vēža skrīninga atsaucība ir sasniegusi 45% ārstu praksē (250 euro ceturksnī * 260 prakses * 4 ceturkšņi), EUR</t>
  </si>
  <si>
    <t>Prostatas vēža skrīnings,  ja vēža skrīninga atsaucība ir sasniegusi 60% ārstu praksē (250 euro ceturksnī * 260 prakses * 4 ceturkšņi), EUR</t>
  </si>
  <si>
    <t>2024.gads un turpmāk ik gadu</t>
  </si>
  <si>
    <r>
      <t xml:space="preserve">Nepieciešamais finansējums, </t>
    </r>
    <r>
      <rPr>
        <b/>
        <i/>
        <sz val="10"/>
        <color theme="1"/>
        <rFont val="Times New Roman"/>
        <family val="1"/>
      </rPr>
      <t>euro</t>
    </r>
  </si>
  <si>
    <t>Izvērtēta iespēja samazināt pacientu līdzmaksājumu skrīninga apstiprinošo  izmeklējumiem (pacienta līdzmaksājuma kompensācija)</t>
  </si>
  <si>
    <t>Pacientu skaits, kuriem pēc 2020. gada skrīninga izmeklējuma rezultātiem būtu jāveic pēcskrīninga izmeklējumi</t>
  </si>
  <si>
    <t>Pacienta līdzmaksājuma apmērs, EUR</t>
  </si>
  <si>
    <t>Valsts pacienta līdzmaksājuma kompensācijas apmērs 2020. gadā</t>
  </si>
  <si>
    <t>Nepieciešamais papildus finansējums līdzmaksājuma kompensācijai 2022. gadā</t>
  </si>
  <si>
    <t>Nepieciešamais papildus finansējums līdzmaksājuma kompensācijai 2023. gadā</t>
  </si>
  <si>
    <t>Nepieciešamais papildus finansējums līdzmaksājuma kompensācijai 2024. gadā</t>
  </si>
  <si>
    <t>Speciālistu konsultācijas</t>
  </si>
  <si>
    <t>Resnās zarnas izmeklēšana ar elastīgiem endoskopiem, ieskaitot rektoskopiju un sigmoidoskopiju, parauga ekscīziju un/vai punkciju</t>
  </si>
  <si>
    <t>Kolposkopija ar biopsiju</t>
  </si>
  <si>
    <t>Attēlu izmeklējumi krūts vēža pēcskrīningam</t>
  </si>
  <si>
    <t>Pielikums Nr.2.10.</t>
  </si>
  <si>
    <t>Pielikums Nr.3.1.</t>
  </si>
  <si>
    <t>Primārā HPV skrīninga algoritma ieviešanas budžeta ietekme</t>
  </si>
  <si>
    <t>Mērķa grupa  2022.g.*</t>
  </si>
  <si>
    <t>Plānotais sieviešu skaits, kas 2022. gadā veiks skrīninga izmeklējumu, ja atsaucība 50%</t>
  </si>
  <si>
    <t>Plānotais finansējums 2022.g. dzemdes kakla skrīningam, pie atsaucības 50%, euro</t>
  </si>
  <si>
    <t>Nepieciešamais papildus finansējums 2022. gadā HPV primārai diagnostikai, ar atsaucību 50%, euro</t>
  </si>
  <si>
    <t>Plānotais sieviešu skaits, kas 2023. gadā veiks skrīninga izmeklējumu, ja atsaucība 60%</t>
  </si>
  <si>
    <t>Nepieciešamais papildus finansējums 2023. gadā HPV primārai diagnostikai, ar atsaucību 60%, euro</t>
  </si>
  <si>
    <t>Plānotais sieviešu skaits, kas 2024. gadā veiks skrīninga izmeklējumu, ja atsaucība 70%</t>
  </si>
  <si>
    <t>Citoloģija ar Leišmana krāsojumu</t>
  </si>
  <si>
    <t>Primārā HPV skrīninga algoritms</t>
  </si>
  <si>
    <t>Primārā HPV skrīnings no 30 gadu vecuma ik 5 gadus**</t>
  </si>
  <si>
    <t>un šķidruma citoloģija 25 un 28 gados</t>
  </si>
  <si>
    <t>*dati no csp 2019. gadā</t>
  </si>
  <si>
    <t>**ņemot vērā, ka saskaņa ar 2019. gada datiem 58% izmeklējumu bija veikta cilvēka papilomas vīrusu specifiskās DNS noteikšana un 42% Augsta riska HPV onkogēna E6/E7 noteikšana</t>
  </si>
  <si>
    <t>Uztriepes paņemšana no dzemdes kakla un mugurējās velves citoloģiskai izmeklēšanai vai HPV noteikšanai</t>
  </si>
  <si>
    <t>Ginekologa, dzemdību speciālista ginekoloģiskā apskate valsts organizētās vēža skrīningprogrammas ietvaros</t>
  </si>
  <si>
    <t>Pacienta līdzmaksājuma kompensācija</t>
  </si>
  <si>
    <t>Citoloģiskās uztriepes no dzemdes kakla un mugurējās velves izmeklēšana ar Leišmana krāsojumu</t>
  </si>
  <si>
    <t>Dzemdes kakla materiāla šķidruma citoloģijas PAP tests</t>
  </si>
  <si>
    <t>Augsta riska HPV onkogēna E6/E7 mRNS</t>
  </si>
  <si>
    <t>Cilvēka papilomas vīrusu specifiskās DNS noteikšana</t>
  </si>
  <si>
    <t>Kopā</t>
  </si>
  <si>
    <t>Citoloģijas ar Leišmana krāsojumu izmaksas vienai sievietei, euro</t>
  </si>
  <si>
    <t>Šķidruma citoloģijas izmaksas vienai sievietei, euro</t>
  </si>
  <si>
    <t>Augsta riska HPV onkogēna E6/E7 mRNS vienai sievietei, euro</t>
  </si>
  <si>
    <t>Cilvēka papilomas vīrusu specifiskās DNS noteikšana vienai sievietei, euro</t>
  </si>
  <si>
    <t>Nepieciešamais papildus finansējums 2024. gadā un turpmāk ik gadu HPV primārai diagnostikai, ar atsaucību 70%, euro</t>
  </si>
  <si>
    <t>Plānotie nodevumi</t>
  </si>
  <si>
    <t>Plānoto nodevumu skaits</t>
  </si>
  <si>
    <t>PVN likme (%)</t>
  </si>
  <si>
    <t>Algoritms</t>
  </si>
  <si>
    <t>Vienas vienības summa ar PVN (euro)</t>
  </si>
  <si>
    <t>Vienas vienības summa bez PVN (euro)</t>
  </si>
  <si>
    <t>Kopā papildus nepieciešamais finansējums 2023.gadam, euro</t>
  </si>
  <si>
    <t>Pielikums Nr.13.1.1.</t>
  </si>
  <si>
    <t>Jaunu zāļu iekļaušana un kompensācijas paplašināšana (tikai iesniegumi līdz 01.01.2021.)</t>
  </si>
  <si>
    <t>Diagnoze/ 
diagnožu grupa</t>
  </si>
  <si>
    <t>Prognozējamais pacientu skaits 1. gadā</t>
  </si>
  <si>
    <t xml:space="preserve">Prognozētais nepieciešamais 
finansējums 1. gadā, EUR </t>
  </si>
  <si>
    <t>Prognozējamais pacientu skaits 2. gadā</t>
  </si>
  <si>
    <t xml:space="preserve">Prognozētais nepieciešamais 
finansējums 2. gadā, EUR </t>
  </si>
  <si>
    <t>Prognozējamais pacientu skaits 3. gadā</t>
  </si>
  <si>
    <t xml:space="preserve">Prognozētais nepieciešamais 
finansējums 3. gadā, EUR </t>
  </si>
  <si>
    <t>Onkoloģija kopā</t>
  </si>
  <si>
    <t>tikai jaunās zāles</t>
  </si>
  <si>
    <t>no jaunajām zālēm - tikai personalizētā medicīna</t>
  </si>
  <si>
    <t>kompensācijas maiņa vecajām zālēm</t>
  </si>
  <si>
    <t>Pielikums Nr.8.1.1., 8.1.2.,8.2.</t>
  </si>
  <si>
    <t>Prognozējamais pacientu skaits (pacienti, kas jau saņem terapiju + potenciālie pacienti nākošajā gadā)</t>
  </si>
  <si>
    <t>Vidējās viena pacienta izmaksas</t>
  </si>
  <si>
    <t>Finansējums kopā, EUR</t>
  </si>
  <si>
    <t>2021.gadam piešķirtie līdzekļi</t>
  </si>
  <si>
    <t>Prognozētais nepieciešamais 
finansējums, EUR gadā</t>
  </si>
  <si>
    <t>Onkoloģija</t>
  </si>
  <si>
    <t xml:space="preserve">Nepieciešamo medikamentu nodrošināšana onkoloģiskās inovatīvās terapijas turpināšanai un sirds un asisnsvadu sistēmas terapijas turpināšanai  </t>
  </si>
  <si>
    <t>Pielikums Nr.8.3.</t>
  </si>
  <si>
    <t>Centralizēta medikamentu šķīdināšana slēgta tipa aptiekas telpās, laminārās plūsmas skapī</t>
  </si>
  <si>
    <t>SĀKOTNĒJĀS IZMAKSAS</t>
  </si>
  <si>
    <t>Slēgta tipa laminārās plūsmas skapjus darbam ar citotoksiskām vielām GloveFAST Cyto 2-4-2</t>
  </si>
  <si>
    <t>Svītrukodu lāsītājs</t>
  </si>
  <si>
    <t>Svari</t>
  </si>
  <si>
    <t>Printeris</t>
  </si>
  <si>
    <t>Monobloka dators ar skārienjūtīgu ekrānu</t>
  </si>
  <si>
    <t>Programmatūra Kiro Link</t>
  </si>
  <si>
    <t>Ledusskapis Medika Ect F Touch 400, 1012663</t>
  </si>
  <si>
    <t>Termometrs digitāls 30.1020, TFA Dostmann</t>
  </si>
  <si>
    <t>Licence Microsoft Office Home and Business 1012553-1</t>
  </si>
  <si>
    <t>Dators Dell Optiplex 5260 AIO, 1012553</t>
  </si>
  <si>
    <t>Sākotnējās izmaksas</t>
  </si>
  <si>
    <t>Sākotnējās izmaksas gadā:</t>
  </si>
  <si>
    <t>IERĪČU UZTURĒŠANAS IZMAKSAS</t>
  </si>
  <si>
    <t>PASKAIDROJUMS</t>
  </si>
  <si>
    <t>IZMAKSAS GADĀ</t>
  </si>
  <si>
    <t>HepaFiltru nomaiņa</t>
  </si>
  <si>
    <t>Programmatūras uzturēšana pēc garantijas termiņa beigām</t>
  </si>
  <si>
    <t>VIENREIZLIETOJAMIE MATERIĀLI</t>
  </si>
  <si>
    <t>Skaits iepakojumā</t>
  </si>
  <si>
    <t>Cena ar PVN</t>
  </si>
  <si>
    <t>Mērvienība</t>
  </si>
  <si>
    <t>Izlietojums vienā reizē</t>
  </si>
  <si>
    <t>Izmaksas vienā reizē</t>
  </si>
  <si>
    <t>Plānoto škaidīšanu skaits gadā</t>
  </si>
  <si>
    <t>Izmaksas gadā</t>
  </si>
  <si>
    <t>Spirta salvetes 3x3</t>
  </si>
  <si>
    <t>gab.</t>
  </si>
  <si>
    <t>Izotonisks Nātrija hlorīda šķīdums Vidēji uz visām pudelēm</t>
  </si>
  <si>
    <t>Printera uzlīmes  (102 mm x 76 mm) (Zebra)</t>
  </si>
  <si>
    <t>Printera uzlīmes (57mm x 19 mm) (Zebra)</t>
  </si>
  <si>
    <t>Zip Lock maisi videjā cena</t>
  </si>
  <si>
    <t>Sterila infuzijas sistēma citotoksiskiem medikamentiem</t>
  </si>
  <si>
    <t>Šļirce  Vidēji uz visām šļircēm.</t>
  </si>
  <si>
    <t>Combi Stopper red</t>
  </si>
  <si>
    <t>Sarkani vāciņi Luer Lock šļircēm</t>
  </si>
  <si>
    <t>Sterilas Leur Lock šļirces bez adatas Vidēji uz visām šļircēm.</t>
  </si>
  <si>
    <t xml:space="preserve">Sterilas adatas </t>
  </si>
  <si>
    <t>Mini spike 2 chemo ar 0.2 micr. gaisa filtru un 5 micr. šķīduma filtru</t>
  </si>
  <si>
    <t>Kopā:</t>
  </si>
  <si>
    <t>VAIRĀKAS REIZES LIETOJAMIE MATERIĀLI</t>
  </si>
  <si>
    <t>Maksimāli veicamais pakalpojumu skaits</t>
  </si>
  <si>
    <t>Izmakas vienai reizei</t>
  </si>
  <si>
    <t>Plānoto šķaidīšanu skaits gadā</t>
  </si>
  <si>
    <t>Dekontaminācijas komplekts (Spill Kit)</t>
  </si>
  <si>
    <t>Kostīma krekls neausta meateriāla</t>
  </si>
  <si>
    <t>Respiratori</t>
  </si>
  <si>
    <t xml:space="preserve">Cimdi sterili apakšcimdi(100gab) </t>
  </si>
  <si>
    <t xml:space="preserve">Cimdi sterili (100gab) </t>
  </si>
  <si>
    <t xml:space="preserve">Sejas maskas </t>
  </si>
  <si>
    <t xml:space="preserve">Cepures </t>
  </si>
  <si>
    <t>Neausta materiāla bahilas pagarinātas</t>
  </si>
  <si>
    <t xml:space="preserve">Aizsargbrilles </t>
  </si>
  <si>
    <t>Baktericīdais paklājs 90x115 (2 gab)</t>
  </si>
  <si>
    <t>Čības darbam aseptiskajā blokā</t>
  </si>
  <si>
    <t>Aizsargkombinzons, kas paredzēts darbam D klases tirības telpās</t>
  </si>
  <si>
    <t>Kostīma bikses neausta materiāla</t>
  </si>
  <si>
    <t>DARBA LAIKS</t>
  </si>
  <si>
    <t>Šķidro med. Šķidināšana (minūtes)</t>
  </si>
  <si>
    <t>Pulv. Med. Šķīdināšana (minūtes)</t>
  </si>
  <si>
    <t>Vidēji</t>
  </si>
  <si>
    <t>Darba samaksa</t>
  </si>
  <si>
    <t>Valsts sociālās adrošināšanas obligātās iemaksas S, euro</t>
  </si>
  <si>
    <t>Izmaksas gadā (vidējais laiks * plānoto šķīdināšanas reižu skats)</t>
  </si>
  <si>
    <t>Darba samaksa ārstam, euro</t>
  </si>
  <si>
    <t>Darba samaksa māsai, euro</t>
  </si>
  <si>
    <t>Valsts sociālās apdrošināšanas obligātās iemaksas, %</t>
  </si>
  <si>
    <t>Farmaceits</t>
  </si>
  <si>
    <t>Mēneša darba samaksa</t>
  </si>
  <si>
    <t>Farmaceita asistents</t>
  </si>
  <si>
    <t>1 minūtes vērtība darba samaksai</t>
  </si>
  <si>
    <t>Kopējās izmaksas mēnesī:</t>
  </si>
  <si>
    <t>Cena ar PVN, euro</t>
  </si>
  <si>
    <t>Ierīce</t>
  </si>
  <si>
    <t>Pielikums Nr.6.1.</t>
  </si>
  <si>
    <t>Pacientu plūsmas koordinatoru kabinetu izveide klīniskās universitātes slimnīcās</t>
  </si>
  <si>
    <t>2021.gada atalgojums un kabineta uzturēšanas maksājums saskaņā ar MK noteikumiem Nr.555</t>
  </si>
  <si>
    <t>D</t>
  </si>
  <si>
    <t>S</t>
  </si>
  <si>
    <t xml:space="preserve">M </t>
  </si>
  <si>
    <t>U</t>
  </si>
  <si>
    <t>A</t>
  </si>
  <si>
    <t>N</t>
  </si>
  <si>
    <t>Papildus nepieciešamais finansējums 2022.gadā</t>
  </si>
  <si>
    <t>Papildus nepieciešamais finansējums 2023.gadā</t>
  </si>
  <si>
    <t>Papildus nepieciešamais finansējums 2024.gadā un turpmāk</t>
  </si>
  <si>
    <t>1,00 slodzes(8)-20 d.</t>
  </si>
  <si>
    <t>1.0 Koordinatora kabinets</t>
  </si>
  <si>
    <t>Bērnu klīniskā universitātes slimnīca (viens multimorbido pacientu un viens onkoloģisko pacientu koordinatora kabinets - kopā 2 kabineti)</t>
  </si>
  <si>
    <t>Rīgas Austrumu klīniskā universitātes slimnīca (viens multimorbido pacientu un viens onkoloģisko pacientu koordinatora kabinets - kopā 2 kabineti)</t>
  </si>
  <si>
    <t>Paula Stradiņa Klīniskā universitātes slimnīca (viens multimorbido pacientu un viens onkoloģisko pacientu koordinatora kabinets - kopā 2 kabineti)</t>
  </si>
  <si>
    <t>Liepājas reģionālā slimnīca (viens onkoloģisko pacientu koordinatora kabinets - kopā 1 kabinets)</t>
  </si>
  <si>
    <t>Daugavpils reģionālā slimnīca (viens onkoloģisko pacientu koordinatora kabinets - kopā 1 kabinets)</t>
  </si>
  <si>
    <t>Manipulācijas kods</t>
  </si>
  <si>
    <t>Manipulācijas nosaukums</t>
  </si>
  <si>
    <t>Esošais tarifs, euro</t>
  </si>
  <si>
    <t>Pielikums Nr.12.1.1.</t>
  </si>
  <si>
    <t>Dr. Lauris Repsa</t>
  </si>
  <si>
    <t>Dr.Janis Eglitis</t>
  </si>
  <si>
    <t>Diagnostiskie izmeklējumi (MRI, CT, biopsijas)</t>
  </si>
  <si>
    <t>Ārstēšana</t>
  </si>
  <si>
    <t>ķirurģiska</t>
  </si>
  <si>
    <t>ķīmijterapija</t>
  </si>
  <si>
    <t>staru terapija</t>
  </si>
  <si>
    <t>Administrēšnas izmaksas</t>
  </si>
  <si>
    <t>Viena pacienta izmaksas</t>
  </si>
  <si>
    <t>Sarkomas Pacientu skaits gadā</t>
  </si>
  <si>
    <t>Atsevišķi kaulu sarkoma</t>
  </si>
  <si>
    <t>Vidējais pacientu skaits</t>
  </si>
  <si>
    <t>Kaulu sarkomas pacientu skaits</t>
  </si>
  <si>
    <t>Vidējās pacienta izmaksas</t>
  </si>
  <si>
    <t>Viens pacients:</t>
  </si>
  <si>
    <t>2022.gadā</t>
  </si>
  <si>
    <t>Izmaksas gadā uz pacientu, euro</t>
  </si>
  <si>
    <t>Izmaksas gadā uz vienu pacientu, euro</t>
  </si>
  <si>
    <t>Jauna centra izveides un atbilstošu algoritmu, indikatoru utt izstrādes izmaksas ir līdzvērtīgas Sarkomu ārstēšanas administrēšanai, euro:</t>
  </si>
  <si>
    <t>Nepieciešamais finansējums, euro</t>
  </si>
  <si>
    <t>Kopā nepieciešams gadā, euro</t>
  </si>
  <si>
    <t>45.01.00 Veselības aprūpes finansējuma administrēšana un ekonomiskā novērtēšana</t>
  </si>
  <si>
    <t>Darba samaksa jaunākajam personālam, euro</t>
  </si>
  <si>
    <t xml:space="preserve">Pieskaitāmās un netiešās ražošanas izmaksas </t>
  </si>
  <si>
    <t xml:space="preserve">Administratīvās izmaksas </t>
  </si>
  <si>
    <t xml:space="preserve">Pārējo pamatlīdzekļu amortizācija </t>
  </si>
  <si>
    <t>Koeficienti</t>
  </si>
  <si>
    <t>Mainīgās izmaksas</t>
  </si>
  <si>
    <t>Kopējās izmaksas, euro</t>
  </si>
  <si>
    <t>Līdzmaksājums euro</t>
  </si>
  <si>
    <t>Strapība, euro</t>
  </si>
  <si>
    <t>Darba laiks (minūtes)</t>
  </si>
  <si>
    <t>Darba samaksa D, euro</t>
  </si>
  <si>
    <t>Ārstniecības līdzekļi M, euro</t>
  </si>
  <si>
    <t>Iekārtu amortizācija N, euro</t>
  </si>
  <si>
    <t>Pieskaitāmās un netiešās ražošanas izmaksas U, euro</t>
  </si>
  <si>
    <t>Administratīvās izmaksas A, euro</t>
  </si>
  <si>
    <t>Pārējo pamatlīdzekļu amortizācija n, euro</t>
  </si>
  <si>
    <t>ārstam</t>
  </si>
  <si>
    <t>māsai</t>
  </si>
  <si>
    <t>jaunākajam personālām</t>
  </si>
  <si>
    <t>jaunākajam personālam</t>
  </si>
  <si>
    <t>ārstam, māsai un jaunākajam personālām kopā</t>
  </si>
  <si>
    <t>M kopā</t>
  </si>
  <si>
    <t>Medikamenti</t>
  </si>
  <si>
    <t>Materiāli</t>
  </si>
  <si>
    <t>10 = 11 + 12</t>
  </si>
  <si>
    <t>Pārrēķins 17.05.2021.</t>
  </si>
  <si>
    <t>Izmeklējumu skaits 2020</t>
  </si>
  <si>
    <t>STAC:</t>
  </si>
  <si>
    <t>AMB:</t>
  </si>
  <si>
    <t>KOPĀ:</t>
  </si>
  <si>
    <t>Papildus nepieciešamais finansējums 2022.gadā un turpmāk ik gadu, euro</t>
  </si>
  <si>
    <t>Pielikums Nr.12.1.2.</t>
  </si>
  <si>
    <t>STACIONĀRĀ</t>
  </si>
  <si>
    <t>Programmas  ar manipulācijām 50303, 50415, 50416, 50419</t>
  </si>
  <si>
    <t>Pacienti</t>
  </si>
  <si>
    <t>Tarifs programmām no 1.01.21.</t>
  </si>
  <si>
    <t>Starpība</t>
  </si>
  <si>
    <t xml:space="preserve">Daugavpils reģionālā slimnīca </t>
  </si>
  <si>
    <t>Staru terapija</t>
  </si>
  <si>
    <t xml:space="preserve">Liepājas reģionālā slimnīca </t>
  </si>
  <si>
    <t xml:space="preserve">Rīgas Austrumu klīniskā universitātes slimnīca </t>
  </si>
  <si>
    <t xml:space="preserve">Paula Stradiņa klīniskā universitātes slimnīca </t>
  </si>
  <si>
    <t>Staru terapija un ķīmijterapija pieaugušajiem</t>
  </si>
  <si>
    <t xml:space="preserve">Ķīmijterapija pieaugušajiem </t>
  </si>
  <si>
    <t>Ķīmijterapija pieaugušajiem</t>
  </si>
  <si>
    <t>AMBULATORI</t>
  </si>
  <si>
    <t>Kods</t>
  </si>
  <si>
    <t>Skaits AMBULATORI (RAKUS, 2020)</t>
  </si>
  <si>
    <t>Nepieciešamais finansējums AMBULATORI (RAKUS)</t>
  </si>
  <si>
    <t>Ar 40% pieaugumu</t>
  </si>
  <si>
    <t>Dobuma terapija, izmantojot endostatu vai endoskopu JSA ievadīšanai</t>
  </si>
  <si>
    <t>Piemaksa manipulācijai 50303 par maināmā JSA (jonizējošā starojuma avots) izmantošanu</t>
  </si>
  <si>
    <t>Dobuma terapijas plānošana, lietojot dozas sadalījuma modelēšanu, izmantojot datorizētu plānošanas sistēmu</t>
  </si>
  <si>
    <t>Piemaksa manipulācijai 50303 par katru aplikatora materiālu</t>
  </si>
  <si>
    <t>Pielikums Nr.12.1.3.</t>
  </si>
  <si>
    <t>Papildus finansējums - brahiterapijas nodrošināšanai</t>
  </si>
  <si>
    <t>Plāns 2022.g.</t>
  </si>
  <si>
    <t>Kopā nepieciešamais finansējums 2022.gadā un turpmāk ik gadu, euro</t>
  </si>
  <si>
    <t>Pārrēķinātais (ar 2021.gada algu)</t>
  </si>
  <si>
    <t>Tarifs ar pārrēķinu</t>
  </si>
  <si>
    <t xml:space="preserve">Staru terapija, staru terapija un ķīmijterapija pieaugušajiem </t>
  </si>
  <si>
    <t>Finansējums ķirurģijas tarifu pārrēķinam</t>
  </si>
  <si>
    <t>Kopējās izmaksas</t>
  </si>
  <si>
    <t>Nepieciešamais finansējums</t>
  </si>
  <si>
    <t>Citi pieskaitāmie izdevumi, u', euro</t>
  </si>
  <si>
    <t>Pacienta līdzmaksājums</t>
  </si>
  <si>
    <t>Tarifs</t>
  </si>
  <si>
    <t>Medikamenti / reaģenti</t>
  </si>
  <si>
    <t>Stac</t>
  </si>
  <si>
    <t>Biliodigestīva anastamoze</t>
  </si>
  <si>
    <t>Vairogdziedzera un epitēlijķermenīšu operācijas</t>
  </si>
  <si>
    <t>Gastroenteroanastomoze, enteroenteroanastomoze</t>
  </si>
  <si>
    <t>Gastrotomija, gastrostomija, enterotomija, enterostomija, kolostomija, stomas slēgšana</t>
  </si>
  <si>
    <t>Taisnās zarnas rezekcija vai ekstirpācija</t>
  </si>
  <si>
    <t>Liesas operācija</t>
  </si>
  <si>
    <t>Tarifu pārrēķins - Uroloģijas manipulāciju pārrēķins un piemaksas</t>
  </si>
  <si>
    <t>Manipulācijas pašreizējais nosaukums</t>
  </si>
  <si>
    <t>Manipulācijas pašreizējais tarifs, eiro</t>
  </si>
  <si>
    <t>Pārrēķinātais manipulācijas tarifs, eiro</t>
  </si>
  <si>
    <t>Pacienta līdzmaksājums, eiro</t>
  </si>
  <si>
    <t>Manipulācijas tarifam nepieciešamais finansējums (uz 1 manipulāciju), eiro</t>
  </si>
  <si>
    <t>Vidējais manipulāciju skaits gadā (saskaņā ar statistikas datiem par 1 kalendāro gadu)</t>
  </si>
  <si>
    <t>Nepieciešamais finansējums gadā, eiro</t>
  </si>
  <si>
    <t>Spēkā esošie apmaksas nosacījumi</t>
  </si>
  <si>
    <t>Plānotās apmaksas nosacījumu izmaiņas (ja plānotas)</t>
  </si>
  <si>
    <t>Ja nepieciešams, norāda informāciju par veicamiem grozījumiem MK noteikumos Nr.555</t>
  </si>
  <si>
    <t>Īss pakalpojuma apraksts</t>
  </si>
  <si>
    <t>Ambulatori</t>
  </si>
  <si>
    <t>Dienas stacionārā</t>
  </si>
  <si>
    <t>Stacionārā</t>
  </si>
  <si>
    <t>Zvaigznītes (* vai **)</t>
  </si>
  <si>
    <t>Lielā ķirurģiskā operācija</t>
  </si>
  <si>
    <t>Citi apmaksas nosacījumi</t>
  </si>
  <si>
    <t>19048</t>
  </si>
  <si>
    <t>Adenomas transuretrālā rezekcija, incīzija vai urīnpūšļa kakla rezekcija</t>
  </si>
  <si>
    <t>Bez izmaiņām</t>
  </si>
  <si>
    <t>*</t>
  </si>
  <si>
    <t>x</t>
  </si>
  <si>
    <t>19075</t>
  </si>
  <si>
    <t>Operatīva iejaukšanās urīnpūslī, transuretrāla lielu svešķermeņu un/vai lielu audzēju izņemšana un stenta izņemšana</t>
  </si>
  <si>
    <t>Transuretrāla urīnpūšļa  audzēju rezekcija (izņemšana)</t>
  </si>
  <si>
    <t xml:space="preserve">Manipulācija nav norādāma kombinācijā ar citām endoskopiskām manipulācijām.    </t>
  </si>
  <si>
    <t>Nepieciešamais finansējums ambulatori:</t>
  </si>
  <si>
    <t>Nepieciešamais finansējums stacionāri:</t>
  </si>
  <si>
    <t>Tarifu pārrēķins - Neiroķirurģijas manipulācijas un piemaksas</t>
  </si>
  <si>
    <t>24008</t>
  </si>
  <si>
    <t>Laminektomija spināla intramedulāra tumora evakuācijai</t>
  </si>
  <si>
    <t>-</t>
  </si>
  <si>
    <t>24051</t>
  </si>
  <si>
    <t>Infiltratīva subtentoriāla tumora evakuācija</t>
  </si>
  <si>
    <t>Jauns, izrēķināts manipulācijas tarifs</t>
  </si>
  <si>
    <t>Provizorisks manipulācijas tarifs (dati ņemti no RAKUS un PSKUS pielīdžinot specifiku)</t>
  </si>
  <si>
    <t>01078</t>
  </si>
  <si>
    <t>Iztriepes paņemšana seksuāli transmisīvo slimību diagnostikai</t>
  </si>
  <si>
    <t>16007</t>
  </si>
  <si>
    <t>Dzemdes kakla konusveida elektroekscīzija</t>
  </si>
  <si>
    <t>XXXXX</t>
  </si>
  <si>
    <t>Kolposkopija (bez mērķbiopsijas)</t>
  </si>
  <si>
    <t>Dozētā koagulācija lokālā anestēzijā</t>
  </si>
  <si>
    <t>Vulvas biopsija</t>
  </si>
  <si>
    <t>16074</t>
  </si>
  <si>
    <t>Retroperitoneāla ileakāla limfadenoektomija</t>
  </si>
  <si>
    <t>16065</t>
  </si>
  <si>
    <t>Radikāla vulvektomija</t>
  </si>
  <si>
    <t>16070</t>
  </si>
  <si>
    <t>Vertheima operācija</t>
  </si>
  <si>
    <t>Para-aortāla limfadenektomija laparatomijas laikā (pie olnīcu un endometrija vēža 150 procedūras gadā)</t>
  </si>
  <si>
    <t>Laparaskopiska iegurņa limfadenektomija (pie dzemdes kakla agrīnajām stadijām, kā arī pie endometrija vēža 50 procedūras gadā)</t>
  </si>
  <si>
    <t>Laparaskopiska para-aortāla limfadenektomija (pie endometrija vēža 10-20 procedūras gadā)</t>
  </si>
  <si>
    <t>Laparaskopiska sargmezgla identificēšama ar indociānīna zaļo krāsvielu (ļauj samazināt limfadenektomiju un saistīto komplikāciju biežumu 20-50 procedūras gadā)</t>
  </si>
  <si>
    <t>Laparaskopiska iegurņa limfmezglu biopsija (pie dzemdes kakla vēža, lai izlemtu par primāru ķirurģisku ārstēšanu vai staru-ķīmijterapiju 10-20 procedūras gadā)</t>
  </si>
  <si>
    <t>Laparaskopiska para-aortālo limfmezglu biopsija (pie ielaista dzemdes kakla vēža 10-20 procedūras gadā)</t>
  </si>
  <si>
    <t>Parietālās-diafragmālās vēderplēves ekscīzija (pie olnīcu vēža primāras citoredukcijas 100 procedūras gadā)</t>
  </si>
  <si>
    <t>Sekundāra citoredukcija (pie olnīcu vēža 10-20 procedūras gadā)</t>
  </si>
  <si>
    <t>Pielikums Nr.12.1.5.</t>
  </si>
  <si>
    <r>
      <t xml:space="preserve">Manipulācijas plānotās nosaukuma izmaiņas, ja plānotas. Ja nav plānotas – rakstīt </t>
    </r>
    <r>
      <rPr>
        <i/>
        <sz val="10"/>
        <color theme="1"/>
        <rFont val="Times New Roman"/>
        <family val="1"/>
      </rPr>
      <t>Bez izmaiņām.</t>
    </r>
  </si>
  <si>
    <t>Papildus nepieciešamais finansējums 2022.gadā un turpmāk ik gadu</t>
  </si>
  <si>
    <t>Manipulācijas tarifs, eiro</t>
  </si>
  <si>
    <t>Plānotais pacientu skaits gadā</t>
  </si>
  <si>
    <t>50470</t>
  </si>
  <si>
    <t>Pacienta individuālā plāna sagatavošana stereotaktiskajai radioķirurģijai, pielietojot robotizētu manipulatoru</t>
  </si>
  <si>
    <t>Samaksa par šo manipulāciju tiek veikta SIA "Siguldas slimnīca", ja to norāda pacientiem pie šādiem pamata diagnozes kodiem: G50.0, C69.3 un pacientus pakalpojuma saņemšanai nosūtījuši VSIA “Paula Stradiņa klīniskā universitātes slimnīca” vai SIA “Rīgas Austrumu klīniskā universitātes slimnīca” speciālisti.</t>
  </si>
  <si>
    <t>50471</t>
  </si>
  <si>
    <t>Pacienta individuālā plāna 1. frakcijas izpilde, pielietojot robotizētu stereotaktisko radioķirurģiju</t>
  </si>
  <si>
    <t>50472</t>
  </si>
  <si>
    <t>Pacienta individuālā plāna izpilde sākot ar 2. frakciju, pielietojot robotizētu stereotaktisko radioķirurģiju</t>
  </si>
  <si>
    <t>Nepieciešamais finansējums no ambulatorās nodaļas:</t>
  </si>
  <si>
    <t>Nepieciešamais finansējums no stacionārās nodaļas:</t>
  </si>
  <si>
    <t>Piemaksa par ķīmijpreparātu absorbējošu mikrosfēru/mikrodaļiņām tiešas intraarteriālas ķīmijembolizācijas veikšanai</t>
  </si>
  <si>
    <t>Gads, kad pabeigta izskatīšana</t>
  </si>
  <si>
    <t>Manipulācijas plānotais nosaukums</t>
  </si>
  <si>
    <t>Manip. tarifs, eiro</t>
  </si>
  <si>
    <t>Papildus manip.tarifam nepieciešamais finansējums, eiro</t>
  </si>
  <si>
    <t>Plānotais manipulāciju skaits vienam pacientam gadā</t>
  </si>
  <si>
    <t>Papildu informācija par finanšu ietekmes aprēķināšanu</t>
  </si>
  <si>
    <t>Plānotie apmaksas nosacījumi</t>
  </si>
  <si>
    <t>vēl izskatīšanā</t>
  </si>
  <si>
    <t>Piemaksa manipulācijai 50118 par ķīmijpreparātu absorbējošu mikrosfēru/mikrodaļiņām tiešas intraarteriālas ķīmijembolizācijas veikšanai (1 ml)</t>
  </si>
  <si>
    <t>Manipulāciju norāda atbilstoši izlietotajam apjomam (ml). Manipulāciju apmaksā VSIA "Paula Stradiņa klīniskā universitātes slimnīca" un SIA "Rīgas Austrumu klīniskā universitātes slimnīca".</t>
  </si>
  <si>
    <t>Ķīmijembolizācijas mikrosfēras spēj akumulēt un pakāpeniski atbrīvot ķīmijpreparātu audzēja audos kā nesējmateriāls. Ievadot tikai ķīmijpreparātu intraarteriāli bez nesošajām mikrosfērām tā koncentrācija audzēja audos ir tikai 20min, kas nav pietiekams laiks tumora audu destrukcijai. Savukārt, ievadot ķīmijpreparātu ar to absorbējoši mikrosfēru starpniecību, ķīmijpreparāts patoloģiskajos audos sasniedz maksimālo koncentrāciju 8h un tiek descendējoši izdalīts vēl 30 dienas. Atšķirībā no tiešas medikamenta ievadīšanas,  ķīmijembolizācijas mikrosfēru vai mikrodaļiņu pielietojums būtiski samazina ķīmijpreparāta sistēmisko blakusparādību risku, bet palielina lokālo intratumorozo citotoksisko efektu, attiecīgi saīsinās arī hospitalizācijas ilgums, kas parasti saistīts ar sistēmiski ievadāmo ķīmijterapijas preparātu blaknēm. Rezumējot, ķīmijembolizācija atšķirībā no sistēmiskas ķīmijterapijas nodrošina dubultu terapeitisku efektu: ilgstošu audzēja audu kontaktu ar ķīmijpreparātu un  audzēja audu papildus išēmizāciju.</t>
  </si>
  <si>
    <t>Pielikums Nr.12.1.6.</t>
  </si>
  <si>
    <t>Izvērtēt iespēju iekļaut valsts apmaksātajos veselības aprūpes pakalpojumos invazīvās radioloģijas pakalpojumus, piemēram, radiofrekvences ablācija, mikroviļņu ablācija, radioķirurģija, radioembolizācija. Pārskatīti pakalpojumā ietvertie tehnoloģiju un manipulāciju tarifi.</t>
  </si>
  <si>
    <t>Nepieciešmais finansējums 2022.gadā un turpmāk ik gadu</t>
  </si>
  <si>
    <t>Atalgojums ar koeficientu 1.3</t>
  </si>
  <si>
    <t>1 min vērtība darba samaksai ar koef. 1.3</t>
  </si>
  <si>
    <t>Manip. kods (ja ir iezīmēts)</t>
  </si>
  <si>
    <t>Iekārtu nolietojums N, euro</t>
  </si>
  <si>
    <t>KOPĒJĀS PAKALPOJUMA IZMAKSAS, EURO</t>
  </si>
  <si>
    <r>
      <t xml:space="preserve">Apjoms, ko nosegs </t>
    </r>
    <r>
      <rPr>
        <b/>
        <u/>
        <sz val="11"/>
        <color theme="1"/>
        <rFont val="Times New Roman"/>
        <family val="1"/>
        <charset val="186"/>
      </rPr>
      <t>tarifs</t>
    </r>
    <r>
      <rPr>
        <b/>
        <sz val="11"/>
        <color theme="1"/>
        <rFont val="Times New Roman"/>
        <family val="1"/>
        <charset val="186"/>
      </rPr>
      <t>, euro</t>
    </r>
  </si>
  <si>
    <r>
      <t xml:space="preserve">Apjoms, ko nosegs pacienta </t>
    </r>
    <r>
      <rPr>
        <b/>
        <u/>
        <sz val="11"/>
        <color theme="1"/>
        <rFont val="Times New Roman"/>
        <family val="1"/>
        <charset val="186"/>
      </rPr>
      <t>līdzmaksājums</t>
    </r>
    <r>
      <rPr>
        <b/>
        <sz val="11"/>
        <color theme="1"/>
        <rFont val="Times New Roman"/>
        <family val="1"/>
        <charset val="186"/>
      </rPr>
      <t>, euro</t>
    </r>
  </si>
  <si>
    <t>Pašreiz spēkā esošais tarifs</t>
  </si>
  <si>
    <t>Ļaundabīgo audzēju ķīmijterapijas procedūra</t>
  </si>
  <si>
    <t>Paaugstinātais tarifs</t>
  </si>
  <si>
    <t>Statistikas dati par manipulācijas pielietojumu</t>
  </si>
  <si>
    <t>MAN_KODS</t>
  </si>
  <si>
    <t>MANIP_NOS</t>
  </si>
  <si>
    <t>MODULIS</t>
  </si>
  <si>
    <t>Total</t>
  </si>
  <si>
    <t>60008</t>
  </si>
  <si>
    <t>AP</t>
  </si>
  <si>
    <t>SP</t>
  </si>
  <si>
    <t>Ļaundabīgo audzēju ķīmijterapijas procedūra Total</t>
  </si>
  <si>
    <t>MAN_NOSAUKUMS</t>
  </si>
  <si>
    <t>FINANŠU IETEKMES APRĒĶINS</t>
  </si>
  <si>
    <t>Esošais tarifs, eiro</t>
  </si>
  <si>
    <t>Jaunais tarifs, eiro</t>
  </si>
  <si>
    <t>Veikto manipulāciju skaits 2019. gadā</t>
  </si>
  <si>
    <t>Veikto manipulāciju skaits 2020. gadā</t>
  </si>
  <si>
    <t>Ambulatori:</t>
  </si>
  <si>
    <t>Stacionāri:</t>
  </si>
  <si>
    <t>Pielikums Nr.12.1.7.</t>
  </si>
  <si>
    <t>Izvērtēt iespēju integrēt riska piemaksu ārstniecības personām, kas iesaistās onkoloģisko pacientu aprūpē</t>
  </si>
  <si>
    <t>Nepieciešamais (papildus) finansējums gadā (pēc 2019. gada statistikas), euro</t>
  </si>
  <si>
    <t>Nepieciešamais (papildus) finansējums gadā (pēc 2020. gada statistikas), euro</t>
  </si>
  <si>
    <t>Izstrādāt algoritmu primārās aprūpes speciālistiem un ārstiem speciālistiem, kas vērsti uz “sarkanā karoga simptomiem”, kas liecinātu par bērnu vecuma audzējiem un, kurus nepieciešams tūlītēji nosūtīt uz BKUS NMPON, un pieaugušajiem ar aizdoām par sarkomas tipa audzēju, kurus nepieciešams tūlītēji nosūtīt uz RAKUS, TOS</t>
  </si>
  <si>
    <t>Algoritmi</t>
  </si>
  <si>
    <t>Ceļš</t>
  </si>
  <si>
    <t>KOPĀ, euro</t>
  </si>
  <si>
    <t>Vienas vienības summa ar PVN, euro</t>
  </si>
  <si>
    <t>Vienas vienības summa bez PVN, euro</t>
  </si>
  <si>
    <t>Pielikums Nr.13.1.2.</t>
  </si>
  <si>
    <t>Izstrādāt vienotus standartizētus diagnostikās radioloģijas protokolus noteiktām lokalizācijām (sākotnēji kolorektālam vēzim, kuņģa vai aizkuņģa vēzim)  (ņemot vērā pieejamos finanšu un cilvēkresursus)</t>
  </si>
  <si>
    <t>Pielikums Nr.13.1.3.</t>
  </si>
  <si>
    <t>Izstrādāt algoritmu, ka pie aizdomām par audzēju bērnu vecumā, jebkura veida ķirurģiska manipulācija t.sk. biopsija veicama tikai BKUS vai citā terciālā līmeņa slimnīcā, tai skaitā, ārpus Latvijas, to saskaņojot ar BKUS</t>
  </si>
  <si>
    <t>Izstrādāt algoritmu, kādos gadījumos pieauguša vecuma pacientus ar audzējiem nepieciešams operēt tikai specializēta profila ķirurģijas klīnikas, nosūtot pacientu uz operāciju ārpus Latvijas.</t>
  </si>
  <si>
    <t>Pielikums Nr.13.1.4.</t>
  </si>
  <si>
    <t>Izstrādāt algoritmu, kādos gadījumos pieauguša vecuma pacientus ar audzējiem nepieciešams operēt specializēta profila ķirurģijas klīnikā</t>
  </si>
  <si>
    <t>Pielikums nr.13.1.5.</t>
  </si>
  <si>
    <t>Izstrādāts algoritms skriemeļu biopsijas veikšanai Latvijā, kā arī kopīgi konsīliji</t>
  </si>
  <si>
    <t>Pielikums Nr.13.1.7.</t>
  </si>
  <si>
    <t>Pielikums Nr.13.1.8.</t>
  </si>
  <si>
    <t>Pārskatīt esošo algoritmu ļaundabīgo audzēju recidīvu un izplatības diagnostikai noteiktām lokalizācijām, nepieciešamības gadījumā to aktualizēt</t>
  </si>
  <si>
    <t>Pielikums Nr.13.1.9.</t>
  </si>
  <si>
    <t>Pārskatīt esošo dinamiskās novērošanas kārtību pacientiem ar Latvijā biežāk sastopamiem ļaundabīgiem audzējiem, nepieciešamības gadījumā to aktualizēt</t>
  </si>
  <si>
    <t>Pielikums Nr.13.1.10.</t>
  </si>
  <si>
    <t>Pielikums Nr.13.1.11.</t>
  </si>
  <si>
    <t>Pārskatīt multimodālo krūts diagnostikas algoritmu, nepieciešamības gadījumā to aktualizējot</t>
  </si>
  <si>
    <t>Rezultatīvais rādītājs</t>
  </si>
  <si>
    <t>Pielikums Nr.13.1.12.</t>
  </si>
  <si>
    <t>Izvērtēt iespēju izstrādāt kvalitātes indikatorus mamogrāfijas skrīninga pakalpojumam, skrīninga mamogrāfijas attēlu kvalitātei un interpretācijai, citoloģiskā materiāla novērtēšanai</t>
  </si>
  <si>
    <t xml:space="preserve"> Algoritmi</t>
  </si>
  <si>
    <t>Indikators</t>
  </si>
  <si>
    <t>Nepieciešamības gadījumā izstrādāti kvalitātes kritēriji un indikatori uzaicināšanai uz kolorektālā vēža skrīningu, paraugu loģistikai, pacientu klīniskajam ceļam.</t>
  </si>
  <si>
    <t>Pielikums Nr.13.1.13</t>
  </si>
  <si>
    <t>Izvērtēt iespēju izstrādāt kvalitātes kritērijus un indikatorus uzaicināšanai uz kolorektālā vēža skrīningu, paraugu loģistikai, pacientu klīniskajam ceļam</t>
  </si>
  <si>
    <t>Izvērtēt iespēju izstrādāt algoritmu vēža skrīninga programmas dalībnieku koordinācijai ar specializētiem vēža centriem, nodrošinot pakalpojuma pēctecība, kā arī pacientu ceļus pēcskrīninga etapā.</t>
  </si>
  <si>
    <t>Nepieciešamības gadījumā izstrādāts algoritms vēža skrīninga programmas dalībnieku koordinācijai ar specializētiem vēža centriem, nodrošinot pakalpojuma pēctecība, un pacienta ceļi pēcskrīninga etapā.</t>
  </si>
  <si>
    <t>Pielikums Nr.13.1.14.</t>
  </si>
  <si>
    <t>Izvērtēt iespēju izstrādāt algoritmu vēža skrīninga programmas dalībniekiem, nodrošinot pakalpojuma pēctecību, kā arī pacientu ceļus pēcskrīninga etapā</t>
  </si>
  <si>
    <t>Konsīlijs pacientu ar īpašām veselības aprūpes vajadzībām nodošanai pieaugušo speciālistiem, pacientam sasniedzot 18 gadu vecumu</t>
  </si>
  <si>
    <t>%</t>
  </si>
  <si>
    <t>Savlaicīga, skaidra pēctecīgās informācijas nodošana pieaugušo veselības aprūpes profesionāļu komandai, pacienta un ģimenes iesaistīšana turpmākajā ārstniecības procesā, tā nodrošinot pacientam augstu līdzestību ārstniecības procesam, iespējami labu dzīves kvalitāti, dodot iespēju izmantot maksimālo funkcionēšanas potenciālu mūža garumā, iespējami novēršot agrīnu un vēlīnu komplikāciju attīstību, samazinot invalidizācijas risku, hroniskās saslimšanas uzliesmojumu / pasliktināšanās risku, līdz ar to mazinot akūto hospitalizācijas gadījumu skaitu.</t>
  </si>
  <si>
    <t>Pielikums Nr.14.3.</t>
  </si>
  <si>
    <t>Nr. p.k.</t>
  </si>
  <si>
    <t xml:space="preserve">Izmaksas uz 1 pacientu </t>
  </si>
  <si>
    <t xml:space="preserve">Pacientu skaits </t>
  </si>
  <si>
    <t>Laboratoriskie izmeklējumi pirms ziedošanas</t>
  </si>
  <si>
    <t>Pacienta atkārtota laboratoriskā izmeklēšana</t>
  </si>
  <si>
    <t>Materiāla iegūšana (konteiners + materiāla apstrāde)</t>
  </si>
  <si>
    <t>Materiāla apstrāde Audu centrā</t>
  </si>
  <si>
    <t>Materiāla mikrobioloģiska izmeklēšana</t>
  </si>
  <si>
    <t>Materiāla uzglabāšana</t>
  </si>
  <si>
    <t>20% pieaugums</t>
  </si>
  <si>
    <t>2023.gadam</t>
  </si>
  <si>
    <t>* Aptuvenās izmaksas uz vienu pacientu no donora atlases posma, kas sākās PIN, līdz materiāla uzglabāšanai un izsniegšanai recipientam.</t>
  </si>
  <si>
    <t>Pielikums Nr.14.4.</t>
  </si>
  <si>
    <t>Pasākumi</t>
  </si>
  <si>
    <t xml:space="preserve">Kopā izmaksas gadā, euro </t>
  </si>
  <si>
    <t>6</t>
  </si>
  <si>
    <t>Kopējās izmaksas* (2022.gadam):</t>
  </si>
  <si>
    <t xml:space="preserve"> Donoru reģistra izveide (pirmais gads)</t>
  </si>
  <si>
    <t>Darbības uzturēšana, analīzes, IT nodrošinājums (pēc tam katru gadu)</t>
  </si>
  <si>
    <t xml:space="preserve"> Ārspusģimenes transplantācijas (ietverot himērisma kontroli, visas priocedūras)</t>
  </si>
  <si>
    <t>Pielikums Nr.14.5.</t>
  </si>
  <si>
    <t>Nepieciešmais finansējums 2021.gadā, euro</t>
  </si>
  <si>
    <t>Nepieciešamais finansējums 2023.gadā un turpmāk ik gadu</t>
  </si>
  <si>
    <t>Izmaksas, euro</t>
  </si>
  <si>
    <t>Nepieciešmais finansējums (ambulatori)</t>
  </si>
  <si>
    <t>Nepieciešamais finansējums (stacionāri)</t>
  </si>
  <si>
    <t>ambulatori</t>
  </si>
  <si>
    <t>stacionāri</t>
  </si>
  <si>
    <t>(stacionāri)</t>
  </si>
  <si>
    <t>BI-RADS klasifikācijas izpēte, tai skaitā, esošo klasifikācijas risinājumu analīze, to migrācijas plānošanai</t>
  </si>
  <si>
    <t>BI-RADS klasifikātora izstrāde un ieviešana</t>
  </si>
  <si>
    <t>Izmeklējumu centralizētas glabāšanas risinājuma izstrāde un ieviešana</t>
  </si>
  <si>
    <r>
      <t xml:space="preserve">Nepieciešamais finansējums 2023.gadā, </t>
    </r>
    <r>
      <rPr>
        <b/>
        <i/>
        <sz val="10"/>
        <color rgb="FF000000"/>
        <rFont val="Times New Roman"/>
        <family val="1"/>
      </rPr>
      <t>euro</t>
    </r>
  </si>
  <si>
    <r>
      <t xml:space="preserve">Nepieciešamais finansējums 2024.gadā, </t>
    </r>
    <r>
      <rPr>
        <b/>
        <i/>
        <sz val="10"/>
        <color rgb="FF000000"/>
        <rFont val="Times New Roman"/>
        <family val="1"/>
      </rPr>
      <t>euro</t>
    </r>
  </si>
  <si>
    <t>Pielikums Nr.4.1.</t>
  </si>
  <si>
    <t>Pāriet uz Eiropas valstu pielietoto BI-RADS klasifikācijas sistēmu (Breast Imaging reporting and Data System)</t>
  </si>
  <si>
    <r>
      <t xml:space="preserve">Nepieciešamais finansējums 2024.gadā un turpmāk, </t>
    </r>
    <r>
      <rPr>
        <b/>
        <i/>
        <sz val="10"/>
        <color rgb="FF000000"/>
        <rFont val="Times New Roman"/>
        <family val="1"/>
      </rPr>
      <t>euro</t>
    </r>
  </si>
  <si>
    <t>Skrīninga mamogrāfijas izmeklējumu moduļa biznesa prasību analīze un definēšana</t>
  </si>
  <si>
    <t>Skrīninga mamogrāfijas izmeklējumu moduļa izstrāde un ieviešana, tai skaitā, vizuālo izmeklējumu apraksta formu pielāgošana atbilstoši BI-RADS prasībām</t>
  </si>
  <si>
    <t>Skrīninga mamogrāfijas izmeklējumu moduļa integrācija ar ārstniecības iestāžu sistēmām</t>
  </si>
  <si>
    <r>
      <t>Kopā, </t>
    </r>
    <r>
      <rPr>
        <b/>
        <i/>
        <sz val="10"/>
        <color rgb="FF000000"/>
        <rFont val="Times New Roman"/>
        <family val="1"/>
      </rPr>
      <t>euro</t>
    </r>
    <r>
      <rPr>
        <b/>
        <sz val="10"/>
        <color rgb="FF000000"/>
        <rFont val="Times New Roman"/>
        <family val="1"/>
      </rPr>
      <t>: </t>
    </r>
  </si>
  <si>
    <t xml:space="preserve">Izveidot vienotu skrīninga mamogrāfijas izmeklējuma datu ievades programmoduli, kas nodrošina dubultaklo izmeklējuma aprakstu </t>
  </si>
  <si>
    <t>Pielikums Nr.4.2.</t>
  </si>
  <si>
    <r>
      <t xml:space="preserve">Nepieciešamais finansējums 2024.gadā un turpmāk ik gadu, </t>
    </r>
    <r>
      <rPr>
        <b/>
        <i/>
        <sz val="10"/>
        <color rgb="FF000000"/>
        <rFont val="Times New Roman"/>
        <family val="1"/>
      </rPr>
      <t>euro</t>
    </r>
  </si>
  <si>
    <t xml:space="preserve">Mamogrāfijas izmeklējuma otrā lasījuma funkcionālo prasību definēšana </t>
  </si>
  <si>
    <t xml:space="preserve">Mamogrāfijas izmeklējuma otrā lasījuma funkcionalitātes izstrāde un ieviešana </t>
  </si>
  <si>
    <t>Ārstniecības personu apmācību veikšana</t>
  </si>
  <si>
    <t>Pāriet no decentralizēta skrīninga organizācijas uz centralizētu, lai mamogrāfijas izmeklējuma otrais lasījums tiek veikts specializētās ārstniecības iestādēs</t>
  </si>
  <si>
    <t>Pielikums Nr.4.3.</t>
  </si>
  <si>
    <t>ESF finansējuma ietvaros</t>
  </si>
  <si>
    <t>63.07.00 "Eiropas Sociālā fonda  (ESF) projekta īstenošana (2014-2020)"</t>
  </si>
  <si>
    <t>Digitālo skrīninga attēlu apmaiņas labās prakses izpēte</t>
  </si>
  <si>
    <t>Vienotā skrīninga datu apstrādes tehniskās specifikācijas izstrāde</t>
  </si>
  <si>
    <t>Izvērtēt vienotas digitālo skrīninga mamogrāfijas attēlu centrāla arhīva izveides iespējas, Latvijā veikto skrīninga mamogrāfijas attēlu arhivācijai</t>
  </si>
  <si>
    <t>Pielikums Nr.16.3.</t>
  </si>
  <si>
    <t>2022.-2023.g.</t>
  </si>
  <si>
    <t>Esošās datu kopas pietiekamības izskatīšana atbilstoši nozares aktuālajām prasībām</t>
  </si>
  <si>
    <t>Esošo onkoloģijas datu klasifikācijas atbilstības novērtēšana nozares aktuālajām prasībām</t>
  </si>
  <si>
    <t xml:space="preserve">Vēža reģistra funkcionālo prasību definēšana </t>
  </si>
  <si>
    <t>Vēža reģistra darbības nodrošināšanai nepieciešamo integrāciju analīze</t>
  </si>
  <si>
    <t>PREDA (esošais NVD "Ar noteiktām slimībām slimojušu pacientu reģistrs") onkoloģijas datu migrācijas plāna izstrāde</t>
  </si>
  <si>
    <t>Reto onkoloģijas saslimšanas diagnožu iekļaušanas vēža reģistra datu kopās;
reto onkoloģisko saslimšanas diagnožu apstiprināšanas funkcionālo prasību definēšana</t>
  </si>
  <si>
    <t xml:space="preserve">Ārvalstu onkoloģisko saslimšanu reģistru pieredzes izpēte </t>
  </si>
  <si>
    <t>Pielikums Nr.16.1.</t>
  </si>
  <si>
    <t xml:space="preserve">Izmeklējumu un slēdzienu protokolu izstrāde un ieviešana </t>
  </si>
  <si>
    <t>Izmeklējumu datu bāzes funkcionālo prasību specifikācijas izstrāde</t>
  </si>
  <si>
    <t>Izmeklējumu datu bāzes izstrāde un ieviešana</t>
  </si>
  <si>
    <t>Pielikums Nr.16.2.</t>
  </si>
  <si>
    <t>2022.g., 2023.g.</t>
  </si>
  <si>
    <t>Biznesa ekspertu domnīcu organizēšana, to viedokļu apkopošana</t>
  </si>
  <si>
    <t>IT ekspertu domnīcu organizēšana, to viedokļu apkopošana</t>
  </si>
  <si>
    <t>Biznesa prasību analīze un definēšana</t>
  </si>
  <si>
    <r>
      <t xml:space="preserve">Nepieciešamais finansējums 2023.gadā un turpmāk, </t>
    </r>
    <r>
      <rPr>
        <b/>
        <i/>
        <sz val="10"/>
        <color rgb="FF000000"/>
        <rFont val="Times New Roman"/>
        <family val="1"/>
      </rPr>
      <t>euro</t>
    </r>
  </si>
  <si>
    <t>Pielikums Nr.2.6.</t>
  </si>
  <si>
    <t>Izstrādāt priekšlikumus skrīninga datu platformas funkcionalitātei, nodrošinot ES kvalitātes rādītājiem atbilstošo indikatoru reģistrēšanu un datu apmaiņu ES līmenī</t>
  </si>
  <si>
    <t>Rehabilitācijas klīniski metodiskās vadības nodrošināšanas finansējuma sadalījums</t>
  </si>
  <si>
    <t>1. Apmācības par rekomendāciju ieviešanu, vienotiem principiem</t>
  </si>
  <si>
    <t>Ar pakalpojumu organizēšanu saistītās izmaksas (izmaksas apmācību veikšanai stacionārajās ārstniecības iestādēs)</t>
  </si>
  <si>
    <t>STACIONĀRI</t>
  </si>
  <si>
    <t>KOPĀ, EUR</t>
  </si>
  <si>
    <t>VSIA "Bērnu klīniskā universitātes slimnīca"</t>
  </si>
  <si>
    <t>SIA "Rīgas Austrumu klīniskā universitātes slimnīca"</t>
  </si>
  <si>
    <t>SIA "Jelgavas pilsētas slimnīca"</t>
  </si>
  <si>
    <t>SIA "Jēkabpils reģionālā slimnīca"</t>
  </si>
  <si>
    <t>SIA "Liepājas reģionālā slimnīca"</t>
  </si>
  <si>
    <t>SIA "Rēzeknes slimnīca"</t>
  </si>
  <si>
    <t>SIA "Vidzemes slimnīca"</t>
  </si>
  <si>
    <t>SIA "Rīgas 2. slimnīca"</t>
  </si>
  <si>
    <t>SIA "Traumatoloģijas un ortopēdijas slimnīca"</t>
  </si>
  <si>
    <t>Dienas nauda, EUR *</t>
  </si>
  <si>
    <t>Viesnīcu izmaksa, EUR **</t>
  </si>
  <si>
    <t>Kopā degvielas izmaksa, EUR</t>
  </si>
  <si>
    <t>1.3.1.</t>
  </si>
  <si>
    <t xml:space="preserve">Kopā periodā nobraukto km skaits </t>
  </si>
  <si>
    <t>Attālums no Rīga, km</t>
  </si>
  <si>
    <t>Nobraukto virzienu skaits</t>
  </si>
  <si>
    <t>1.3.2.</t>
  </si>
  <si>
    <t>Automašīna izmaksa, EUR</t>
  </si>
  <si>
    <t>1.3.3.</t>
  </si>
  <si>
    <t>Degvielas patēriņš, EUR</t>
  </si>
  <si>
    <t>Kopā komandējuma izmaksas, EUR</t>
  </si>
  <si>
    <t>* Ministru kabineta noteikumi Nr.969 "Kārtība, kādā atlīdzināmi ar komandējumiem saistītie izdevumi", punkts Nr.21.2. un  19.11.2019 Ministru kabineta noteikumi Nr. 555 "Grozījumi Ministru kabineta 2010. gada 12. oktobra noteikumos Nr. 969 "Kārtība, kādā atlīdzināmi ar komandējumiem saistītie izdevumi" 8.p.</t>
  </si>
  <si>
    <t>** Ministru kabineta noteikumi Nr.969 "Kārtība, kādā atlīdzināmi ar komandējumiem saistītie izdevumi", punkts Nr.21.3. un  19.11.2019 Ministru kabineta noteikumi Nr. 555 "Grozījumi Ministru kabineta 2010. gada 12. oktobra noteikumos Nr. 969 "Kārtība, kādā atlīdzināmi ar komandējumiem saistītie izdevumi" 9.p.</t>
  </si>
  <si>
    <t xml:space="preserve">Nr.p.k. </t>
  </si>
  <si>
    <t>Metodiskais materiāls***</t>
  </si>
  <si>
    <t>Kopā (euro)</t>
  </si>
  <si>
    <t>Metodisko materiālu pavairošana</t>
  </si>
  <si>
    <t>Izmaksas ietver korektūru, maketu, dizainu un druku</t>
  </si>
  <si>
    <t>***Apmaksa  saskaņā ar iesniegto izdevumus attaisnojošo dokumentāciju</t>
  </si>
  <si>
    <t>2. Speciālistu atalgojuma izmaksas ar 2021.gada algām</t>
  </si>
  <si>
    <t>Speciālistu atalgojuma izmaksas *</t>
  </si>
  <si>
    <t>Vienas vienības atalgojums (ar darba devēja VSAOI 23,59%), EUR</t>
  </si>
  <si>
    <t>Slodžu skaits</t>
  </si>
  <si>
    <t>Atalgojums mēnesī (ar darba devēja VSAOI 23,59%), EUR</t>
  </si>
  <si>
    <t>Izmaksas 12 mēnešos, EUR</t>
  </si>
  <si>
    <t>Atalgojums 12 mēnešos (ar darba devēja VSAOI 23,59%), EUR</t>
  </si>
  <si>
    <t>Fizikālās un rehabilitācijas medicīnas ārsts</t>
  </si>
  <si>
    <t>Sertificēts funkcionālais speciālists</t>
  </si>
  <si>
    <t>Fizikālās un rehabilitācijas medicīnas māsa</t>
  </si>
  <si>
    <t>Sekretāre**</t>
  </si>
  <si>
    <t>* Ministru kabineta noteikumi Nr.555 "Veselības aprūpes pakalpojumu organizēšanas un samaksas kārtība", punkts Nr.153. un 2019. gada 10. decembra Ministru kabineta noteikumi Nr. 642 “Grozījumi Ministru kabineta 2018. gada 28. augusta noteikumos Nr. 555 "Veselības aprūpes pakalpojumu organizēšanas un samaksas kārtība"</t>
  </si>
  <si>
    <t xml:space="preserve">**Sekretāres atalgojums pielīdzināts 30.11.2010. MK noteikumos Nr.1075 "Valsts un pašvaldību institūciju amatu katalogs"  noteiktai 38.amatu saimei -Sekretariāta funkcijas III līmenis, 7. mēnešalgu grupa                                                                                                                                                                                                                                                                                                                                                                                                                                                         </t>
  </si>
  <si>
    <t>3. Administratīvās izmaksas</t>
  </si>
  <si>
    <t>Administratīvās izmaksas (EUR)</t>
  </si>
  <si>
    <t>Mēnešu skaits</t>
  </si>
  <si>
    <t>Viena mēneša izmaksas, EUR</t>
  </si>
  <si>
    <t>Izmaksas kopā, EUR</t>
  </si>
  <si>
    <t>SUMMA, EUR</t>
  </si>
  <si>
    <t>Nepieciešamais finansējums 2022.gadā un turpmāk ik gadu</t>
  </si>
  <si>
    <t>Pielikums Nr.9.1.1.</t>
  </si>
  <si>
    <r>
      <t>Administratīvās izmaksas</t>
    </r>
    <r>
      <rPr>
        <sz val="10"/>
        <rFont val="Times New Roman"/>
        <family val="1"/>
      </rPr>
      <t xml:space="preserve"> (2.4  %</t>
    </r>
    <r>
      <rPr>
        <sz val="10"/>
        <color indexed="8"/>
        <rFont val="Times New Roman"/>
        <family val="1"/>
      </rPr>
      <t xml:space="preserve"> no kopējām izmaksām) t.sk. izdevumi apmācību materiāliem, literatūras iegāde.</t>
    </r>
  </si>
  <si>
    <t>Ārstniecības iestāde</t>
  </si>
  <si>
    <t>Pacientu skaits ar ārstētu onkoloģisku diagnozi_2020</t>
  </si>
  <si>
    <t>Akūtās rehabilitācijas programma</t>
  </si>
  <si>
    <t>Akūtās rehabilitācijas tarifs, 2020</t>
  </si>
  <si>
    <t>Akūtā rehabilitācija 3/4 onko pacientu</t>
  </si>
  <si>
    <t>Izmaksas, EUR</t>
  </si>
  <si>
    <t>Akūtās rehabilitācijas programmas izpilde_2020</t>
  </si>
  <si>
    <t>Subakūtās rehabilitācijas programma</t>
  </si>
  <si>
    <t>Subakūtās rehabilitācijas tarifs, EUR</t>
  </si>
  <si>
    <t>Subakūtā rehabilitācija 1/2 no akūtās reh.pabeigušajiem pacientiem</t>
  </si>
  <si>
    <t>Subakūtās rehabilitācijas programmas izpilde 2020</t>
  </si>
  <si>
    <t>Balvu un Gulbenes slimnīcu apvienība</t>
  </si>
  <si>
    <t>Bērnu klīniskā universitātes slimnīca</t>
  </si>
  <si>
    <t>Cēsu klīnika</t>
  </si>
  <si>
    <t>Daugavpils reģionālā slimnīca</t>
  </si>
  <si>
    <t>Dobeles un apkārtnes slimnīca</t>
  </si>
  <si>
    <t>Jelgavas pilsētas slimnīca</t>
  </si>
  <si>
    <t>Jēkabpils reģionālā slimnīca</t>
  </si>
  <si>
    <t>Jūrmalas slimnīca</t>
  </si>
  <si>
    <t>Kuldīgas slimnīca</t>
  </si>
  <si>
    <t>Liepājas reģionālā slimnīca</t>
  </si>
  <si>
    <t>Madonas slimnīca</t>
  </si>
  <si>
    <t>Ogres rajona slimnīca</t>
  </si>
  <si>
    <t>Paula Stradiņa klīniskā universitātes slimnīca</t>
  </si>
  <si>
    <t>Rēzeknes slimnīca</t>
  </si>
  <si>
    <t>Rīgas 2. slimnīca</t>
  </si>
  <si>
    <t>Rīgas Austrumu klīniskā universitātes slimnīca</t>
  </si>
  <si>
    <t>Traumatoloģijas un ortopēdijas slimnīca</t>
  </si>
  <si>
    <t>Vaivari, nacionālais rehabilitācijas centrs</t>
  </si>
  <si>
    <t>Vidzemes slimnīca</t>
  </si>
  <si>
    <t>Ziemeļkurzemes reģionālā slimnīca</t>
  </si>
  <si>
    <t>Pakalpojuma programma</t>
  </si>
  <si>
    <t>Plānotais pacientu skaits subakūtajā rehabilitācijā 2020</t>
  </si>
  <si>
    <t>Faktiski ārstētais pacientu skaits subakūtajā rehabilitācijā 2020</t>
  </si>
  <si>
    <t>Pacientu skaita starpība</t>
  </si>
  <si>
    <t>Subakūtā rehabilitācija</t>
  </si>
  <si>
    <t>Pielikums Nr.9.1.2.</t>
  </si>
  <si>
    <t>Finanšu ietekme 2022.gadā un turpmāk ik gadu, EUR</t>
  </si>
  <si>
    <t>Nodrošināta akūta, subakūta, ilgtermiņa rehabilitācija stacionārā, dienas stacionāra un ambulatoru pakalpojumu pieejamība visās ārstniecības iestādēs, kas veic primāro onkoloģisko pacientu diagnostiku un ārstēšanu</t>
  </si>
  <si>
    <t>Nepieciešamā finansējuma sadalījums pa pozīcijām</t>
  </si>
  <si>
    <t>Telpu iekārtojums, biroja tehnika, materiāli/tehnika</t>
  </si>
  <si>
    <t>Biroja preces un mākslas materiāli</t>
  </si>
  <si>
    <t>Administratīvās izmaksas</t>
  </si>
  <si>
    <t>Atalgojums ārstniecības personas/ atbalsta personāls</t>
  </si>
  <si>
    <t>2022.gads, euro</t>
  </si>
  <si>
    <t>2023.gads, euro</t>
  </si>
  <si>
    <t>2024.gads un turpmāk ik gadu, euro</t>
  </si>
  <si>
    <t>Paplašināt psihoemocionālā atbalsta iespējas</t>
  </si>
  <si>
    <t>Pielikums Nr.9.4.1.</t>
  </si>
  <si>
    <t>Vidējais nepieciešamais skaits vienam pacientam</t>
  </si>
  <si>
    <t>Nepieciešamais finansējums vienam pacientam, euro</t>
  </si>
  <si>
    <t>Pacientu skaits (2017. gadā pacientu skaits vēža reģistrā ar ļaundabīgo audzēju)</t>
  </si>
  <si>
    <t>jauns</t>
  </si>
  <si>
    <t>Onkoloģisko pacientu dinamiskā novērošana ģimenes ārsta praksē</t>
  </si>
  <si>
    <t>Pielikums Nr.10.1.</t>
  </si>
  <si>
    <t>Nepieciešamais finansējums 2024. gadā un turpmāk ik gadu, euro</t>
  </si>
  <si>
    <t>Nepieciešamais finansējums 2023. gadā, euro</t>
  </si>
  <si>
    <t>Nepieciešamais finansējums 2022. gadā, euro</t>
  </si>
  <si>
    <t>Manipulācijas tarifs, euro</t>
  </si>
  <si>
    <t>Nr.</t>
  </si>
  <si>
    <t>JAUNA</t>
  </si>
  <si>
    <t>Samaksa par šo manipulāciju tiek veikta, ja to norāda SIA "Rīgas Austrumu klīniskā universitātes slimnīca", VSIA "Paula Stradiņa klīniskā universitātes slimnīca", SIA "Daugavpils reģionālā slimnīca", SIA "Liepājas reģionālā slimnīca", SIA "Traumatoloģijas un ortopēdiajs slimnīca".</t>
  </si>
  <si>
    <t>Ņemts vidējais 5 speciālistu konsīliju skaits.</t>
  </si>
  <si>
    <t>Aptuveni 50% no pacientiem nepieciešams atkārots konsīlijs</t>
  </si>
  <si>
    <r>
      <t xml:space="preserve">Plānotais </t>
    </r>
    <r>
      <rPr>
        <u/>
        <sz val="10"/>
        <rFont val="Times New Roman"/>
        <family val="1"/>
      </rPr>
      <t>manipulāciju</t>
    </r>
    <r>
      <rPr>
        <sz val="10"/>
        <rFont val="Times New Roman"/>
        <family val="1"/>
      </rPr>
      <t xml:space="preserve"> skaits gadā</t>
    </r>
  </si>
  <si>
    <t>Stacionārs ārstu konsīlijs (3 speciālisti)  terapijas taktikas pieņemšanai pacientam ar pirmreizēji diagnosticētu onkoloģisko slimību. Iekļauta samaksa par visu konsīlijā iesaistīto darbu. Vienam pacientam vienu reizi norāda konsīlija vadītājs.</t>
  </si>
  <si>
    <r>
      <t>Piemaksa manipulācijai 60218 va</t>
    </r>
    <r>
      <rPr>
        <i/>
        <sz val="10"/>
        <rFont val="Times New Roman"/>
        <family val="1"/>
      </rPr>
      <t xml:space="preserve">i Jauna </t>
    </r>
    <r>
      <rPr>
        <sz val="10"/>
        <rFont val="Times New Roman"/>
        <family val="1"/>
      </rPr>
      <t>par katru nākamo speciālistu pirmreizējā vai atkārotā onkoloģiskā konsīlijā. Vienam pacientam vienu reizi norāda konsīlija vadītājs.</t>
    </r>
  </si>
  <si>
    <t>Ambulators atkārots ārstu konsīlijs (līdz 4 speciālistiem) terapijas taktikas maiņai pacientam ar diagnosticētu onkoloģisko slimību. Iekļauta samaksa par visu konsīlijā iesaistīto darbu. Vienam pacientam vienu reizi norāda konsīlija vadītājs</t>
  </si>
  <si>
    <t>Stacionārs atkārtoots ārstu konsīlijs (3 speciālisti)  terapijas taktikas maiņai pacientam ar pirmreizēji diagnosticētu onkoloģisko slimību. Iekļauta samaksa par visu konsīlijā iesaistīto darbu. Vienam pacientam vienu reizi norāda konsīlija vadītājs.</t>
  </si>
  <si>
    <t>Multidisciplināro speciālistu komandu pilnveidošana</t>
  </si>
  <si>
    <t>Nepieciešamais finansējums 2022. gadā un turpmāk ik gadu, eiro</t>
  </si>
  <si>
    <t>Nepieciešamā finansējuma aprēķins ļaundabīgo audzēju recidīvu diagnostikai noteiktām lokalizācijām.</t>
  </si>
  <si>
    <t>Diagnozes kods un atšifrējums</t>
  </si>
  <si>
    <t>Valsts izmaksas 2019. gadā veselības aprūpes pakalpojumu ļaundabīgo audzēju primārā un sekundārā diagnostikā</t>
  </si>
  <si>
    <t>Unikālo pacientu skaits, kas saņēmuši jebkādu veselības aprūpes pakalpojumu ļaundabīgo audzēju primārā vai sekundārā diagnostikā (t.sk. speciālistu konsultācijas) 2019. gadā</t>
  </si>
  <si>
    <t>Vidēja izmaksa uz vienu pacientu 2019. gadā, EUR</t>
  </si>
  <si>
    <t>Plānotājs pacientu skaits dzeltenajā koridorī 2020. gadam, ņemot vērā Vēža reģistra 2016.un 2017.gada datus</t>
  </si>
  <si>
    <t>Nepieciešamais papildus finansējums dzeltanām koridorīm 2022. gadam, EUR</t>
  </si>
  <si>
    <t>Nepieciešamais papildus finansējums dzeltanām koridorīm 2023. gadam, EUR</t>
  </si>
  <si>
    <t>Nepieciešamais papildus finansējums dzeltanām koridorīm 2024. gadam, EUR</t>
  </si>
  <si>
    <t>Z03.150/C50 - Krūts vēzis</t>
  </si>
  <si>
    <t>Z03.118-Z03.121/C18-C21 - Resnās un taisnās zarnas vēzis</t>
  </si>
  <si>
    <t>Z03.134/C34 - Bronhu, plaušu vēzis</t>
  </si>
  <si>
    <t>Z03.161/C61 - Priekšdziedzera vēzis</t>
  </si>
  <si>
    <t>Z03.156/C.56 - Olnīcu vēzis</t>
  </si>
  <si>
    <t>Z03.167/C67 - Urīnpūšļa vēzis</t>
  </si>
  <si>
    <t>Pārējas lokalizācijas</t>
  </si>
  <si>
    <t>Papildus nepieciešamais finansējums rindu mazināšanai, lai nodrošināt onkoloģisko pacientu diagnostiku, ārstēšanu un novērošanu.</t>
  </si>
  <si>
    <t>Plānotais izmeklējumu skaits 2021. gadā</t>
  </si>
  <si>
    <t>Plānotais finansējums 2021. gadā</t>
  </si>
  <si>
    <t>Nepieciešamais papildus izmeklējumu skaits rindu mazināšanai 2022.gadā</t>
  </si>
  <si>
    <t>Nepieciešamais papildus finansējums 2022. gadam</t>
  </si>
  <si>
    <t>Nepieciešamais papildus finansējums 2023. gadam</t>
  </si>
  <si>
    <t>Nepieciešamais papildus finansējums 2024. gadam</t>
  </si>
  <si>
    <t>Speciālisti*</t>
  </si>
  <si>
    <t>Izmeklējumi</t>
  </si>
  <si>
    <t>Dienas stacionārs**</t>
  </si>
  <si>
    <t>Rehabilitācija (amb + DS)***</t>
  </si>
  <si>
    <t>*plānotais izmeklējumu skaits speciālistiem, kuri ir iesaistīti onkoloģisko slimību diagnostikā, ārstēšanā un novērošanā (Anesteziologija, ķirurģija, pediatrija, hematoloģija, onkoloģija, dermatoveneroloģija, ginekoloģija, uroloģija)</t>
  </si>
  <si>
    <t>**Ķīmijterapija un hematoloģija dienas stacionārā, Staru terapija dienas stacionārā, Robotizēta stereotaktiskā radioķirurģija, Bērnu ķirurģija dienas stacionārā, Dienas stacionārs hronisko sāpju pacientu ārstēšanai, Gastrointestinālās endoskopijas dienas stacionārā, Ginekoloģija dienas stacionārā, Uroloģija dienas stacionārā, Vispārējie ķirurģiskie pakalpojumi dienas stacionārā</t>
  </si>
  <si>
    <t>***plānotais izmeklējumu skaits pacientiem ar onkoloģisko diagnozi</t>
  </si>
  <si>
    <t>Noteikt dinamisko novērošanu onkoloģijā kā prioritāru pasākumu, ņemot vērā augstu komplikāciju risku onkoloģisko slimību recidīva gadījumā (stacionārais etaps)</t>
  </si>
  <si>
    <t>Pakalpojumu programma</t>
  </si>
  <si>
    <t>2021.gadam un turpmāk</t>
  </si>
  <si>
    <t>Hospitalizāciju skaits</t>
  </si>
  <si>
    <t>Valsts izmaksas 2019. gadā</t>
  </si>
  <si>
    <t>Recidīva onkoloģijas hospitalizāciju skaits</t>
  </si>
  <si>
    <t>Recidīva onkoloģijas karšu summa, EUR</t>
  </si>
  <si>
    <t>Procentuāli</t>
  </si>
  <si>
    <t>Valsts izmaksas 2020. gadā</t>
  </si>
  <si>
    <t>Plānotais pacientu skaits</t>
  </si>
  <si>
    <t>Plānotais valsts finansēju</t>
  </si>
  <si>
    <t>Prognozētais recidīva onkoloģijas hospitalizāciju skaits</t>
  </si>
  <si>
    <t>Stacionāri</t>
  </si>
  <si>
    <t>Staru terapija un ķīmijterapija pieaugušiem</t>
  </si>
  <si>
    <t>Ķīmijterapija bērniem</t>
  </si>
  <si>
    <t>Radioķiruģija, stereotaktiskā staru terapija un staru terapija ar augsti tehnoloģiskām apstarošanas metodēm</t>
  </si>
  <si>
    <t>Diagnostiskā un netliekamā ķirurģiskā palīdzība onkoloģijā</t>
  </si>
  <si>
    <t>Diagnostiskā un plānveida ķirurģiskā palīdzība bērniem onkoloģijā un hematoloģijā</t>
  </si>
  <si>
    <t>Diagnostiskā un plānveida ķirurģiskā palīdzība onkoloģijā</t>
  </si>
  <si>
    <t>Neiroonkoloģija</t>
  </si>
  <si>
    <t>Onkoloģijas programma</t>
  </si>
  <si>
    <t>Stacionāri kopā</t>
  </si>
  <si>
    <t>Papildus nepieciešamais finansējums 2022.gadā, euro</t>
  </si>
  <si>
    <t>Papildus nepieciešamais finansējums 2023.gadā, euro</t>
  </si>
  <si>
    <t>Papildus nepieciešamais finansējums 2024.gadā un turpmāk, euro</t>
  </si>
  <si>
    <t>Pielikums Nr.6.6.</t>
  </si>
  <si>
    <t>Paredzamais tarifs pēc pārrēķina</t>
  </si>
  <si>
    <t>Nepieciešamais papildus finansējums gadā, eiro</t>
  </si>
  <si>
    <t>Leikožu šūnu fenotips (citofluorimetrija)</t>
  </si>
  <si>
    <t>25 pacienti primāri; 150 epizodes monitoringam</t>
  </si>
  <si>
    <t>Imunoloģija - Šūnu imunoloģija</t>
  </si>
  <si>
    <t>46020</t>
  </si>
  <si>
    <t>2020. gada statistika:</t>
  </si>
  <si>
    <t>Skaits</t>
  </si>
  <si>
    <t>Nepieciešamais papildus finansējums, EUR</t>
  </si>
  <si>
    <t>BKUS</t>
  </si>
  <si>
    <t>Pielikums Nr.6.3.5.</t>
  </si>
  <si>
    <t>Laboratorijā ir iespēja veikt diagnostiskos testus ar plūsmas citometrijas metodi (atbilstoši starptautiskām vadlīnijām (SIOPE, COG, NOPHO, GPOH, EPSSG, ESMO, NCCN u.c.)</t>
  </si>
  <si>
    <t>Diagnoze</t>
  </si>
  <si>
    <t>Jauno pacientu skaits gadā ar onko saslimšanu (saskaņā ar SPKC)</t>
  </si>
  <si>
    <t>Papildus skaidrojošā informācija</t>
  </si>
  <si>
    <r>
      <t xml:space="preserve">Plānotais pacientu skaits gadā, kam tiks veikts </t>
    </r>
    <r>
      <rPr>
        <b/>
        <u/>
        <sz val="10"/>
        <color theme="1"/>
        <rFont val="Times New Roman"/>
        <family val="1"/>
      </rPr>
      <t xml:space="preserve">biopsijas NGS </t>
    </r>
    <r>
      <rPr>
        <sz val="10"/>
        <color theme="1"/>
        <rFont val="Times New Roman"/>
        <family val="1"/>
      </rPr>
      <t>izmeklējums</t>
    </r>
  </si>
  <si>
    <r>
      <t xml:space="preserve">Plānotais pacientu skaits gadā, kam tiks veikts </t>
    </r>
    <r>
      <rPr>
        <b/>
        <u/>
        <sz val="10"/>
        <color theme="1"/>
        <rFont val="Times New Roman"/>
        <family val="1"/>
      </rPr>
      <t xml:space="preserve">šķidrais NGS </t>
    </r>
    <r>
      <rPr>
        <sz val="10"/>
        <color theme="1"/>
        <rFont val="Times New Roman"/>
        <family val="1"/>
      </rPr>
      <t>izmeklējums</t>
    </r>
  </si>
  <si>
    <r>
      <t xml:space="preserve">IHC PDL1. Plānotais pacientu skaits gadā, kam tiks veikta </t>
    </r>
    <r>
      <rPr>
        <b/>
        <u/>
        <sz val="10"/>
        <color theme="1"/>
        <rFont val="Times New Roman"/>
        <family val="1"/>
      </rPr>
      <t xml:space="preserve">imūnhistoķīmijas </t>
    </r>
    <r>
      <rPr>
        <sz val="10"/>
        <color theme="1"/>
        <rFont val="Times New Roman"/>
        <family val="1"/>
      </rPr>
      <t>izmeklējums</t>
    </r>
  </si>
  <si>
    <t>IHC Dg. Plānotais pacientu skaits gadā, kam tiks veikta imūnhistoķīmijas izmeklējums</t>
  </si>
  <si>
    <r>
      <t xml:space="preserve">Plānotais pacientu skaits gadā, kam tiks veikta </t>
    </r>
    <r>
      <rPr>
        <b/>
        <u/>
        <sz val="10"/>
        <color theme="1"/>
        <rFont val="Times New Roman"/>
        <family val="1"/>
      </rPr>
      <t xml:space="preserve">PĶR </t>
    </r>
    <r>
      <rPr>
        <sz val="10"/>
        <color theme="1"/>
        <rFont val="Times New Roman"/>
        <family val="1"/>
      </rPr>
      <t>izmeklējums</t>
    </r>
  </si>
  <si>
    <t>Plaušu vēzis (III-IV) C34</t>
  </si>
  <si>
    <t>I stadija: ap 150  pacienti</t>
  </si>
  <si>
    <t>II stadija: ap 100 pacienti</t>
  </si>
  <si>
    <t>III stadija: ap 200 pacienti</t>
  </si>
  <si>
    <t>IV stadija: ap 400 pacienti</t>
  </si>
  <si>
    <t>Olnīcu vēzis (III-IV) C56</t>
  </si>
  <si>
    <t>Limfoleikoze C91.1</t>
  </si>
  <si>
    <t xml:space="preserve">Akūta mieloblastiska leikoze C92.0 </t>
  </si>
  <si>
    <t>Mieloleikoze C92.1</t>
  </si>
  <si>
    <t>Kuņģa vēzis (III-IV) C16</t>
  </si>
  <si>
    <t>510, 275</t>
  </si>
  <si>
    <t xml:space="preserve"> </t>
  </si>
  <si>
    <t>Kolorektālais vēzis (III-IV)
C18-C20</t>
  </si>
  <si>
    <t xml:space="preserve">1100 (SPKC), </t>
  </si>
  <si>
    <t>Ļaundabīga ādas melanoma (II-IV) C43</t>
  </si>
  <si>
    <t xml:space="preserve">229 ( SPKC) </t>
  </si>
  <si>
    <t xml:space="preserve">150 (testi) </t>
  </si>
  <si>
    <t>Krūts vēzis C50</t>
  </si>
  <si>
    <t>1255 (SPKC)</t>
  </si>
  <si>
    <t xml:space="preserve">TNBC PD-L1 150 (testi) </t>
  </si>
  <si>
    <t>Prostatas vēzis C61 (III-IV)</t>
  </si>
  <si>
    <t>1274, 300 testi</t>
  </si>
  <si>
    <t>Galvas kakla vēzis (C0-12)</t>
  </si>
  <si>
    <t>220, 120</t>
  </si>
  <si>
    <t>Urīnpūslis C67 (75)</t>
  </si>
  <si>
    <t>430, 75</t>
  </si>
  <si>
    <t>CNS,Glioblastomas</t>
  </si>
  <si>
    <t>Nieres audzējs</t>
  </si>
  <si>
    <t>507, 100</t>
  </si>
  <si>
    <t>Citi  audzēji</t>
  </si>
  <si>
    <t>Nezināmas izcelsmes audzējs</t>
  </si>
  <si>
    <t>Citi reti audzēji (sarkoma, neiroendokrīni )</t>
  </si>
  <si>
    <t>Kopējais testu skaits gadā</t>
  </si>
  <si>
    <t>Kopējais nepieciešamais finansējums gadā mutāciju noteikšanai</t>
  </si>
  <si>
    <t>Kopā (NGS/IHC/PCR)</t>
  </si>
  <si>
    <t>Pielikums Nr.6.3.4.</t>
  </si>
  <si>
    <t>Laboratorijā ir iespēja veikt onko-molekulāros testus un šūnu škirošanu</t>
  </si>
  <si>
    <t>Pakalpojumu sniegšanai nepieciešamās medicīniskās ierīces vai vairākas reizes lietojamo materiālu nosaukums</t>
  </si>
  <si>
    <t xml:space="preserve">Koncentrācijas mērīšanas iekārta </t>
  </si>
  <si>
    <t xml:space="preserve">Automātsikā NS izdalīšanas iekārta  </t>
  </si>
  <si>
    <t xml:space="preserve">2023.g. </t>
  </si>
  <si>
    <t>2024.g.</t>
  </si>
  <si>
    <t xml:space="preserve">RL PĶR iekārta (2 iekārtas) </t>
  </si>
  <si>
    <t>Pielikums Nr.6.3.3.</t>
  </si>
  <si>
    <t>2023.g</t>
  </si>
  <si>
    <t>2023.g., 2024.g.</t>
  </si>
  <si>
    <t>Instruments</t>
  </si>
  <si>
    <t>Apraksts</t>
  </si>
  <si>
    <t>1. Iekārta hematoksilīna un eozīna krāsojumu veikšanai</t>
  </si>
  <si>
    <t>4. Slaidu digitālais skeneris</t>
  </si>
  <si>
    <t>5. Digitālo patoloģijas attēlu analīzes programmatūra</t>
  </si>
  <si>
    <t xml:space="preserve">Iekārtai augstāka kapacitāte – pieejami 27 protokoli, </t>
  </si>
  <si>
    <r>
      <t>Automatizēta  InSituHibridization</t>
    </r>
    <r>
      <rPr>
        <sz val="10"/>
        <color theme="1"/>
        <rFont val="Times New Roman"/>
        <family val="1"/>
      </rPr>
      <t xml:space="preserve"> ISH (FISH, CISH) krāsošana,  vienlaicīgi ar IHC.</t>
    </r>
  </si>
  <si>
    <t>NGS testu skaits, kas tiks apmaksāts no valsts puses ar 01.04.2021</t>
  </si>
  <si>
    <t>Plānotais nepieciešamais finansējums, kam ir valsts apmaksāti pakalpojumi</t>
  </si>
  <si>
    <t>Barības vada V. C15 127/69</t>
  </si>
  <si>
    <t>Aknas/žults C22 163/72</t>
  </si>
  <si>
    <t>Aizkuņģa dziedera audz. C25 434/265</t>
  </si>
  <si>
    <t>Balsenes vēzis C32 113/63</t>
  </si>
  <si>
    <t>Ārējie dzimumorg., maksts C51-52 66/23</t>
  </si>
  <si>
    <t>Dzemdes kakla C53 199/73</t>
  </si>
  <si>
    <t>Dzemdes ķermenis C54-55 357/63</t>
  </si>
  <si>
    <t>Sēklinieks C62 30/8</t>
  </si>
  <si>
    <t>Vairogdziedzeris C73, 264/75</t>
  </si>
  <si>
    <t>2023.gads (30% pieaugums no 2022. gada summas)</t>
  </si>
  <si>
    <t>2024.gads un turpmāk (30% pieaugums no 2023. gada summas</t>
  </si>
  <si>
    <r>
      <t xml:space="preserve">Plānotais pacientu skaits gadā, kam tiks veikts </t>
    </r>
    <r>
      <rPr>
        <b/>
        <u/>
        <sz val="10"/>
        <rFont val="Times New Roman"/>
        <family val="1"/>
      </rPr>
      <t xml:space="preserve">biopsijas NGS </t>
    </r>
    <r>
      <rPr>
        <sz val="10"/>
        <rFont val="Times New Roman"/>
        <family val="1"/>
      </rPr>
      <t>izmeklējums</t>
    </r>
  </si>
  <si>
    <r>
      <t xml:space="preserve">Plānotais pacientu skaits gadā, kam tiks veikts </t>
    </r>
    <r>
      <rPr>
        <b/>
        <u/>
        <sz val="10"/>
        <rFont val="Times New Roman"/>
        <family val="1"/>
      </rPr>
      <t xml:space="preserve">šķidrais NGS </t>
    </r>
    <r>
      <rPr>
        <sz val="10"/>
        <rFont val="Times New Roman"/>
        <family val="1"/>
      </rPr>
      <t>izmeklējums</t>
    </r>
  </si>
  <si>
    <r>
      <t xml:space="preserve">Plānotais pacientu skaits gadā, kam tiks veikta </t>
    </r>
    <r>
      <rPr>
        <b/>
        <u/>
        <sz val="10"/>
        <rFont val="Times New Roman"/>
        <family val="1"/>
      </rPr>
      <t xml:space="preserve">imūnhistoķīmijas </t>
    </r>
    <r>
      <rPr>
        <sz val="10"/>
        <rFont val="Times New Roman"/>
        <family val="1"/>
      </rPr>
      <t>izmeklējums (MMR)</t>
    </r>
  </si>
  <si>
    <r>
      <t xml:space="preserve">Plānotais pacientu skaits gadā, kam tiks veikta </t>
    </r>
    <r>
      <rPr>
        <b/>
        <u/>
        <sz val="10"/>
        <rFont val="Times New Roman"/>
        <family val="1"/>
      </rPr>
      <t xml:space="preserve">imūnhistoķīmijas </t>
    </r>
    <r>
      <rPr>
        <sz val="10"/>
        <rFont val="Times New Roman"/>
        <family val="1"/>
      </rPr>
      <t>izmeklējums (PD-L1)</t>
    </r>
  </si>
  <si>
    <r>
      <t xml:space="preserve">Plānotais pacientu skaits gadā, kam tiks veikta </t>
    </r>
    <r>
      <rPr>
        <b/>
        <u/>
        <sz val="10"/>
        <rFont val="Times New Roman"/>
        <family val="1"/>
      </rPr>
      <t xml:space="preserve">PĶR </t>
    </r>
    <r>
      <rPr>
        <sz val="10"/>
        <rFont val="Times New Roman"/>
        <family val="1"/>
      </rPr>
      <t>izmeklējums</t>
    </r>
  </si>
  <si>
    <t>Ieviest jaunas un pilnveidot esošās patoloģijas un molekulārās diagnostikas metodes un algoritmus audzēju diagnostikā specifisko mērķu, ģenētisko un somatisko mutāciju noteikšanai audzēja šūnās ar sekojošo individualizētas audzēja diagnostikas un  ārstēšanas metodes testēšanu, atbilstoši  starptautiskām vadlīnijām (ESMO/ NCCN/ SIOP/ NOPHO/ COG)</t>
  </si>
  <si>
    <t>Pielikums Nr.6.3.1.</t>
  </si>
  <si>
    <t>Nepieviešmais finansējums kopā, euro</t>
  </si>
  <si>
    <t>Tarifs, euro</t>
  </si>
  <si>
    <t>Spēkā esošais tarifs, euro (ja ir)</t>
  </si>
  <si>
    <t>Tarifa pieaugums, euro (ja plānojams) vai Jaunais tarifs, euro</t>
  </si>
  <si>
    <t>Papildus nepieciešamais finansējums, euro</t>
  </si>
  <si>
    <t>Piena dziedzera sektorāla rezekcija</t>
  </si>
  <si>
    <t>Piemaksa manipulācijām 23047, 23066 par audu espandera lietošanu</t>
  </si>
  <si>
    <t>Manipulāciju kopa, kas nepieciešama, lai nodrošinātu mastektomijas operācijas pacientēm ar jau veiktu vienas krūts mastektomiju un augstu risku onkoloģijas attīstībai otrā krūtī, kā arī pacientēm, kurām vēl nav attīstījusies onkoloģiska saslimšana, bet - ņemot vērā izmeklējumus - ir augsts risks krūts vēža attīstībai.</t>
  </si>
  <si>
    <t>Krūšu rekonstrukcija pēc mastektomijas, lietojot audu espanderi, bez espandera vērtības</t>
  </si>
  <si>
    <t>Piemaksa manipulācijām 23047,23066 par krūts implanta lietošanu</t>
  </si>
  <si>
    <t>KOPĀ NEPIECIEŠAMAIS PAPILDU FINANSĒJUMS</t>
  </si>
  <si>
    <t>PAR 23067 - ESPANDERU:</t>
  </si>
  <si>
    <t>Pamatojums:</t>
  </si>
  <si>
    <t>Espandera cena no iepirkuma dokumentācijas:</t>
  </si>
  <si>
    <t>Izplatītājs</t>
  </si>
  <si>
    <t>Espandera nosaukums</t>
  </si>
  <si>
    <t>Cena bez PVN</t>
  </si>
  <si>
    <t>Cena ar PVN 12%</t>
  </si>
  <si>
    <t>SIA "3GW/trīs zelta vaļi"</t>
  </si>
  <si>
    <t>Espanders 42637-500 Sn1905221384</t>
  </si>
  <si>
    <t>PAR PIEMAKSU IMPLANTIEM:</t>
  </si>
  <si>
    <t>Balstoties VSIA "Paula Stradiņa universitātes slimnīca" (turpmāk - Ārstniecības iestāde) 2019. gada augusta vēstuli, kur Ārstniecības iestāde ziņoja, ka pašreiz 99% krūts rekonstrukcijas operāciju gadījumos izmanto implantus, bet pakalpojumu tarifos nav paredzēta apmaksa par implantu pielietošanu. Līdz ar to visas krūts vēža pacientes krūts implantus iegādājas par personīgiem līdzekļiem. Balstoties uz šo informāciju, Dienests izstrādāja piemaksas manipulāciju krūts implantu izmaksu segšanai (zemāk pievienota cenu aptauja ar krūts implantu izmaksām).</t>
  </si>
  <si>
    <t>Implanta nosaukums</t>
  </si>
  <si>
    <t>Méme</t>
  </si>
  <si>
    <t>Microthane</t>
  </si>
  <si>
    <t>Replicon</t>
  </si>
  <si>
    <t>Opticon/ Optimam</t>
  </si>
  <si>
    <t>[Praksē biežāk lietotais krūšu implants, kā rezultātā, tas veido tarifa pamata materiālu izmaksas]</t>
  </si>
  <si>
    <t>Diagon/ Gel</t>
  </si>
  <si>
    <t>PAR PAPILDU MASTEKTOMIJAS OPERĀCIJU APMAKSU:</t>
  </si>
  <si>
    <t>VSIA "Paula Stradiņa universitātes slimnīca", SIA "Rīgas Austrumu klīniskās universitātes slimnīcas" un Latvijas Plastikas ķirurgu asociācijas ierosināja attīstīt jaunu jomu Latvijā - veikt mastektomiju ģenētiskās predispozīcijas gadījumos. Mastektomijas veikšana onkoloģisku saslimšanu ģenētiskās peredispozīcijas gadījumos samazinās saslimšanas risku ar krūts vēzi.
VSIA "Paula Stradiņa universitātes slimnīca" informēja, ka gadā būtu nepieciešams veikt 40 pretējās krūts risku mazinošas masektomijas BRCA1/2 pozitīvām sievietēm ar vienas puses krūts vēzi, kam jau ir veikta vienas krūts mastektomija. Kā arī gadā būtu nepieciešams veikt 20 abpusējas risku samazinošas masektomijas onkoloģiski veselām BRCA1/2 pozitīvām sievietēm.
Kā rezultātā jau esošās manipulācijas būtu nepieciešams pielietot papildus 80 reizes gadā (40 krūšu rekonstrukcijas 40 sievietēm ar vienas puses krūts vēzi un 40 krūšu rekonstrukcijas 20 sievietēm ar abpusēju krūts vēža risku).</t>
  </si>
  <si>
    <t>Pārējie rekonstruktīvās ķirurģijas pakalpojumi</t>
  </si>
  <si>
    <t>Manipulācijas tarifs (EUR)</t>
  </si>
  <si>
    <t>Manipulāciju skaits (2020)</t>
  </si>
  <si>
    <t>Finanšu ietekme (EUR)</t>
  </si>
  <si>
    <t>Prognozētais tarifs pēc pārrēķina (EUR)</t>
  </si>
  <si>
    <t>Finanšu ietekme pēc tarifa pārrēķina (EUR)</t>
  </si>
  <si>
    <t>Nepieciešamais finansējums (EUR)</t>
  </si>
  <si>
    <t>Mīksto audu defektu aizvietošana ar blakus esošajiem audiem</t>
  </si>
  <si>
    <t>Pieauss siekalu dziedzera ekstirpācija, subtotāla vai totāla rezekcija, siekalu dziedzera cistas ekstirpācija, ieskaitot reģionālās limfātiskās sistēmas izņemšanu, saglabājot sejas nerva (n. facialis) zarus</t>
  </si>
  <si>
    <t>Zemžokļa siekalu dziedzera ekstirpācija</t>
  </si>
  <si>
    <t xml:space="preserve">Dziļi novietoto veidojumu izgriešana (kakla cista, dermoīda cista) </t>
  </si>
  <si>
    <t>Mēles daļas vai pilna mēles rezekcija</t>
  </si>
  <si>
    <t>Mīksto audu defektu aizvietošana ar audiem no attāliem rajoniem</t>
  </si>
  <si>
    <t xml:space="preserve">Transplantātu ņemšana – kaula materiāls (crista iliaca anterior, superior, lamina corticalis) </t>
  </si>
  <si>
    <t>Augšžokļa vai apakšžokļa vienas puses daļas rezekcija ar radikālu reģionālās limfātiskās sistēmas izņemšanu</t>
  </si>
  <si>
    <t>Augšžokļa vai apakšžokļa processus alveolaris daļas nokalšana</t>
  </si>
  <si>
    <t>Transplantātu ņemšana – brīva āda</t>
  </si>
  <si>
    <t>Vanaha operācija jeb Selektīva zemžokļa limfātiskās sistēmas m un zemžokļa siekalu dziedzera ekstirpācija</t>
  </si>
  <si>
    <t>Augšžokļa vai apakšžokļa vienas puses daļas rezekcija</t>
  </si>
  <si>
    <t>Visa augšžokļa vai apakšžokļa rezekcija</t>
  </si>
  <si>
    <t xml:space="preserve">Mīksto audu defektu aizvietošana sejas rajonā ar lēveri uz asinsvadu kājiņas </t>
  </si>
  <si>
    <t>Mīksto audu defektu aizvietošana no citām ķermeņa daļām</t>
  </si>
  <si>
    <t>Transplantātu ņemšana – riba</t>
  </si>
  <si>
    <t>Pielikums Nr.7.1.</t>
  </si>
  <si>
    <t>Nepieciešmais finansējums 2022.gadā un turpmāk ik gadu, euro</t>
  </si>
  <si>
    <t>Tarifs, EUR*</t>
  </si>
  <si>
    <t>Plānotais finansējuma apjoms 2018.gadam piemaksai par sarežģītu onkoloģisko operāciju</t>
  </si>
  <si>
    <t>Faktiski izlietotais finansējuma apjoms 2018.gadam piemaksai par sarežģītu onkoloģisko operāciju, EUR</t>
  </si>
  <si>
    <t>Pārstrāde (+)</t>
  </si>
  <si>
    <t>Plānotais finansējuma apjoms 2019.gadam piemaksai par sarežģītu onkoloģisko operāciju</t>
  </si>
  <si>
    <t>Faktiski izlietotais finansējuma apjoms 2019.gadam piemaksai par sarežģītu onkoloģisko operāciju, EUR</t>
  </si>
  <si>
    <t>Plānotais finansējuma apjoms 2020.gadam piemaksai par sarežģītu onkoloģisko operāciju</t>
  </si>
  <si>
    <t>Faktiski izlietotais finansējuma apjoms 2020.gadam piemaksai par sarežģītu onkoloģisko operāciju, EUR</t>
  </si>
  <si>
    <t>Piejūras slimnīca</t>
  </si>
  <si>
    <t>Piemaksa par vienas operācijas veikšanu, EUR</t>
  </si>
  <si>
    <t>Prognozētais operāciju skaits, par cik palielināsies, piešķirot papildus finansējumu</t>
  </si>
  <si>
    <t>Izstrādāt kvalitātes prasības paklapojuma sniedzējiem, kas nodrošina onkoloģisko saslimšanu ķirurģisko ārstēšanu</t>
  </si>
  <si>
    <t>Pielikums Nr.7.3.</t>
  </si>
  <si>
    <t>Papildus nepieciešamais finansējums 2022.gadā un turpmāk ik gadu, EUR</t>
  </si>
  <si>
    <t>Kopējās izmaksas 2022.gadā un turpmāk ik gadu, euro:</t>
  </si>
  <si>
    <t>63.07.00 "Eiropas Sociālā fonda (ESF) projektu īstenošana (2014-2020)"</t>
  </si>
  <si>
    <t>RNS izdalīšana</t>
  </si>
  <si>
    <t>Nav veikts manipulācijas tarifs, šobrīd piemēro DNS izdalīšanas tarifu</t>
  </si>
  <si>
    <t>3) Pilna eksoma sekvenēšana, izmantojot NGS metodi ar datu bioinformātisko analīzi un klīnisko interpretāciju</t>
  </si>
  <si>
    <t>Iespējams tarifi būs zemāki, ja tiks apstiprināts plāns, jo reaģentu cenas samazinās gandrīz katru gadu un ir atkarīgās no gadā veikto izmeklējumu apjoma</t>
  </si>
  <si>
    <t>4) Dziļa pilna eksoma sekvenēšana izmantojot NGS metodi ar datu bioinformātisko analīzi un klīnisko interpretāciju</t>
  </si>
  <si>
    <t>5) Transkriptoma sekvenēšana izmantojot NGS metodi ar datu bioinformātisko analīzi un klīnisko interpretāciju</t>
  </si>
  <si>
    <t>6) Translokāciju noteikšana (paplašināts komerciāls kits, kas aizvietotu/iekļautu divus esošos izmeklējumus)</t>
  </si>
  <si>
    <t>2) Kopiju skaita variāciju (CNV) noteikšana ar hromosomālo mikročipu analīzi (CMA) CytoScan HD un datu klīniska interpretācija</t>
  </si>
  <si>
    <t>8) Minimālas reziduālas slimibas (MRD) kontrole- šis būtu jāparedz kā apmaksāts ārpakalpojums. Šobrīd, lai uz vietas veiktu šo izmeklējumu mums nav resursu (ne pieredze, ne zināšanu).</t>
  </si>
  <si>
    <t>KOPĀ, pa gadiem</t>
  </si>
  <si>
    <t>7) NGS datu bioinformātiskā analīze un klīniskā interpretācija</t>
  </si>
  <si>
    <t>Pielikums Nr.8.6.</t>
  </si>
  <si>
    <t>Kopējā paredzama aptuvena manipulācijas cena, euro</t>
  </si>
  <si>
    <t>Paredzamais manipulāciju skaits 2022. gadā</t>
  </si>
  <si>
    <t>Paredzamais manipulāciju skaits 2023. gadā</t>
  </si>
  <si>
    <t>Paredzamais manipulāciju skaits 2024.gadā un turpmā k ik gadu</t>
  </si>
  <si>
    <t>Kopējās izmaksas 2022.gadā</t>
  </si>
  <si>
    <t>Kopējās izmaksas 2023. gadā</t>
  </si>
  <si>
    <t>Kopējās izmaksas 2024. gadā un turpmā ik gadu</t>
  </si>
  <si>
    <t>Manipulāciju skaits 2020</t>
  </si>
  <si>
    <t>93% stacionārs, 7% ambulators</t>
  </si>
  <si>
    <t>100% stacionārs</t>
  </si>
  <si>
    <t>90% stacionārs, 10% ambulatori</t>
  </si>
  <si>
    <t>Pielikums Nr.11.1.1.</t>
  </si>
  <si>
    <t>ANM ietvaros</t>
  </si>
  <si>
    <t>Pielikums Nr.6.5.</t>
  </si>
  <si>
    <t>1.6.</t>
  </si>
  <si>
    <t>Pielikums Nr.1.6.</t>
  </si>
  <si>
    <r>
      <t>Izmaksas kopā 2023.gadā un turpmāk ik gadu, </t>
    </r>
    <r>
      <rPr>
        <b/>
        <i/>
        <sz val="10"/>
        <color rgb="FF000000"/>
        <rFont val="Times New Roman"/>
        <family val="1"/>
      </rPr>
      <t>euro</t>
    </r>
  </si>
  <si>
    <t xml:space="preserve">Īstenot skrīninga publicitātes kampaņas </t>
  </si>
  <si>
    <t>Veicināta sabiedrības izpratne par slimībām, skrīninga būtību un ieguvumiem,  veicināta iedzīvotāju atsaucība</t>
  </si>
  <si>
    <t>Īstenotas divas kampaņas, iedzīvotāji informēti par skrīninga savlaicīgu veikšanu.</t>
  </si>
  <si>
    <t>8. Medikamenti un medicīniskās ierīces</t>
  </si>
  <si>
    <t>8.8.</t>
  </si>
  <si>
    <t>Uzlabot pacientu ar mākslīgo atveri aprūpi</t>
  </si>
  <si>
    <t>Pacienti ar mākslīgo atveri saņem nepieciešamajā daudzumā stomas, ir valsts kompensēti piederumi urīna savākšanai, vienlaikus uzlabota pacientu dzīves kvalitāte.</t>
  </si>
  <si>
    <t>33.03.00 Kompensējamo medikamentu un materiālu apmaksāšana</t>
  </si>
  <si>
    <t>4.4.</t>
  </si>
  <si>
    <t>Noteikt kritērijus un diagnostiskos algoritmus augsta riska grupas sievietēm</t>
  </si>
  <si>
    <t>Izstrādātas rekomendācijasaugsta riska grupas identifikācijai, izmeklējumu algoritmiem</t>
  </si>
  <si>
    <t>Veikti aprēķini jaunu manipulāciju tarifiem vai esošo pārrēķiniem un sagatavoti priekšlikumi to iekļaušanai valsts apmaksāto veselības aprūpes pakalpojumu klāstā.</t>
  </si>
  <si>
    <t>Metodoloģiskās vadības izveide onkoloģijā</t>
  </si>
  <si>
    <t>2022.g. 2.pusgads</t>
  </si>
  <si>
    <t>2024.g. 2.pusgads</t>
  </si>
  <si>
    <t>Uzturēt un attīstīt kvalitātes kontrolētus kolposkopijas pakalpojumus kolposkopijas centros organizētā dzemdes kakla vēža skrīninga ietvaros.</t>
  </si>
  <si>
    <t>Definēt un uzraudzīt pakalpojuma kvalitātes indikatorus.</t>
  </si>
  <si>
    <t>Noteikt šī brīža jaudas un to palielināšanas iespējas valstī, kā arī izvērtēt ES kvalitātes prasībām atbilstošo kolonoskopiju īpatsvaru (vadoties pēc šobrīd pieejamās oficiālās statistikas un manipulāciju veicēju sniegtajiem datiem)</t>
  </si>
  <si>
    <t>Noteiktas šī brīža jaudas un to palielināšanas iespējas valstī, kā arī izvērtēts ES kvalitātes prasībām atbilstošo kolonoskopiju īpatsvars.</t>
  </si>
  <si>
    <t>Izstrādāta metodika atkārtotu un kontroles izmeklējumu veikšanai.</t>
  </si>
  <si>
    <t>Definēt iedzīvotāju grupas, kuriem kolonoskopija indicēta kā sākotnējais izmeklējums.</t>
  </si>
  <si>
    <t xml:space="preserve">Definēt tās indivīdu grupas, kuriem kolonoskopija indicēts kā sākotnējais izmeklējums, aizstājot testu veikšanu slēpa asins piejaukuma noteikšanai (vadoties pēc ģimenes anamnēzes, saslimšanām, ģenētiskās izmeklēšanas datiem). </t>
  </si>
  <si>
    <t>Noteiktas rekomendēto izmeklējumu veikšanas vecuma robežas un intervāli.</t>
  </si>
  <si>
    <t>2023.g.2.pusgads</t>
  </si>
  <si>
    <t>2024.g.1.pusgads</t>
  </si>
  <si>
    <t>45.01.00 "Veselības aprūpes finansējuma administrēšana un ekonomiskā novērtēšana"</t>
  </si>
  <si>
    <t>33.14.00 "Primārās veselības aprūpes pakalpojumu nodrošināšana"</t>
  </si>
  <si>
    <t>7.3.</t>
  </si>
  <si>
    <t>Attīstīt ķirurģijas pakalojumus onkoloģiskajiem pacientiem</t>
  </si>
  <si>
    <t>Nodrošināt jauna pakalpojuma ieviešanu, vienlaikus pārskatīt manipulāciju tarifus.</t>
  </si>
  <si>
    <t>Nodrošināta jauna pakalpojuma ieviešana. Aprēķināti reālājām izmaksām atbilstoši apmaksas tarifi.</t>
  </si>
  <si>
    <t>Pielikums Nr.7.2.</t>
  </si>
  <si>
    <t>Nodrošināt jauna pakalpojuma ieviešanu, vienlaikus pārskatīt manipulāciju tarifus</t>
  </si>
  <si>
    <r>
      <t xml:space="preserve">Manipulācijas plānotās nosaukuma izmaiņas, ja plānotas. Ja nav plānotas – rakstīt </t>
    </r>
    <r>
      <rPr>
        <i/>
        <sz val="11"/>
        <color theme="1"/>
        <rFont val="Times New Roman"/>
        <family val="1"/>
        <charset val="186"/>
      </rPr>
      <t>Bez izmaiņām.</t>
    </r>
  </si>
  <si>
    <t>Videobronhoskopija</t>
  </si>
  <si>
    <t>Šo manipulāciju norāda SIA "Rīgas Austrumu klīniskā universitātes slimnīca".</t>
  </si>
  <si>
    <t>Manipulāciju apmaksā SIA "Rīgas Austrumu klīniskā universitātes slimnīca".</t>
  </si>
  <si>
    <t>Jāprecizē par 6.pielikumu!</t>
  </si>
  <si>
    <t>Videobronhoskopija ir elpceļu izmeklēšanas metode. Galvenā atšķirība no “optiskās” fibrobronhoskopijas ir tā, ka endoskopa galā ir iemontēta videomatrica, kas  nosūta digitālo attēla signālu  uz attēla veidošanas procesoru un tālāk uz videomonitoru. Galvenā videobronhoskopijas priekšrocība ir tās daudz augstāka attēla izšķiršanas spēja, kas ļauj precīzāk izvērtēt patoloģisko pārmaiņu raksturu, līdz ar to var iegūt kvalitatīvāku biopsiju materiālu, kā arī izvērtēt iespējamās radikālās operācijas apjomu. Videobronhoskopiju lieto kā diagnostiskiem, tā terapeitiskiem nolūkiem, to var kombinēt ar rigīdo bronhoskopiju, var ievadīt nepieciešamos visa veida biopsiju instrumentus citoloģiskiem, histoloģiskiem un bakterioloģiskiem izmeklējumiem.</t>
  </si>
  <si>
    <t>Nepieciešamais finansējums 2022.gadā un turpmāk ik gadu, eiro</t>
  </si>
  <si>
    <r>
      <t>Videobronhoskopija</t>
    </r>
    <r>
      <rPr>
        <i/>
        <sz val="11"/>
        <rFont val="Times New Roman"/>
        <family val="1"/>
        <charset val="186"/>
      </rPr>
      <t xml:space="preserve"> (pašlaik jau ir, bet ar 0,00 vērtību)</t>
    </r>
  </si>
  <si>
    <t>Pozitronu emisijas tomogrāfija ar datortomogrāfiju (PET/CT) izmeklējuma apmaksa no valsts budžeta līdzekļiem citām lokalizācijām, kurām ir rekomendēts PET/CT izmeklējums pēc NCCN vadlīnijam</t>
  </si>
  <si>
    <t>Lokalizācija</t>
  </si>
  <si>
    <t>Kauli un locītavu skrimšļu ļaundabīgi audzēji (C40-C41)</t>
  </si>
  <si>
    <t>Barības vada ļaudabīgs audzējs (C15)</t>
  </si>
  <si>
    <t>Kuņģa ļaundabīgs audzējs (C16)</t>
  </si>
  <si>
    <t>Lūpas, mutes dobuma, rīkles mutes daļas audzējs (C00-C10), balsenes ļaundabīgs audzējs (C32)</t>
  </si>
  <si>
    <t>Olnīcu ļaundabīgs audzējs (C56)</t>
  </si>
  <si>
    <t>Aizkrūtes dziedzera (thymus) ļaundabīgs audzējs (C37)</t>
  </si>
  <si>
    <t>Vairogdziedzera ļaundabīgs audzējs (C73)</t>
  </si>
  <si>
    <t>Dzemdes ķermeņa ļaundabīgs audzējs (C54-55)</t>
  </si>
  <si>
    <t>Stadija</t>
  </si>
  <si>
    <t>I, II, III</t>
  </si>
  <si>
    <t>IIB, III</t>
  </si>
  <si>
    <t>II, III</t>
  </si>
  <si>
    <t>III, IV</t>
  </si>
  <si>
    <t>III</t>
  </si>
  <si>
    <t>Pacientu skaits pēc SPKC 2017. gada datiem</t>
  </si>
  <si>
    <t>Nepieciešamais papildus finansējums PET/CT izmeklējumiem 2021. gadam (euro)</t>
  </si>
  <si>
    <t>Nepieciešamais papildus finansējums PET/CT izmeklējumiem par kontrastvielu lietošanu* 2021. gadam (euro)</t>
  </si>
  <si>
    <t>Kopā nepieciešamais papildus finansējums 2021. gadam onkoloģiskām diagnozēm</t>
  </si>
  <si>
    <t>*PET/CT izmeklējums ar kontrastvielu ir nepieciešams 50% gadījumos</t>
  </si>
  <si>
    <t>Pacientu skaits, kuriem veikts PET ar ne onkoloģisko diagnozi stacionārā 2020. gada 3 Mēn</t>
  </si>
  <si>
    <t>Plānotais pacientu skaits, kam nepieciešams PET ar ne onkoloģisko diagnozi 2021. gadā</t>
  </si>
  <si>
    <t>Kopā nepieciešamais fianansējums 2021. gadam ne onkoloģiskām diagnozēm</t>
  </si>
  <si>
    <t>Papildus nepieciešamais finansējums onkoloģiskām diagnozēm 2021. gadā</t>
  </si>
  <si>
    <t>Papildus nepieciešamais finansējums NE onkoloģiskām diagnozēm 2021. gadā</t>
  </si>
  <si>
    <t>Sadaļas</t>
  </si>
  <si>
    <t>Tarifs (euro)</t>
  </si>
  <si>
    <t>Radioloģija</t>
  </si>
  <si>
    <t>Pozitronu emisijas tomogrāfija/datortomogrāfija (PET/DT)  ar medikamentu (18F-fluorodeoksiglikoze) bez kontrastēšanas</t>
  </si>
  <si>
    <t>Piemaksa manipulācijai 50810 par kontrastvielas lietošanu</t>
  </si>
  <si>
    <t>Pielikums Nr.6.7.</t>
  </si>
  <si>
    <t>Kopā nepieciešamais papildus finansējums PET izmeklējumiem 2021. gadā un turpmāk ik gadu</t>
  </si>
  <si>
    <t>Palielināt stomas aprūpes preču skaitu mēnesī, kas tiek apmaksāts no valsts budžeta līdzekļiem un nodrošināt piederumus urīna savākšanai</t>
  </si>
  <si>
    <t xml:space="preserve">Izstrādāt kvalitātes prasības pakalpojuma sniedzējiem, kas nodrošina onkoloģisko saslimšanu ķirurģisko ārstēšanu. Un vienlaikus nodrošināt onkoloģisku operāciju veikšanu atbilstošā līmeņa ārstniecības iestādēs. </t>
  </si>
  <si>
    <t xml:space="preserve">Izstrādātas kvalitātes prasības pakalpojuma sniedzējiem, kā arī izstrādāts pakalpojumu saņemšanas vietu kartējums.Uzlabots pacientu ķirurģiskās ārstēšanas process, uzlabots prognostiskais faktors, kas ir saistīts ar ķirurģiju. Uzlabojas pacientu izdzīvotības un dzīves kvalitātes rādītāji.	</t>
  </si>
  <si>
    <t>Aprēķināti reālājām izmaksām atbilstoši apmaksas tarifi abdominālajā ķirurģijā, neiroķirurģijā, uroloģijā un ginekoloģijā, videobronhoskopija, torokālā ķirurģija</t>
  </si>
  <si>
    <t>Manipulācijas nosukums</t>
  </si>
  <si>
    <t>2020.gads</t>
  </si>
  <si>
    <t>Prognozētā summa gadā</t>
  </si>
  <si>
    <t>Torakālā ķirurģija</t>
  </si>
  <si>
    <t>31253</t>
  </si>
  <si>
    <t>Piemaksa manipulācijām 31186, 31252 un 31256 par trahejas un bronhu gļotādas biopsiju ar vienreiz lietojamo biopsiju standziņu</t>
  </si>
  <si>
    <t>31254</t>
  </si>
  <si>
    <t>Piemaksa manipulācijām  31186, 31252 un 31256 par transbrohiālu plaušu biopsiju ar vienreiz lietojamo biopsijas standziņu</t>
  </si>
  <si>
    <t>31255</t>
  </si>
  <si>
    <t>Fibrooptiska trahejas intubācija (pielieto arī anesteziologi)</t>
  </si>
  <si>
    <t>31257</t>
  </si>
  <si>
    <t>Trahejas intubācijas caurules fibrooptiska pozicionēšana (pielieto arī anesteziologi)</t>
  </si>
  <si>
    <t>31258</t>
  </si>
  <si>
    <t>Bronha obturatora ievietošana (asiņošanas vai fistulas gadījumā)</t>
  </si>
  <si>
    <t>31259</t>
  </si>
  <si>
    <t>Bronha obturatora evakuācija</t>
  </si>
  <si>
    <t>31260</t>
  </si>
  <si>
    <t>Trahejas un bronhu lūmena rekanalizācija</t>
  </si>
  <si>
    <t>31261</t>
  </si>
  <si>
    <t>Piemaksa manipulācijām 31185, 31186 un 31252 par argona plazmas koagulāciju</t>
  </si>
  <si>
    <t>31262</t>
  </si>
  <si>
    <t>Endobronhiāla ultrasonoskopija (EBUS) ar sektorālo endoskopu un transbronhiāla limfmezglu un veidojumu punkcija - aspirācija EBUS kontrolē ar sektorālo endoskopu</t>
  </si>
  <si>
    <t>Piemaksa manipulācijai 31189 par elektromagnētiskās navigācijas metodes izmantošanu</t>
  </si>
  <si>
    <t>100 (plānoti)</t>
  </si>
  <si>
    <t>Tarokālā ķirurģija</t>
  </si>
  <si>
    <t>Ārsts</t>
  </si>
  <si>
    <t>Māsa</t>
  </si>
  <si>
    <t>Palīgpersonāls</t>
  </si>
  <si>
    <t>Soc.nodoklis </t>
  </si>
  <si>
    <t>Plānotais tarifs</t>
  </si>
  <si>
    <t>Pacientu skaits 2020, stacrionārā</t>
  </si>
  <si>
    <t>Mamogrāfija (abām krūtīm, katrai divās projekcijās)</t>
  </si>
  <si>
    <r>
      <t xml:space="preserve">Papildus nepieciešamais finansējums </t>
    </r>
    <r>
      <rPr>
        <b/>
        <sz val="11"/>
        <rFont val="Times New Roman"/>
        <family val="1"/>
        <charset val="186"/>
      </rPr>
      <t>stacionārā</t>
    </r>
    <r>
      <rPr>
        <sz val="11"/>
        <rFont val="Times New Roman"/>
        <family val="1"/>
        <charset val="186"/>
      </rPr>
      <t xml:space="preserve"> programmā, EUR</t>
    </r>
  </si>
  <si>
    <r>
      <t xml:space="preserve">Papildus nepieciešamais finansējums </t>
    </r>
    <r>
      <rPr>
        <b/>
        <sz val="11"/>
        <rFont val="Times New Roman"/>
        <family val="1"/>
        <charset val="186"/>
      </rPr>
      <t>ambulatorā</t>
    </r>
    <r>
      <rPr>
        <sz val="11"/>
        <rFont val="Times New Roman"/>
        <family val="1"/>
        <charset val="186"/>
      </rPr>
      <t xml:space="preserve"> programmā, EUR</t>
    </r>
  </si>
  <si>
    <t>Jauns</t>
  </si>
  <si>
    <t>Perkutānas termālās ablācijas</t>
  </si>
  <si>
    <t>Nepieciešamais fiansējums</t>
  </si>
  <si>
    <t>16.4.</t>
  </si>
  <si>
    <t xml:space="preserve"> +10% katru turpmāko gadu</t>
  </si>
  <si>
    <t>Metodiskais darbs - personāls</t>
  </si>
  <si>
    <t>slodzes</t>
  </si>
  <si>
    <t>Likme</t>
  </si>
  <si>
    <t>Likme + VSAOI 23.59</t>
  </si>
  <si>
    <t>Izdevumi/mēn/EUR</t>
  </si>
  <si>
    <t>Biomedicīnas laborants</t>
  </si>
  <si>
    <t>Onkologs-Ķīmijterapeits</t>
  </si>
  <si>
    <t>Laboratorijas speciālists (Molekulārās diagnostikas daļa)</t>
  </si>
  <si>
    <t>Izdevumi 2022.gadā euro</t>
  </si>
  <si>
    <t xml:space="preserve">2023.gadā </t>
  </si>
  <si>
    <t>33.18.00</t>
  </si>
  <si>
    <t>33.16.00</t>
  </si>
  <si>
    <t>Vēža reģistra izstrāde un ieviešana</t>
  </si>
  <si>
    <t>No 2022.g</t>
  </si>
  <si>
    <t>2024.gadā un turpmāk ik gadu</t>
  </si>
  <si>
    <t xml:space="preserve">Izstrādāt algoritmu primārās aprūpes speciālistiem un ārstiem speciālistiem, kas vērsti uz “sarkanā karoga simptomiem”, kas liecinātu par bērnu vecuma audzējiem un, kurus nepieciešams tūlītēji nosūtīt uz BKUS NMPON, un pieaugušajiem ar aizdomām par sarkomas tipa audzēju, kurus nepieciešams tūlītēji nosūtīt uz RAKUS, TOS un akūtām onkohematoloģiskām saslimšanām. </t>
  </si>
  <si>
    <t>Saldētava mediciniskā līdz -80gr RNS glābāšanai</t>
  </si>
  <si>
    <t xml:space="preserve"> Nākamās paaudzes sekvencēšanas (NGS) iekārta</t>
  </si>
  <si>
    <t>Gads</t>
  </si>
  <si>
    <t>Nepieciešamais finansējums 2024.gadā, euro</t>
  </si>
  <si>
    <t>Nepieciešamais finansējums 2023.gadā, euro</t>
  </si>
  <si>
    <t xml:space="preserve">Augstas caurlaidības krāsošanas iekārta, kas ļauj pilnībā automatizēt audu primāro krāsošanu ar hematoksilīna un eozīna metodi
</t>
  </si>
  <si>
    <t xml:space="preserve">Patoloģijas laboratorijai piemērotu laboratorijas informācijas sistēmas moduļu izveide, esošo moduļu papildināšana un uzturēšana
</t>
  </si>
  <si>
    <t xml:space="preserve">Ar LIS savienojama informācijas vadības sistēma darba plūsmas organizēšanai, kas ļauj uzlabot darba plūsmas efektivtāti un kvalitātes kontroli. Ieviešot sistēmu visas darba zonas (pre-analītika, paraugu krāsošana) tiek aprīkotas ar datoriem un skeneriem
</t>
  </si>
  <si>
    <t xml:space="preserve">Iekārta patoloģijas slaidu skenēšanai, kas piemērota ar dažādām metodēm (H&amp;E, IHC, ISH, speciālās metodes) krāsotu slaidu digitalizācijai un attēlu ieguvei
</t>
  </si>
  <si>
    <t>Programmatūra, kas ļauj veikt digitālo patoloģijas attēlu izvērtēšanu, administrēšanu un analīzi. Papildus, pārsūtot attēlus, iespējams attālināti konsultēties ar citiem speciālistiem.</t>
  </si>
  <si>
    <t>Iekārta, kas ļauj atlasīt konkrētas histoloģiskā audu parauga griezuma daļas, lai tālāk no tām izdalītu ģenētisko materiālu. Iekārta piemērota materiāla iegūšanai, kas paredzēts molekulārajai diagnostikai.</t>
  </si>
  <si>
    <t xml:space="preserve">Programmatūra, kas iespējo speciālistu analīzet nākamās paaudzes sekvencēšanas laikā iegūtos datus, noteikt konkrētu ģenētisko variāciju bioloģisko un klīnisko nozīmi, kā arī piemeklēt pacientam atbilstošu personalizētu terapiju
</t>
  </si>
  <si>
    <t>Mākoņa bāzēta digitālā platforma, kas drošā veidā integrē un apkopo visus pacienta datus vienā, ar LIS sistēmu sasaistītā, pacienta informācijas panelī. Risinājums iespējo piekļuvi visai pacienata informācija vienuviet un var nodrošināt arī attālinātu vēža konsīliju norisi. Izmaksas norādītas par vienu programmatūras lietošanas gadu.</t>
  </si>
  <si>
    <t>2. Laboratorijas informācijas sistēmas atjaunošana un uzturēšana</t>
  </si>
  <si>
    <t>3. Darbplūsmas vadības un paraugu izsekošanas sistēma</t>
  </si>
  <si>
    <t>Laminar ventilācijas skapis (vilkmes skapis)</t>
  </si>
  <si>
    <t>Radikālā mastektomija</t>
  </si>
  <si>
    <r>
      <t xml:space="preserve">Palielinoties espandera cenai, tika pārskatīta manipulācija </t>
    </r>
    <r>
      <rPr>
        <b/>
        <sz val="10"/>
        <color theme="1"/>
        <rFont val="Times New Roman"/>
        <family val="1"/>
        <charset val="186"/>
      </rPr>
      <t>23067</t>
    </r>
    <r>
      <rPr>
        <i/>
        <sz val="10"/>
        <color theme="1"/>
        <rFont val="Times New Roman"/>
        <family val="1"/>
        <charset val="186"/>
      </rPr>
      <t xml:space="preserve"> "Piemaksa manipulācijām 23047, 23066 par audu espandera lietošanu"</t>
    </r>
    <r>
      <rPr>
        <sz val="10"/>
        <color theme="1"/>
        <rFont val="Times New Roman"/>
        <family val="1"/>
        <charset val="186"/>
      </rPr>
      <t>. VSIA "Paula Stradiņa klīniskās universitātes slimnīca" iesniedz Dinestam iesniegumu uz manupulāciju pārrēķinu, kā arī papildus iesniedza espanderu iepirkumu cenu apliecinošu dokumentu (zemāk, pievienotas espanderu izmaksas no iepirkuma dokumentiem). Balstoties uz pašreizējām espandera izmaksām, tās tika iekļautas manipulācijas pārrēķinā.</t>
    </r>
  </si>
  <si>
    <t>6. Digitālo patoloģijas attēlu analīzes algoritmi. Digitālo attēlu un datu uzlabāšanas un pārvaldības sistēma</t>
  </si>
  <si>
    <t xml:space="preserve">CE IVD marķēti attēlu klīniskās analīzes algoritmi, kasļauj veikt automatizētu attēlu analīzi konkrētam diagnostiskajam marķierim. Izmaksas norādītas par vienu algoritmu. IT sistēmas digitālo attēlu ilgtermiņa uzglabāšanai un pārvaldībai
</t>
  </si>
  <si>
    <t>7. Audu mikrosadalīšanas iekārta</t>
  </si>
  <si>
    <t>8. Nākamās paaudzes sekvencēšanas datu klīniskās analīzes un atbilstošās terapijas piemeklēšanas rīks</t>
  </si>
  <si>
    <t>9. Digitālajā mākonī (cloud ) balstīta programmatūra onkoloģisko pacientu aprūpes un ārstniecības uzlabošanai</t>
  </si>
  <si>
    <t xml:space="preserve">10. Iekārta ISH procesa automatizācijai IHC un ISH krāsošanas automāts </t>
  </si>
  <si>
    <t xml:space="preserve">11. Rutīnas IHC krāsojumiem, papildus  esošajām iekārtām Speciālo krāsu iekārta  </t>
  </si>
  <si>
    <t>Pielikums Nr.6.3.2.</t>
  </si>
  <si>
    <t>Pielikums 19.1.</t>
  </si>
  <si>
    <t>Finansējums pieejams Eiropas Sociālā fonda projekta Nr.9.2.7.0/21/I/001 „Ārstniecības personu piesaiste, darbam Rīgā”  un Eiropas Sociālā fonda projekta Nr.9.2.5.0/17/I/001 “Ārstniecības un ārstniecības atbalsta personu pieejamības uzlabošana ārpus Rīgas” ietvaros</t>
  </si>
  <si>
    <t xml:space="preserve">projektā Nr.9.2.5.0/17/I/001 </t>
  </si>
  <si>
    <t>projektā Nr.9.2.7.0/21/I/001</t>
  </si>
  <si>
    <t>2021. gads</t>
  </si>
  <si>
    <t>Vidēja termiņa budžeta ietvara likumā plānotais finansējums, euro</t>
  </si>
  <si>
    <t>Stiprināt darba devēja lomu speciālistu piesaistē un noturēšanā valsts apmaksātajā veselības sektorā onkoloģijas jomā, tai skaitā veicinot paaudžu nomaiņu</t>
  </si>
  <si>
    <t xml:space="preserve">Pilnveidot veselības aprūpē strādājošā personāla zināšanas un sagatavot darbam onkoloģijas jomā
                                        </t>
  </si>
  <si>
    <t xml:space="preserve">Finansējums pieejams Eiropas Sociālā fonda projekta Nr.9.2.6.0/17/I/001 “Ārstniecības un ārstniecības atbalsta personāla kvalifikācijas uzlabošana” </t>
  </si>
  <si>
    <t xml:space="preserve">projektā Nr.9.2.6.0/17/I/001 </t>
  </si>
  <si>
    <t>Pielikums Nr.18.3</t>
  </si>
  <si>
    <t>Kopā, euro</t>
  </si>
  <si>
    <t>Kopā, euro:</t>
  </si>
  <si>
    <t>Vēža reģistra arhitektūras izstrāde</t>
  </si>
  <si>
    <t>Vēža reģistra tehniskās infrastruktūras nodrošinājuma specifikācijas izstrāde</t>
  </si>
  <si>
    <t>Datu pseidonimizācijas datu otreizējai apstrādei specifikācijas izstrāde</t>
  </si>
  <si>
    <t>Pacientu piekrišanas datu apstrādei prasību specifikācijas izstrāde</t>
  </si>
  <si>
    <t>Onkoloģisko datu apstrādei nepieciešamo integrāciju specifikācijas izstrāde</t>
  </si>
  <si>
    <t xml:space="preserve">Vēža reģistra tehniskās infrastruktūras elementu iegāde, uzstādīšana un konfigurēšana </t>
  </si>
  <si>
    <t xml:space="preserve">Vēža reģistra informācijas sistēmu infrastruktūras elementu iegāde, uzstādīšana un konfigurēšana </t>
  </si>
  <si>
    <t xml:space="preserve">Vēža reģistra izstrāde </t>
  </si>
  <si>
    <t>Vēža reģistra ieviešana, tai skaitā, PREDA (esošais NVD "Ar noteiktām slimībām slimojušu pacientu reģistrs") onkoloģijas datu migrācijas veikšana</t>
  </si>
  <si>
    <t>Vēža reģistra integrāciju izstrāde un ieviešana</t>
  </si>
  <si>
    <t xml:space="preserve">Vēža reģistra izstrāde un ieviešana </t>
  </si>
  <si>
    <t>Pielikums Nr.16.4.</t>
  </si>
  <si>
    <t>2024.gadam un turpmāk ik gadu</t>
  </si>
  <si>
    <t>Onkoloģisko pacientu pāreja uz pieaugušo ārstēšanas un uzraudzības etapu (Konsīlijs pacientu ar īpašām veselības aprūpes vajadzībām nodošanai pieaugušo speciālistiem, pacientam sasniedzot 18 gadu vecumu)</t>
  </si>
  <si>
    <t>Manip. tarifs, euro</t>
  </si>
  <si>
    <t>Pacienta līdzmaksājums, euro</t>
  </si>
  <si>
    <t>Nepieciešamais finansējums 2022 gadā un turpmāk ik gadu, euro</t>
  </si>
  <si>
    <t>Pielikums Nr.14.1.</t>
  </si>
  <si>
    <t>Bērnu onkoloģijas pacientu un viņu ģimeņu onkoģenētiskā riska grupu atlase un padziļināta ģenētiskā izmeklēšana, iedzimtas onkoloģijas predispozīcijas sindromu ietvaros</t>
  </si>
  <si>
    <t>Finasējums pieejams ESF līdzfinansēta projektā 9.2.3.0/15/I/001 “Veselības tīklu attīstības vadlīniju un kvalitātes nodrošināšanas sistēmas izstrāde un ieviešana prioritāro jomu ietvaros”  ietvaros, paredzot atbilstošus grozījumus MK 2014.gada 28.oktobra noteikumos Nr.666</t>
  </si>
  <si>
    <t>Nepieciešamības gadījumā aktualizēts multimodālais krūts diagnostikas algoritms</t>
  </si>
  <si>
    <t>Pielikums Nr.8.7.</t>
  </si>
  <si>
    <t>Pielikums Nr.5.2</t>
  </si>
  <si>
    <r>
      <t xml:space="preserve">Nepieciešamais finansējums 2024.gadā un turpmāk, </t>
    </r>
    <r>
      <rPr>
        <b/>
        <i/>
        <sz val="10"/>
        <color theme="1"/>
        <rFont val="Times New Roman"/>
        <family val="1"/>
      </rPr>
      <t>euro</t>
    </r>
  </si>
  <si>
    <t>Smēķēšanas atmešanas konsultatīvā tālruņa pakalpojuma uzturēšana    </t>
  </si>
  <si>
    <t>Pielikums Nr.1.2.</t>
  </si>
  <si>
    <t>PVN, euro</t>
  </si>
  <si>
    <t>Ikmēneša maksa mēnesī ar PVN, euro</t>
  </si>
  <si>
    <t>Finansējums gadam, euro</t>
  </si>
  <si>
    <t>Ikmēneša maksa mēnesī, euro (SPKC noslēgias līgums)</t>
  </si>
  <si>
    <t xml:space="preserve">Stomas aprūpes preču skaita palielināšana, urīna katetri u.c. piederumi urīna savākšanai </t>
  </si>
  <si>
    <t>2023.gadā</t>
  </si>
  <si>
    <t>Pielikums Nr.8.8.</t>
  </si>
  <si>
    <t>Prognozējamās izmaksas 1 pac. 1.gadā, euro</t>
  </si>
  <si>
    <t>Prognozētais nepieciešamais 
finansējums 1. gadā, euro</t>
  </si>
  <si>
    <t xml:space="preserve">Prognozētais nepieciešamais 
finansējums 2. gadā, euro </t>
  </si>
  <si>
    <t xml:space="preserve">Prognozētais nepieciešamais 
finansējums 3. gadā, euro </t>
  </si>
  <si>
    <t>Pārskatīt kompensācijas nosacījumus KZS jau iekļautajām zālēm onkoloģisko slimību ārstēšanai un nodrošināt terapijas pieejamības uzlabošanu</t>
  </si>
  <si>
    <t>Pārskatīti kompensācijas nosacījumi KZS jau iekļautām zālēm un nodrošināta terapijas pieejamības uzlabošana.</t>
  </si>
  <si>
    <t>Izveidots vēža centrs uz RAKUS bāzes. Sadarbībā ar PSKUS, BKUS, SIA "Liepājas reģionālā slimnīca" un SIA "Daugavpils reģionālā slimnīca" nodrošināta metodiskā vadība: noteiktas vienotas vadlīnijas onkoloģisko slimību  diagnostikai, ārstēšanai un pacientu dinamiskai novērošanai; izstrādāti pacientu ceļi, algoritmi, kvalitātes kritēriji un vienoti  standarti onkoloģisko slimnieku aprūpē; izstrādātas kvalitātes prasības ārstniecības iestādēm un personām, kas nodrošina onkoloģisko pacientu ārstēšanu, tai skaitā, veikti klīniskie auditi. Izstrādāts onkoloģisko pakalpojumu saņemšanas kartējums. Starptautiskās sadarbības veicināšana.</t>
  </si>
  <si>
    <t>Jauni dati, lai pamatotu izmaiņas valsts apmaksāto programmu un manipulāciju noteikšanai, jaunu tehnoloģiju vai mākslīgā intelekta izmantošanas iespēju izpēte vēža skrīningam un agrīnai diagnostikai, Latvijas zinātnisko institūciju pētniecības kapacita'tes stiprināšana onkoloģijas jomā, starptautiskās sadarbības stimulēšana.</t>
  </si>
  <si>
    <t>Patoloģijas centrs, Latvijas Patologu asociācija, RAKUS, PSKUS, BKUS, Latvijas Laboratorās medicīnas biedrība, Latvijas cilvēku ģenētikas asociāciju, VM</t>
  </si>
  <si>
    <t xml:space="preserve">Izstrādāt  kritērijus un apmācības programmu darbam ar hematoonkoloģiskiem pediatriskiem pacientiem (piemēram, zema riska febrilu neitropēniju ārstēšana). </t>
  </si>
  <si>
    <t>BKUS, Ārstniecības iestādes, Ārstniecības personu profesionālās asociācijas</t>
  </si>
  <si>
    <t xml:space="preserve">Ieviests pacientu un pakalpojumu koordinatoru modelis. </t>
  </si>
  <si>
    <t>Ieviestas izmaksu efektīvākās patoloģiskās un molekulārās izmeklēšanas metodes un algoritmi, nodrošinot valsts apmaksātus nepieciešamos patoloģiskos un molekulārās diagnostikas testus.</t>
  </si>
  <si>
    <t>Pacients pēc diagnozes noteikšanas saskaņā ar definētajiem termiņiem saņem nepieciešamos veselības aprūpes pakalpojumus.</t>
  </si>
  <si>
    <t xml:space="preserve">Sagatavot priekšlikumus par jaunu klīniski un ekonomiski efektīvu onkoloģisko pacientu ārstēšanai lietojamo zāļu kompensācijai nepieciešamajiem budžeta līdzekļiem un nodrošināt jaunu medikamentu pieejamību onkoloģiskajiem pacientiem, tai skaitā, aktualizēt aprēķinus par audzēju paredzes marķieru noteikšanas izmaksām dažādu lokalizāciju audzēju gadījumā (piemēram, kolorektāla audzēja, nesīkšūnu plaušu audzēja, kuņģa audzēja, melanomas u.c. audzēju gadījumā) medikamentiem, kas ir apmaksājamo medikamentu sarakstā. </t>
  </si>
  <si>
    <t xml:space="preserve">Saskaņā ar sagatavotajiem priekšlikumiem, divu gadu laikā (2022-2023) apmaksāti izmaksu efektīvie medikamenti, kuri ir NVD gaidīšanas rindā jaunu zāļu iekļaušanai KZS vai kompensācijas nosacījumu paplašināšanai.
Turpmākajos gados plānot budžeta pieaugumu un iekļaut izmaksu efektīvus medikamentus  KZS tekošā gada ietvaros. </t>
  </si>
  <si>
    <t>Ieviesta personalizētā ārstēšana ar nepieciešamajiem patohistoloģiskajiem un  molekulāriem izmeklējumiem, ar mērķi uzsākt pacientam efektīvāko terapiju.</t>
  </si>
  <si>
    <t>Iekļaušanai KZS iesniegto onkoloģisko pacientu ārstēšanai lietojamo zāļu sarindošana prioritārā kārtībā pēc skaidri definēta kritēriju kopuma papildus piešķirtā finansējuma izlietojuma optimizēšanai.</t>
  </si>
  <si>
    <t>Attīstīt personalizētu veselības aprūpi/ ārstēšanu.</t>
  </si>
  <si>
    <t>Paplašināt personalizētos veselības aprūpes pakalpojumus onkoloģiskajiem un onkohematoloģiskajiem pacientiem, tai skaitā, pediatriskiem (marķieri).</t>
  </si>
  <si>
    <t>Definēti kvalitātes indikatori kolposkopijas pakalpojumu veikšanai dzemdes kakla vēža skrīninga ietvaros.</t>
  </si>
  <si>
    <t xml:space="preserve">Ārstniecības iestādes,  Ārstniecības personu profesionālās asociācijas, VM
</t>
  </si>
  <si>
    <t>RAKUS, PSKUS, BKUS, SIA "Liepājas reģionālā slimnīca", SIA "Daugavpils reģionālā slimnīca", TOS, Ārstniecības personu profesionālās asociācijas, NVD</t>
  </si>
  <si>
    <t>Divu gadu laikā tiek apmaksāti biomarķieri, kurus ir definējusi metodoloģiskā vadība onkoloģijā. Izstrādāti
algoritmi, tarifi, nepieciešamais papildus finansējums. Saraksts tiek papildināts pēc nepieciešamības, lai nodrošinātu inovatīvo medikamentu pieejamību.</t>
  </si>
  <si>
    <t>Metodoloģijas vadība onkoloģijā, Ārstniecības iestādes, Ārstniecības personu profesionālās asociācijas</t>
  </si>
  <si>
    <r>
      <t xml:space="preserve">Visaptverošas Veseības nozares cilvēkresursu stratēģijas ietvaros, apkopota un aktualizēta detalizēta informācija par onkoloģiskajā aprūpē iesaistīto ārstniecības personu skaitu un izstrādāts cilvēkresursu plānojums (nepieciešamība) attiecīgajās profesijās un specialitātēs onkoloģijas jomā </t>
    </r>
    <r>
      <rPr>
        <b/>
        <sz val="12"/>
        <color rgb="FFFF0000"/>
        <rFont val="Times New Roman"/>
        <family val="1"/>
      </rPr>
      <t>(tai skaitā, cilvēkresursu plānojumu onkoloģisko pacientu rehabilitācijai).</t>
    </r>
  </si>
  <si>
    <r>
      <rPr>
        <sz val="12"/>
        <rFont val="Times New Roman"/>
        <family val="1"/>
      </rPr>
      <t xml:space="preserve">Pārskatīt </t>
    </r>
    <r>
      <rPr>
        <sz val="12"/>
        <color theme="1"/>
        <rFont val="Times New Roman"/>
        <family val="1"/>
      </rPr>
      <t>manipulāciju tarifu mamogrāfijas attēlu aprakstīšanā un izmekējumu veikšanā.</t>
    </r>
  </si>
  <si>
    <r>
      <t>Izvērtēt iespēju iekļaut valsts apmaksātajos veselības aprūpes pakalpojumos invazīvās radioloģijas pakalpojumus, piemēram, radiofrekvences ablācija, mikroviļņu ablācija, radioķirurģija, krioablācija, aknu audzēju radioembolizācija, perkutāna transhepatiska intralumināla žultsvadu audzēju brahiterapija. Pārskatīti pakalpojumā ietvertie tehnoloģiju un manipulāciju tarifi</t>
    </r>
    <r>
      <rPr>
        <sz val="12"/>
        <color rgb="FF000000"/>
        <rFont val="Times New Roman"/>
        <family val="1"/>
      </rPr>
      <t>.</t>
    </r>
  </si>
  <si>
    <t>Izstrādāt algoritumu atbilstoši vadlīnijām par dažādas lokalizācijas audzēju perkutānas termālās ablācijas (radiofrekvenču ablācijas, mikroviļņu ablācija, krioablācija) pielietojumu terciārā līmeņa stacionāros un iekļaut to dažādas lokalizācijas audzēju (( aknas, plaušas, nieres, kauli, vairogdziedzeris u.c) ārstēšanas kopējā algoritmā</t>
  </si>
  <si>
    <t>Izstrādāts algoritms, kas precīzi definē perkutānas termālas ablācijas metožu pielietojuma indikācijas dažādas lokalizācijas ļaundabīgu audzēju ( aknas, plaušas, nieres, kauli, vairogdziedzeris u.c)</t>
  </si>
  <si>
    <t>RAKUS, PSKUS, Ārstniecības personu profesionālās asociācijas, Metodoloģiskā vadība onkoloģijā, NVD</t>
  </si>
  <si>
    <t>Nodrošināt valsts apmaksātas krūšu rekonstrukcijas operācijas un līgumos ar NVD izveidot atsevišķu programmu šo pakalpojumu apmaksai. Veikt tarifu pārrēķinu, lai nodrošinātu kvalitatīvus krūšu, sejas un žokļu rekonstrukcijas pakalpojumus pēc sarežģītām onkoloģiskām operācijām.</t>
  </si>
  <si>
    <t>Laboratorija spēj nodrošināt onkohematoloģisko pacientu sākotnējo diagnostiku un ārstēšanas monotoringa un slimības remisijas kontroli, veicot testu izpildi atbilstoši protokolu starptautiskām prasībām.</t>
  </si>
  <si>
    <t xml:space="preserve">1. Ieviest jaunas un pilnveidot esošās patoloģijas un molekulārās diagnostikas metodes un algoritmus audzēju diagnostikā specifisko mērķu, ģenētisko un somatisko mutāciju noteikšanai audzēja šūnās ar sekojošo individualizētas audzēja diagnostikas un  ārstēšanas metodes testēšanu, atbilstoši  starptautiskām vadlīnijām (ESMO/ NCCN/ SIOP/ NOPHO/ COG). 2. Noteikti skaidri pakalpojumu apjomi konkrētu diagnožu gadījumā. 3. Regulāri pārskatīt pacientu ceļu un diagnostikso algoritmu atbilstību jaunākajām starpautiskajām vadlīnijām un labajai praksei </t>
  </si>
  <si>
    <t>Paplašināt onkoloģisko konsīliju sastāvu, iekļaujot visus nepieciešamos speciālistus, tai skaitā, patologu, rehabilitācijas speciālistu (FRM ārsti, funkcionālie speciālisti), ģenētiķi un citus speciālistus pēc nepieciešamības. Vienlaikus noteikt samaksu par darbu speciālistiem atkārtotiem konsīlijiem.</t>
  </si>
  <si>
    <t>RAKUS, Patoloģijas centrs, PSKUS, BKUS, Ārstniecības personu profesionālās asociācijas, VM</t>
  </si>
  <si>
    <t>RAKUS, Patoloģijas centrs, Latvijas Patologu asociācija, PSKUS, BKUS, Latvijas Laboratorās medicīnas biedrība, Latvijas cilvēku ģenētikas asociāciju, VM</t>
  </si>
  <si>
    <t>RAKUS, Patoloģijas centrs, Ārstniecības iestādes, Latvijas Patologu asociācija, Latvijas Cilvēku ģēnētikas asociācija, VM</t>
  </si>
  <si>
    <t>RAKUS, Patoloģijas centrs, Latvijas Patologu asociācija, VM</t>
  </si>
  <si>
    <t>Smēķēšanas atmešanas konsultatīvā tālruņa pakalpojuma uzturēšana.</t>
  </si>
  <si>
    <r>
      <rPr>
        <sz val="12"/>
        <rFont val="Times New Roman"/>
        <family val="1"/>
      </rPr>
      <t>Nodrošināta iespēja iedzīvotājiem saņemt palīdzību smēķēšanas atmešanā</t>
    </r>
    <r>
      <rPr>
        <vertAlign val="superscript"/>
        <sz val="12"/>
        <rFont val="Times New Roman"/>
        <family val="1"/>
      </rPr>
      <t>1</t>
    </r>
    <r>
      <rPr>
        <sz val="12"/>
        <rFont val="Times New Roman"/>
        <family val="1"/>
      </rPr>
      <t xml:space="preserve">     </t>
    </r>
    <r>
      <rPr>
        <sz val="12"/>
        <color rgb="FFFF0000"/>
        <rFont val="Times New Roman"/>
        <family val="1"/>
      </rPr>
      <t xml:space="preserve">                                       </t>
    </r>
  </si>
  <si>
    <r>
      <t>Sagatavots izvērtējums par zēnu vakcinācijas pret CPV uzsākšanu no 2022. gada</t>
    </r>
    <r>
      <rPr>
        <vertAlign val="superscript"/>
        <sz val="12"/>
        <rFont val="Times New Roman"/>
        <family val="1"/>
      </rPr>
      <t>2</t>
    </r>
  </si>
  <si>
    <t>Izstrādātas rekomendācijas   informācijas sistēmas attīstīšanai, lai uzraudzītu, novērtētu un uzlabotu vēža skrīninga programmas.</t>
  </si>
  <si>
    <t>Sagatavots izvērtējums par funkcionalitāti un kapcitāti, sniegti priekšlikumi vēža skrīninga datu bāzes risinājumiem un tā integrācijai ar vēža reģistru.</t>
  </si>
  <si>
    <t>Ārstniecības iestādes, Ārstniecības personu profesionālās asociācijas, SPKC, VARAM, VM</t>
  </si>
  <si>
    <t>1.Pieņemts lēmums par skrīninga datu platformas turmāku attīstīšanu (uzlabojumi esošajā sistēmā vai jaunas sistēmas izveide, attīstīšana pašu spēkiem vai iepirkums);
2.Sagatavoti priekšlikumi (laika plānojums, iepirkumi, finansējuma plānošana) datu platformas izveidei, paredzot arī sasaisti ar citām datu sistēmām - iedzīvotāju reģistru, NVD manipulāciju, Vēža reģistra, Nāves cēloņu datu bāzēm</t>
  </si>
  <si>
    <t>Veikta izmaksu-efektivitātes modelēšana dažādām organizēta skrīninga modifikācijām.</t>
  </si>
  <si>
    <t xml:space="preserve">Izstrādātas vienotas prasības ārstniecības iestādēm un personām, iekārtām. Sagatavota aktualizēta stratēģiskā iepirkuma dokumentācija un nodrošināta stratēģiskā iepirkuma veikšana. </t>
  </si>
  <si>
    <t xml:space="preserve">Izmaiņas ārstniecības iestāžu informācijas sistēmās (pielāgošana). </t>
  </si>
  <si>
    <t>Izveidots vienots skrīninga mamogrāfijas izmeklējuma datu ievades programmodulis.</t>
  </si>
  <si>
    <t>Veiktas izmaiņas mamogrāfijas izmeklējumu veikšanas kārtībā, tai skaitā, nosakot, ka otrais mamogrāfjas lasījums tiek veikts universitātes slimnīcās.</t>
  </si>
  <si>
    <t>Pakalpojums tiek nodrošināts atbilstoši noteiktajām kvalitātes prasībām</t>
  </si>
  <si>
    <t>Precizēta kārtība veselības aprūpes pakalpojumu saņemšanai "zaļā koridora" ietvaros.</t>
  </si>
  <si>
    <t xml:space="preserve">Aprēķināti reālājām izmaksām atbilstoši apmaksas tarifi, vienlaikus izveidota jauna manipulācija. Nodrošināta multidisciplināra pieeja pacienta ārstēšanā. </t>
  </si>
  <si>
    <t>Izveidota organizatoriskā kārtība, paredzot pakalpojumu pēctecības nodrošināšanu pacientiem ar onkoloģiskām saslimšanām. Izstrādāts "pacientu un pakalpojumu koordinatoru" ieviešanas modelis, veicinot sadarbību un aprūpes koordinēšanu starp ģimenes ārstiem un onkologiem ķīmijterapeitiem, onkoloģiskajā aprūpē vai ārstēšanā iesaistītajiem speciālistiem (piemēram, ķirurgiem, onkoloģijas ginekologiem, bērnu hematoonkologiem, dietologiem, uztura speciālistiem u.c.) un sociālajos dienestos un sociālo pakalpojumu institūcijās strādājošiem speciālistiem.</t>
  </si>
  <si>
    <r>
      <t xml:space="preserve">Rezultatīvie rādītāji:          </t>
    </r>
    <r>
      <rPr>
        <sz val="12"/>
        <color theme="1"/>
        <rFont val="Times New Roman"/>
        <family val="1"/>
      </rPr>
      <t xml:space="preserve">                                                                                                                                                                              </t>
    </r>
    <r>
      <rPr>
        <b/>
        <sz val="12"/>
        <color theme="1"/>
        <rFont val="Times New Roman"/>
        <family val="1"/>
      </rPr>
      <t>1.</t>
    </r>
    <r>
      <rPr>
        <sz val="12"/>
        <color theme="1"/>
        <rFont val="Times New Roman"/>
        <family val="1"/>
      </rPr>
      <t xml:space="preserve"> Samazinājusies mirstība no neinfekciju slimībām vecumā līdz 64 gadiem (</t>
    </r>
    <r>
      <rPr>
        <u/>
        <sz val="12"/>
        <color theme="1"/>
        <rFont val="Times New Roman"/>
        <family val="1"/>
      </rPr>
      <t>2020.g.</t>
    </r>
    <r>
      <rPr>
        <sz val="12"/>
        <color theme="1"/>
        <rFont val="Times New Roman"/>
        <family val="1"/>
      </rPr>
      <t xml:space="preserve"> mirstība no ļaundabīgajiem audzējiem līdz 64 g.v.  103,5 uz 100 000 iedzīvotāju (sievietēm 90,6 uz 100 000 iedz., vīriešiem 116,6 uz 100 000 iedz.);</t>
    </r>
    <r>
      <rPr>
        <u/>
        <sz val="12"/>
        <color theme="1"/>
        <rFont val="Times New Roman"/>
        <family val="1"/>
      </rPr>
      <t xml:space="preserve"> 2025. g.</t>
    </r>
    <r>
      <rPr>
        <sz val="12"/>
        <color theme="1"/>
        <rFont val="Times New Roman"/>
        <family val="1"/>
      </rPr>
      <t xml:space="preserve"> - mirstība no ļaundabīgajiem audzējiem līdz 64 g.v. 100,0 uz 100 000 iedzīvotāju (sievietēm 87,0 uz 100 000 iedz., vīriešiem 113,0 uz 100 000 iedz.)).                                                                                                                                            </t>
    </r>
    <r>
      <rPr>
        <b/>
        <sz val="12"/>
        <color theme="1"/>
        <rFont val="Times New Roman"/>
        <family val="1"/>
      </rPr>
      <t xml:space="preserve">2. </t>
    </r>
    <r>
      <rPr>
        <sz val="12"/>
        <color theme="1"/>
        <rFont val="Times New Roman"/>
        <family val="1"/>
      </rPr>
      <t xml:space="preserve">5 gadu dzīvildzes pagarināšana (visiem audzējiem kopā neatkarīgi no stadijas un lokalizācijas): 2016. - 2021.g. - 56,8 %, 2019.  - 2024.g. - 63,4%, 2022. - 2027.g. - 70%..                                                                                                                        </t>
    </r>
    <r>
      <rPr>
        <b/>
        <sz val="12"/>
        <rFont val="Times New Roman"/>
        <family val="1"/>
      </rPr>
      <t>3.</t>
    </r>
    <r>
      <rPr>
        <sz val="12"/>
        <rFont val="Times New Roman"/>
        <family val="1"/>
      </rPr>
      <t xml:space="preserve"> Vēža skrīninga programmas aptveres procentuāls palielinājums (2020.g. - zarnu vēža skrīnings 15%, krūts vēža skrīnings 30%, dzemdes kakla vēža skrīnings 34%; 2022.g. - zarnu vēža skrīnings 25%, krūts un dzemdes kakla vēža skrīnings 40 -45%; 2023.g. - zarnu vēža skrīnings 35%, krūts un dzemdes kakla vēža skrīnings 50 -55%; 2024.g. - zarnu vēža skrīnings 45%, krūts un dzemdes kakla vēža skrīnings 60 -65%).</t>
    </r>
  </si>
  <si>
    <t>Ārstniecības personu profesionālās asociācijas, LĢĀA, LLĢĀA, BKUS Ģimenes vakcinācijas centrs, VM</t>
  </si>
  <si>
    <t>Izstrādāts dinamiskās novērošanas plāns (protokols) profesionāļiem, kā arī pacientiem un viņu tuviniekiem. Izstrādāts pacientu ceļš un noteikti kvalitātes indikātori sarkomas pacientu diagnostikā, ārstēšanā un pēcaprūpē. Uzlabota pacietnu diagnostiskā kvalitāte, terapija un pēcaprūpe, kas samazina recidīva iespējamību un pagarina pacienta dzīvildzi.</t>
  </si>
  <si>
    <t>VM, SPKC, Ārstniecības personu profesionālās asociācijas, Ārstniecības iestādes, LU KPMI, klīnicisti, VARAM</t>
  </si>
  <si>
    <t>Ārstniecības personu profesionālās asociācijas, Ārstniecības iestādes, SPKC, VM, VARAM</t>
  </si>
  <si>
    <r>
      <t xml:space="preserve">Izstrādāti metodoloģiskie dokumenti vienotu principu pieejas ieviešanai onkoloģijas jomā, tai skaitā, vēža centra izveide. </t>
    </r>
    <r>
      <rPr>
        <b/>
        <sz val="12"/>
        <rFont val="Times New Roman"/>
        <family val="1"/>
      </rPr>
      <t xml:space="preserve">Izvērtēt iespēju izveidot sarkomas tipa audzēju metodiskās vadību, nodrošinot gan vadības un koordinācijas funkcijas, gan speciālistu grupu, kas iesaistīti sarkomas pacientu diagnostikā, ārstēšanā un aprūpē. </t>
    </r>
  </si>
  <si>
    <t xml:space="preserve">Nodrošināta Vēža reģistra arhitektūras un tehniskās infrastruktūras nodrošinājuma specifikācijas izstrāde, datu pseidonimizācijas datu otreizējai apstrādei specifikācijas izstrāde, pacientu piekrišanas datu apstrādei prasību specifikācijas izstrāde, kā arī onkoloģisko datu apstrādei nepieciešamo integrāciju specifikācijas izstrāde. Veikta Vēža reģistra tehniskās infrastruktūras elementu iegāde, uzstādīšana un konfigurēšana, Vēža reģistra informācijas sistēmu infrastruktūras elementu iegāde, uzstādīšana un konfigurēšana. </t>
  </si>
  <si>
    <t>Uzsākta Vēža reģistra ieviešana, tai skaitā, onkoloģijas datu migrācijas veikšana.</t>
  </si>
  <si>
    <t>Pielikums</t>
  </si>
  <si>
    <t>Veselības aprūpes pakalpojumu onkoloģijas jomā uzlabošanas plānam 2022.-2024. gadam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</si>
</sst>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 #,##0.00_-;\-&quot;€&quot;\ * #,##0.00_-;_-&quot;€&quot;\ * &quot;-&quot;??_-;_-@_-"/>
    <numFmt numFmtId="43" formatCode="_-* #,##0.00_-;\-* #,##0.00_-;_-* &quot;-&quot;??_-;_-@_-"/>
    <numFmt numFmtId="164" formatCode="_-* #,##0.00\ &quot;€&quot;_-;\-* #,##0.00\ &quot;€&quot;_-;_-* &quot;-&quot;??\ &quot;€&quot;_-;_-@_-"/>
    <numFmt numFmtId="165" formatCode="_-* #,##0_-;\-* #,##0_-;_-* &quot;-&quot;??_-;_-@_-"/>
    <numFmt numFmtId="166" formatCode="_-&quot;€&quot;\ * #,##0_-;\-&quot;€&quot;\ * #,##0_-;_-&quot;€&quot;\ * &quot;-&quot;??_-;_-@_-"/>
    <numFmt numFmtId="167" formatCode="#,##0.00\ &quot;€&quot;"/>
    <numFmt numFmtId="168" formatCode="_-* #,##0\ &quot;€&quot;_-;\-* #,##0\ &quot;€&quot;_-;_-* &quot;-&quot;??\ &quot;€&quot;_-;_-@_-"/>
    <numFmt numFmtId="169" formatCode="00000"/>
    <numFmt numFmtId="170" formatCode="#,##0.0"/>
    <numFmt numFmtId="171" formatCode="_-* #,##0\ _€_-;\-* #,##0\ _€_-;_-* &quot;-&quot;??\ _€_-;_-@_-"/>
    <numFmt numFmtId="172" formatCode="0.0%"/>
    <numFmt numFmtId="173" formatCode="_-* #,##0.00\ _€_-;\-* #,##0.00\ _€_-;_-* &quot;-&quot;??\ _€_-;_-@_-"/>
    <numFmt numFmtId="174" formatCode="#,##0;\(#,##0\);&quot;-&quot;"/>
    <numFmt numFmtId="175" formatCode="0.000"/>
    <numFmt numFmtId="176" formatCode="0.0"/>
    <numFmt numFmtId="177" formatCode="_-&quot;Ls&quot;\ * #,##0.00_-;\-&quot;Ls&quot;\ * #,##0.00_-;_-&quot;Ls&quot;\ * &quot;-&quot;??_-;_-@_-"/>
    <numFmt numFmtId="178" formatCode="_-* #,##0.00\ &quot;Ls&quot;_-;\-* #,##0.00\ &quot;Ls&quot;_-;_-* &quot;-&quot;??\ &quot;Ls&quot;_-;_-@_-"/>
    <numFmt numFmtId="179" formatCode="_-* #,##0.00\ _L_s_-;\-* #,##0.00\ _L_s_-;_-* &quot;-&quot;??\ _L_s_-;_-@_-"/>
    <numFmt numFmtId="180" formatCode="_-* #,##0.0_-;\-* #,##0.0_-;_-* &quot;-&quot;??_-;_-@_-"/>
  </numFmts>
  <fonts count="150">
    <font>
      <sz val="11"/>
      <color theme="1"/>
      <name val="Calibri"/>
      <family val="2"/>
      <charset val="186"/>
      <scheme val="minor"/>
    </font>
    <font>
      <b/>
      <sz val="11"/>
      <color theme="1"/>
      <name val="Calibri"/>
      <family val="2"/>
      <charset val="186"/>
      <scheme val="minor"/>
    </font>
    <font>
      <sz val="8"/>
      <name val="Calibri"/>
      <family val="2"/>
      <charset val="186"/>
      <scheme val="minor"/>
    </font>
    <font>
      <sz val="12"/>
      <name val="Times New Roman"/>
      <family val="1"/>
      <charset val="186"/>
    </font>
    <font>
      <sz val="11"/>
      <name val="Calibri"/>
      <family val="2"/>
      <charset val="186"/>
      <scheme val="minor"/>
    </font>
    <font>
      <sz val="12"/>
      <name val="Times New Roman"/>
      <family val="1"/>
    </font>
    <font>
      <sz val="12"/>
      <color theme="1"/>
      <name val="Times New Roman"/>
      <family val="1"/>
    </font>
    <font>
      <sz val="12"/>
      <color rgb="FF000000"/>
      <name val="Times New Roman"/>
      <family val="1"/>
    </font>
    <font>
      <b/>
      <sz val="12"/>
      <color rgb="FF000000"/>
      <name val="Times New Roman"/>
      <family val="1"/>
    </font>
    <font>
      <b/>
      <sz val="12"/>
      <color theme="1"/>
      <name val="Times New Roman"/>
      <family val="1"/>
    </font>
    <font>
      <sz val="12"/>
      <color rgb="FFFF0000"/>
      <name val="Times New Roman"/>
      <family val="1"/>
    </font>
    <font>
      <b/>
      <sz val="12"/>
      <name val="Times New Roman"/>
      <family val="1"/>
    </font>
    <font>
      <sz val="12"/>
      <color theme="1"/>
      <name val="Times New Roman"/>
      <family val="1"/>
      <charset val="186"/>
    </font>
    <font>
      <b/>
      <sz val="11"/>
      <name val="Calibri"/>
      <family val="2"/>
      <charset val="186"/>
      <scheme val="minor"/>
    </font>
    <font>
      <sz val="11"/>
      <color theme="1"/>
      <name val="Calibri"/>
      <family val="2"/>
      <charset val="186"/>
      <scheme val="minor"/>
    </font>
    <font>
      <sz val="11"/>
      <color theme="1"/>
      <name val="Calibri"/>
      <family val="2"/>
      <scheme val="minor"/>
    </font>
    <font>
      <sz val="10"/>
      <name val="Arial"/>
      <family val="2"/>
      <charset val="186"/>
    </font>
    <font>
      <sz val="11"/>
      <color indexed="8"/>
      <name val="Calibri"/>
      <family val="2"/>
      <scheme val="minor"/>
    </font>
    <font>
      <sz val="12"/>
      <color theme="1"/>
      <name val="Times New Roman"/>
      <family val="2"/>
      <charset val="186"/>
    </font>
    <font>
      <u/>
      <sz val="11"/>
      <color rgb="FF008080"/>
      <name val="Calibri"/>
      <family val="2"/>
      <scheme val="minor"/>
    </font>
    <font>
      <strike/>
      <sz val="12"/>
      <color theme="1"/>
      <name val="Times New Roman"/>
      <family val="1"/>
    </font>
    <font>
      <sz val="11"/>
      <color theme="1"/>
      <name val="Calibri"/>
      <family val="2"/>
      <charset val="204"/>
      <scheme val="minor"/>
    </font>
    <font>
      <sz val="11"/>
      <color rgb="FF000000"/>
      <name val="Calibri"/>
      <family val="2"/>
    </font>
    <font>
      <strike/>
      <sz val="12"/>
      <name val="Times New Roman"/>
      <family val="1"/>
    </font>
    <font>
      <vertAlign val="superscript"/>
      <sz val="12"/>
      <name val="Times New Roman"/>
      <family val="1"/>
    </font>
    <font>
      <sz val="14"/>
      <color theme="1"/>
      <name val="Times New Roman"/>
      <family val="1"/>
    </font>
    <font>
      <vertAlign val="superscript"/>
      <sz val="14"/>
      <color theme="1"/>
      <name val="Times New Roman"/>
      <family val="1"/>
    </font>
    <font>
      <b/>
      <sz val="11"/>
      <color theme="1"/>
      <name val="Calibri"/>
      <family val="2"/>
      <scheme val="minor"/>
    </font>
    <font>
      <b/>
      <sz val="11"/>
      <color theme="1"/>
      <name val="Times New Roman"/>
      <family val="1"/>
    </font>
    <font>
      <b/>
      <sz val="14"/>
      <color theme="1"/>
      <name val="Times New Roman"/>
      <family val="1"/>
    </font>
    <font>
      <b/>
      <sz val="18"/>
      <color theme="1"/>
      <name val="Times New Roman"/>
      <family val="1"/>
    </font>
    <font>
      <b/>
      <sz val="11"/>
      <name val="Times New Roman"/>
      <family val="1"/>
    </font>
    <font>
      <sz val="9"/>
      <color theme="1"/>
      <name val="Times New Roman"/>
      <family val="1"/>
    </font>
    <font>
      <sz val="10"/>
      <color theme="1"/>
      <name val="Times New Roman"/>
      <family val="1"/>
    </font>
    <font>
      <b/>
      <sz val="9"/>
      <color rgb="FF000000"/>
      <name val="Times New Roman"/>
      <family val="1"/>
    </font>
    <font>
      <b/>
      <i/>
      <sz val="9"/>
      <color rgb="FF000000"/>
      <name val="Times New Roman"/>
      <family val="1"/>
    </font>
    <font>
      <sz val="9"/>
      <color rgb="FF000000"/>
      <name val="Times New Roman"/>
      <family val="1"/>
    </font>
    <font>
      <i/>
      <sz val="9"/>
      <color rgb="FF000000"/>
      <name val="Times New Roman"/>
      <family val="1"/>
    </font>
    <font>
      <b/>
      <sz val="10"/>
      <color rgb="FF000000"/>
      <name val="Times New Roman"/>
      <family val="1"/>
    </font>
    <font>
      <b/>
      <sz val="10"/>
      <color theme="1"/>
      <name val="Times New Roman"/>
      <family val="1"/>
    </font>
    <font>
      <b/>
      <i/>
      <sz val="10"/>
      <color theme="1"/>
      <name val="Times New Roman"/>
      <family val="1"/>
    </font>
    <font>
      <sz val="10"/>
      <color rgb="FF000000"/>
      <name val="Times New Roman"/>
      <family val="1"/>
    </font>
    <font>
      <i/>
      <sz val="10"/>
      <color rgb="FF000000"/>
      <name val="Times New Roman"/>
      <family val="1"/>
    </font>
    <font>
      <b/>
      <i/>
      <sz val="10"/>
      <color rgb="FF000000"/>
      <name val="Times New Roman"/>
      <family val="1"/>
    </font>
    <font>
      <sz val="10"/>
      <color theme="1"/>
      <name val="Times New Roman"/>
      <family val="1"/>
      <charset val="186"/>
    </font>
    <font>
      <b/>
      <sz val="10"/>
      <color theme="1"/>
      <name val="Times New Roman"/>
      <family val="1"/>
      <charset val="186"/>
    </font>
    <font>
      <b/>
      <sz val="10"/>
      <color rgb="FF000000"/>
      <name val="Times New Roman"/>
      <family val="1"/>
      <charset val="186"/>
    </font>
    <font>
      <sz val="10"/>
      <name val="Times New Roman"/>
      <family val="1"/>
      <charset val="186"/>
    </font>
    <font>
      <b/>
      <sz val="10"/>
      <name val="Times New Roman"/>
      <family val="1"/>
      <charset val="186"/>
    </font>
    <font>
      <i/>
      <sz val="10"/>
      <color theme="1"/>
      <name val="Times New Roman"/>
      <family val="1"/>
      <charset val="186"/>
    </font>
    <font>
      <b/>
      <i/>
      <sz val="10"/>
      <name val="Times New Roman"/>
      <family val="1"/>
      <charset val="186"/>
    </font>
    <font>
      <sz val="10"/>
      <color rgb="FF000000"/>
      <name val="Times New Roman"/>
      <family val="1"/>
      <charset val="186"/>
    </font>
    <font>
      <b/>
      <sz val="10"/>
      <name val="Times New Roman"/>
      <family val="1"/>
    </font>
    <font>
      <b/>
      <sz val="10"/>
      <color indexed="8"/>
      <name val="Times New Roman"/>
      <family val="1"/>
    </font>
    <font>
      <sz val="10"/>
      <name val="Times New Roman"/>
      <family val="1"/>
    </font>
    <font>
      <sz val="10"/>
      <color rgb="FF365F91"/>
      <name val="Times New Roman"/>
      <family val="1"/>
    </font>
    <font>
      <i/>
      <sz val="10"/>
      <color theme="1"/>
      <name val="Times New Roman"/>
      <family val="1"/>
    </font>
    <font>
      <sz val="10"/>
      <color rgb="FF4D5156"/>
      <name val="Times New Roman"/>
      <family val="1"/>
    </font>
    <font>
      <sz val="11"/>
      <color theme="1"/>
      <name val="Times New Roman"/>
      <family val="1"/>
    </font>
    <font>
      <sz val="10"/>
      <color theme="1"/>
      <name val="Calibri"/>
      <family val="2"/>
      <charset val="186"/>
      <scheme val="minor"/>
    </font>
    <font>
      <b/>
      <sz val="10"/>
      <color theme="1"/>
      <name val="Calibri"/>
      <family val="2"/>
      <charset val="186"/>
      <scheme val="minor"/>
    </font>
    <font>
      <b/>
      <sz val="12"/>
      <name val="Times New Roman"/>
      <family val="1"/>
      <charset val="186"/>
    </font>
    <font>
      <b/>
      <sz val="9"/>
      <color theme="1"/>
      <name val="Times New Roman"/>
      <family val="1"/>
    </font>
    <font>
      <sz val="11"/>
      <color theme="1"/>
      <name val="Times New Roman"/>
      <family val="1"/>
      <charset val="186"/>
    </font>
    <font>
      <sz val="10"/>
      <color indexed="8"/>
      <name val="MS Sans Serif"/>
      <family val="2"/>
      <charset val="186"/>
    </font>
    <font>
      <b/>
      <sz val="11"/>
      <color theme="1"/>
      <name val="Times New Roman"/>
      <family val="1"/>
      <charset val="186"/>
    </font>
    <font>
      <u/>
      <sz val="10"/>
      <color theme="1"/>
      <name val="Times New Roman"/>
      <family val="1"/>
    </font>
    <font>
      <sz val="11"/>
      <name val="Times New Roman"/>
      <family val="1"/>
      <charset val="186"/>
    </font>
    <font>
      <b/>
      <sz val="11"/>
      <name val="Times New Roman"/>
      <family val="1"/>
      <charset val="186"/>
    </font>
    <font>
      <b/>
      <sz val="12"/>
      <color theme="1"/>
      <name val="Times New Roman"/>
      <family val="1"/>
      <charset val="186"/>
    </font>
    <font>
      <b/>
      <u/>
      <sz val="11"/>
      <color theme="1"/>
      <name val="Times New Roman"/>
      <family val="1"/>
      <charset val="186"/>
    </font>
    <font>
      <sz val="10"/>
      <color indexed="8"/>
      <name val="Times New Roman"/>
      <family val="1"/>
    </font>
    <font>
      <sz val="11"/>
      <name val="Times New Roman"/>
      <family val="1"/>
    </font>
    <font>
      <i/>
      <sz val="10"/>
      <name val="Times New Roman"/>
      <family val="1"/>
    </font>
    <font>
      <u/>
      <sz val="10"/>
      <name val="Times New Roman"/>
      <family val="1"/>
    </font>
    <font>
      <b/>
      <u/>
      <sz val="10"/>
      <color theme="1"/>
      <name val="Times New Roman"/>
      <family val="1"/>
    </font>
    <font>
      <b/>
      <u/>
      <sz val="10"/>
      <name val="Times New Roman"/>
      <family val="1"/>
    </font>
    <font>
      <i/>
      <sz val="10"/>
      <name val="Times New Roman"/>
      <family val="1"/>
      <charset val="186"/>
    </font>
    <font>
      <u/>
      <sz val="12"/>
      <color theme="1"/>
      <name val="Times New Roman"/>
      <family val="1"/>
    </font>
    <font>
      <sz val="11"/>
      <color rgb="FF000000"/>
      <name val="Calibri"/>
      <family val="2"/>
      <charset val="186"/>
    </font>
    <font>
      <sz val="11"/>
      <color theme="1"/>
      <name val="Calibri"/>
      <family val="2"/>
      <charset val="186"/>
    </font>
    <font>
      <sz val="11"/>
      <color indexed="8"/>
      <name val="Calibri"/>
      <family val="2"/>
      <charset val="186"/>
    </font>
    <font>
      <sz val="10"/>
      <color indexed="8"/>
      <name val="Arial"/>
      <family val="2"/>
      <charset val="186"/>
    </font>
    <font>
      <sz val="11"/>
      <color indexed="9"/>
      <name val="Calibri"/>
      <family val="2"/>
      <charset val="186"/>
    </font>
    <font>
      <sz val="10"/>
      <color indexed="9"/>
      <name val="Arial"/>
      <family val="2"/>
      <charset val="186"/>
    </font>
    <font>
      <sz val="10"/>
      <name val="BaltTimesRoman"/>
      <charset val="186"/>
    </font>
    <font>
      <sz val="11"/>
      <color indexed="20"/>
      <name val="Calibri"/>
      <family val="2"/>
      <charset val="186"/>
    </font>
    <font>
      <sz val="10"/>
      <color indexed="20"/>
      <name val="Arial"/>
      <family val="2"/>
      <charset val="186"/>
    </font>
    <font>
      <b/>
      <sz val="11"/>
      <color indexed="52"/>
      <name val="Calibri"/>
      <family val="2"/>
      <charset val="186"/>
    </font>
    <font>
      <b/>
      <sz val="10"/>
      <color indexed="52"/>
      <name val="Arial"/>
      <family val="2"/>
      <charset val="186"/>
    </font>
    <font>
      <b/>
      <sz val="11"/>
      <color indexed="9"/>
      <name val="Calibri"/>
      <family val="2"/>
      <charset val="186"/>
    </font>
    <font>
      <b/>
      <sz val="10"/>
      <color indexed="9"/>
      <name val="Arial"/>
      <family val="2"/>
      <charset val="186"/>
    </font>
    <font>
      <sz val="10"/>
      <name val="MS Sans Serif"/>
      <family val="2"/>
      <charset val="186"/>
    </font>
    <font>
      <sz val="12"/>
      <color indexed="8"/>
      <name val="Times New Roman"/>
      <family val="2"/>
      <charset val="186"/>
    </font>
    <font>
      <i/>
      <sz val="11"/>
      <color indexed="23"/>
      <name val="Calibri"/>
      <family val="2"/>
      <charset val="186"/>
    </font>
    <font>
      <i/>
      <sz val="10"/>
      <color indexed="23"/>
      <name val="Arial"/>
      <family val="2"/>
      <charset val="186"/>
    </font>
    <font>
      <sz val="11"/>
      <color indexed="17"/>
      <name val="Calibri"/>
      <family val="2"/>
      <charset val="186"/>
    </font>
    <font>
      <sz val="10"/>
      <color indexed="17"/>
      <name val="Arial"/>
      <family val="2"/>
      <charset val="186"/>
    </font>
    <font>
      <b/>
      <sz val="15"/>
      <color indexed="56"/>
      <name val="Calibri"/>
      <family val="2"/>
      <charset val="186"/>
    </font>
    <font>
      <b/>
      <sz val="15"/>
      <color indexed="56"/>
      <name val="Arial"/>
      <family val="2"/>
      <charset val="186"/>
    </font>
    <font>
      <b/>
      <sz val="13"/>
      <color indexed="56"/>
      <name val="Calibri"/>
      <family val="2"/>
      <charset val="186"/>
    </font>
    <font>
      <b/>
      <sz val="13"/>
      <color indexed="56"/>
      <name val="Arial"/>
      <family val="2"/>
      <charset val="186"/>
    </font>
    <font>
      <b/>
      <sz val="11"/>
      <color indexed="56"/>
      <name val="Calibri"/>
      <family val="2"/>
      <charset val="186"/>
    </font>
    <font>
      <b/>
      <sz val="11"/>
      <color indexed="56"/>
      <name val="Arial"/>
      <family val="2"/>
      <charset val="186"/>
    </font>
    <font>
      <b/>
      <sz val="11"/>
      <color theme="3"/>
      <name val="Arial"/>
      <family val="2"/>
      <charset val="186"/>
    </font>
    <font>
      <u/>
      <sz val="12"/>
      <color theme="10"/>
      <name val="Calibri"/>
      <family val="2"/>
      <charset val="186"/>
    </font>
    <font>
      <u/>
      <sz val="10"/>
      <color indexed="12"/>
      <name val="Arial"/>
      <family val="2"/>
      <charset val="186"/>
    </font>
    <font>
      <sz val="11"/>
      <color indexed="62"/>
      <name val="Calibri"/>
      <family val="2"/>
      <charset val="186"/>
    </font>
    <font>
      <sz val="10"/>
      <color rgb="FF3F3F76"/>
      <name val="Arial"/>
      <family val="2"/>
      <charset val="186"/>
    </font>
    <font>
      <sz val="11"/>
      <color indexed="52"/>
      <name val="Calibri"/>
      <family val="2"/>
      <charset val="186"/>
    </font>
    <font>
      <sz val="10"/>
      <color rgb="FFFA7D00"/>
      <name val="Arial"/>
      <family val="2"/>
      <charset val="186"/>
    </font>
    <font>
      <sz val="11"/>
      <color indexed="60"/>
      <name val="Calibri"/>
      <family val="2"/>
      <charset val="186"/>
    </font>
    <font>
      <sz val="10"/>
      <color rgb="FF9C6500"/>
      <name val="Arial"/>
      <family val="2"/>
      <charset val="186"/>
    </font>
    <font>
      <sz val="11"/>
      <color theme="1"/>
      <name val="Calibri"/>
      <family val="2"/>
    </font>
    <font>
      <sz val="11"/>
      <color theme="1"/>
      <name val="Times New Roman"/>
      <family val="2"/>
      <charset val="186"/>
    </font>
    <font>
      <sz val="12"/>
      <color theme="1"/>
      <name val="Calibri"/>
      <family val="2"/>
      <charset val="186"/>
      <scheme val="minor"/>
    </font>
    <font>
      <sz val="10"/>
      <color rgb="FF000000"/>
      <name val="Arial"/>
      <family val="2"/>
      <charset val="186"/>
    </font>
    <font>
      <sz val="12"/>
      <name val="Arial"/>
      <family val="2"/>
    </font>
    <font>
      <sz val="10"/>
      <color theme="1"/>
      <name val="Arial"/>
      <family val="2"/>
      <charset val="186"/>
    </font>
    <font>
      <b/>
      <sz val="11"/>
      <color indexed="63"/>
      <name val="Calibri"/>
      <family val="2"/>
      <charset val="186"/>
    </font>
    <font>
      <b/>
      <sz val="10"/>
      <color rgb="FF3F3F3F"/>
      <name val="Arial"/>
      <family val="2"/>
      <charset val="186"/>
    </font>
    <font>
      <sz val="10"/>
      <name val="Arial"/>
      <family val="2"/>
    </font>
    <font>
      <sz val="10"/>
      <color indexed="8"/>
      <name val="Times New Roman"/>
      <family val="1"/>
      <charset val="186"/>
    </font>
    <font>
      <b/>
      <sz val="18"/>
      <color indexed="56"/>
      <name val="Cambria"/>
      <family val="2"/>
      <charset val="186"/>
    </font>
    <font>
      <b/>
      <sz val="11"/>
      <color indexed="8"/>
      <name val="Calibri"/>
      <family val="2"/>
      <charset val="186"/>
    </font>
    <font>
      <b/>
      <sz val="10"/>
      <color theme="1"/>
      <name val="Arial"/>
      <family val="2"/>
      <charset val="186"/>
    </font>
    <font>
      <sz val="11"/>
      <color indexed="10"/>
      <name val="Calibri"/>
      <family val="2"/>
      <charset val="186"/>
    </font>
    <font>
      <sz val="10"/>
      <color rgb="FFFF0000"/>
      <name val="Arial"/>
      <family val="2"/>
      <charset val="186"/>
    </font>
    <font>
      <sz val="10"/>
      <color theme="0"/>
      <name val="Arial"/>
      <family val="2"/>
      <charset val="186"/>
    </font>
    <font>
      <sz val="10"/>
      <color rgb="FF9C0006"/>
      <name val="Arial"/>
      <family val="2"/>
      <charset val="186"/>
    </font>
    <font>
      <b/>
      <sz val="10"/>
      <color rgb="FFFA7D00"/>
      <name val="Arial"/>
      <family val="2"/>
      <charset val="186"/>
    </font>
    <font>
      <b/>
      <sz val="10"/>
      <color theme="0"/>
      <name val="Arial"/>
      <family val="2"/>
      <charset val="186"/>
    </font>
    <font>
      <i/>
      <sz val="10"/>
      <color rgb="FF7F7F7F"/>
      <name val="Arial"/>
      <family val="2"/>
      <charset val="186"/>
    </font>
    <font>
      <sz val="10"/>
      <color rgb="FF006100"/>
      <name val="Arial"/>
      <family val="2"/>
      <charset val="186"/>
    </font>
    <font>
      <b/>
      <sz val="15"/>
      <color theme="3"/>
      <name val="Arial"/>
      <family val="2"/>
      <charset val="186"/>
    </font>
    <font>
      <b/>
      <sz val="13"/>
      <color theme="3"/>
      <name val="Arial"/>
      <family val="2"/>
      <charset val="186"/>
    </font>
    <font>
      <sz val="10"/>
      <name val="BaltGaramond"/>
      <family val="2"/>
    </font>
    <font>
      <sz val="10"/>
      <name val="BaltHelvetica"/>
    </font>
    <font>
      <sz val="10"/>
      <name val="Helv"/>
    </font>
    <font>
      <sz val="10"/>
      <name val="BaltGaramond"/>
      <family val="2"/>
      <charset val="186"/>
    </font>
    <font>
      <b/>
      <sz val="13"/>
      <name val="Times New Roman"/>
      <family val="1"/>
      <charset val="186"/>
    </font>
    <font>
      <i/>
      <sz val="11"/>
      <color theme="1"/>
      <name val="Times New Roman"/>
      <family val="1"/>
      <charset val="186"/>
    </font>
    <font>
      <sz val="9"/>
      <color theme="1"/>
      <name val="Times New Roman"/>
      <family val="1"/>
      <charset val="186"/>
    </font>
    <font>
      <i/>
      <sz val="11"/>
      <name val="Times New Roman"/>
      <family val="1"/>
      <charset val="186"/>
    </font>
    <font>
      <sz val="10"/>
      <name val="Arial"/>
      <family val="2"/>
      <charset val="204"/>
    </font>
    <font>
      <sz val="11"/>
      <color rgb="FF000000"/>
      <name val="Times New Roman"/>
      <family val="1"/>
      <charset val="186"/>
    </font>
    <font>
      <b/>
      <sz val="12"/>
      <color rgb="FFFF0000"/>
      <name val="Times New Roman"/>
      <family val="1"/>
    </font>
    <font>
      <i/>
      <sz val="10"/>
      <color rgb="FFFF0000"/>
      <name val="Times New Roman"/>
      <family val="1"/>
      <charset val="186"/>
    </font>
    <font>
      <b/>
      <u/>
      <sz val="10"/>
      <color rgb="FFFF0000"/>
      <name val="Times New Roman"/>
      <family val="1"/>
      <charset val="186"/>
    </font>
    <font>
      <sz val="10"/>
      <color rgb="FF00B050"/>
      <name val="Times New Roman"/>
      <family val="1"/>
    </font>
  </fonts>
  <fills count="6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rgb="FFE2EFD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11"/>
        <bgColor indexed="64"/>
      </patternFill>
    </fill>
    <fill>
      <patternFill patternType="solid">
        <fgColor theme="5" tint="0.59999389629810485"/>
        <bgColor indexed="64"/>
      </patternFill>
    </fill>
    <fill>
      <patternFill patternType="solid">
        <fgColor rgb="FF99FFCC"/>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9416">
    <xf numFmtId="0" fontId="0" fillId="0" borderId="0"/>
    <xf numFmtId="0" fontId="15" fillId="0" borderId="0"/>
    <xf numFmtId="9" fontId="15" fillId="0" borderId="0" applyFont="0" applyFill="0" applyBorder="0" applyAlignment="0" applyProtection="0"/>
    <xf numFmtId="0" fontId="16" fillId="0" borderId="0"/>
    <xf numFmtId="0" fontId="16" fillId="0" borderId="0"/>
    <xf numFmtId="0" fontId="14" fillId="0" borderId="0"/>
    <xf numFmtId="0" fontId="14" fillId="0" borderId="0"/>
    <xf numFmtId="0" fontId="14" fillId="0" borderId="0"/>
    <xf numFmtId="0" fontId="14" fillId="0" borderId="0"/>
    <xf numFmtId="0" fontId="15"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7" fillId="0" borderId="0"/>
    <xf numFmtId="0" fontId="14" fillId="0" borderId="0"/>
    <xf numFmtId="0" fontId="16" fillId="0" borderId="0"/>
    <xf numFmtId="0" fontId="16" fillId="0" borderId="0"/>
    <xf numFmtId="0" fontId="14" fillId="0" borderId="0"/>
    <xf numFmtId="0" fontId="14" fillId="0" borderId="0"/>
    <xf numFmtId="0" fontId="16" fillId="0" borderId="0"/>
    <xf numFmtId="43" fontId="16" fillId="0" borderId="0" applyFont="0" applyFill="0" applyBorder="0" applyAlignment="0" applyProtection="0"/>
    <xf numFmtId="0" fontId="18" fillId="0" borderId="0"/>
    <xf numFmtId="0" fontId="15"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6" fillId="0" borderId="0" applyFont="0" applyFill="0" applyBorder="0" applyAlignment="0" applyProtection="0"/>
    <xf numFmtId="0" fontId="14" fillId="0" borderId="0"/>
    <xf numFmtId="0" fontId="16" fillId="0" borderId="0"/>
    <xf numFmtId="0" fontId="15" fillId="0" borderId="0"/>
    <xf numFmtId="9" fontId="15" fillId="0" borderId="0" applyFont="0" applyFill="0" applyBorder="0" applyAlignment="0" applyProtection="0"/>
    <xf numFmtId="164" fontId="14" fillId="0" borderId="0" applyFont="0" applyFill="0" applyBorder="0" applyAlignment="0" applyProtection="0"/>
    <xf numFmtId="0" fontId="14" fillId="0" borderId="0"/>
    <xf numFmtId="0" fontId="14" fillId="0" borderId="0"/>
    <xf numFmtId="43" fontId="15" fillId="0" borderId="0" applyFont="0" applyFill="0" applyBorder="0" applyAlignment="0" applyProtection="0"/>
    <xf numFmtId="0" fontId="16" fillId="0" borderId="0"/>
    <xf numFmtId="43" fontId="14" fillId="0" borderId="0" applyFont="0" applyFill="0" applyBorder="0" applyAlignment="0" applyProtection="0"/>
    <xf numFmtId="0" fontId="14" fillId="0" borderId="0"/>
    <xf numFmtId="43" fontId="16" fillId="0" borderId="0" applyFont="0" applyFill="0" applyBorder="0" applyAlignment="0" applyProtection="0"/>
    <xf numFmtId="43" fontId="16" fillId="0" borderId="0" applyFont="0" applyFill="0" applyBorder="0" applyAlignment="0" applyProtection="0"/>
    <xf numFmtId="0" fontId="15" fillId="0" borderId="0"/>
    <xf numFmtId="0" fontId="15" fillId="0" borderId="0"/>
    <xf numFmtId="0" fontId="14" fillId="0" borderId="0"/>
    <xf numFmtId="0" fontId="14" fillId="0" borderId="0"/>
    <xf numFmtId="0" fontId="16" fillId="0" borderId="0"/>
    <xf numFmtId="0" fontId="14" fillId="0" borderId="0"/>
    <xf numFmtId="43" fontId="14" fillId="0" borderId="0" applyFont="0" applyFill="0" applyBorder="0" applyAlignment="0" applyProtection="0"/>
    <xf numFmtId="0" fontId="21" fillId="0" borderId="0"/>
    <xf numFmtId="0" fontId="14" fillId="0" borderId="0"/>
    <xf numFmtId="0" fontId="14" fillId="0" borderId="0"/>
    <xf numFmtId="0" fontId="22" fillId="0" borderId="0" applyNumberFormat="0" applyBorder="0" applyAlignment="0"/>
    <xf numFmtId="0" fontId="15" fillId="0" borderId="0"/>
    <xf numFmtId="43" fontId="14" fillId="0" borderId="0" applyFont="0" applyFill="0" applyBorder="0" applyAlignment="0" applyProtection="0"/>
    <xf numFmtId="43" fontId="14" fillId="0" borderId="0" applyFont="0" applyFill="0" applyBorder="0" applyAlignment="0" applyProtection="0"/>
    <xf numFmtId="0" fontId="15" fillId="0" borderId="0"/>
    <xf numFmtId="43" fontId="14" fillId="0" borderId="0" applyFont="0" applyFill="0" applyBorder="0" applyAlignment="0" applyProtection="0"/>
    <xf numFmtId="9" fontId="14" fillId="0" borderId="0" applyFont="0" applyFill="0" applyBorder="0" applyAlignment="0" applyProtection="0"/>
    <xf numFmtId="0" fontId="64" fillId="0" borderId="0"/>
    <xf numFmtId="0" fontId="16" fillId="0" borderId="0" applyBorder="0"/>
    <xf numFmtId="9" fontId="15" fillId="0" borderId="0" applyFont="0" applyFill="0" applyBorder="0" applyAlignment="0" applyProtection="0"/>
    <xf numFmtId="0" fontId="14" fillId="0" borderId="0"/>
    <xf numFmtId="9" fontId="14" fillId="0" borderId="0" applyFont="0" applyFill="0" applyBorder="0" applyAlignment="0" applyProtection="0"/>
    <xf numFmtId="0" fontId="16" fillId="0" borderId="0"/>
    <xf numFmtId="0" fontId="14" fillId="0" borderId="0"/>
    <xf numFmtId="0" fontId="14" fillId="0" borderId="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0" fontId="81" fillId="43" borderId="0" applyNumberFormat="0" applyBorder="0" applyAlignment="0" applyProtection="0"/>
    <xf numFmtId="0" fontId="16" fillId="0" borderId="0"/>
    <xf numFmtId="0" fontId="81" fillId="43" borderId="0" applyNumberFormat="0" applyBorder="0" applyAlignment="0" applyProtection="0"/>
    <xf numFmtId="0" fontId="81" fillId="43" borderId="0" applyNumberFormat="0" applyBorder="0" applyAlignment="0" applyProtection="0"/>
    <xf numFmtId="0" fontId="16" fillId="0" borderId="0"/>
    <xf numFmtId="0" fontId="81" fillId="4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81" fillId="43" borderId="0" applyNumberFormat="0" applyBorder="0" applyAlignment="0" applyProtection="0"/>
    <xf numFmtId="9" fontId="14" fillId="0" borderId="0" applyFont="0" applyFill="0" applyBorder="0" applyAlignment="0" applyProtection="0"/>
    <xf numFmtId="43" fontId="16" fillId="0" borderId="0" applyFont="0" applyFill="0" applyBorder="0" applyAlignment="0" applyProtection="0"/>
    <xf numFmtId="0" fontId="81" fillId="44" borderId="0" applyNumberFormat="0" applyBorder="0" applyAlignment="0" applyProtection="0"/>
    <xf numFmtId="0" fontId="81" fillId="43" borderId="0" applyNumberFormat="0" applyBorder="0" applyAlignment="0" applyProtection="0"/>
    <xf numFmtId="0" fontId="82"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18" fillId="0" borderId="0"/>
    <xf numFmtId="0" fontId="81" fillId="43" borderId="0" applyNumberFormat="0" applyBorder="0" applyAlignment="0" applyProtection="0"/>
    <xf numFmtId="43" fontId="16" fillId="0" borderId="0" applyFont="0" applyFill="0" applyBorder="0" applyAlignment="0" applyProtection="0"/>
    <xf numFmtId="0" fontId="81" fillId="44" borderId="0" applyNumberFormat="0" applyBorder="0" applyAlignment="0" applyProtection="0"/>
    <xf numFmtId="0" fontId="81" fillId="43" borderId="0" applyNumberFormat="0" applyBorder="0" applyAlignment="0" applyProtection="0"/>
    <xf numFmtId="0" fontId="16" fillId="0" borderId="0"/>
    <xf numFmtId="0" fontId="16" fillId="0" borderId="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4"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15" fillId="0" borderId="0"/>
    <xf numFmtId="0" fontId="16" fillId="0" borderId="0"/>
    <xf numFmtId="0" fontId="16" fillId="0" borderId="0"/>
    <xf numFmtId="0" fontId="81" fillId="43" borderId="0" applyNumberFormat="0" applyBorder="0" applyAlignment="0" applyProtection="0"/>
    <xf numFmtId="0" fontId="81" fillId="44" borderId="0" applyNumberFormat="0" applyBorder="0" applyAlignment="0" applyProtection="0"/>
    <xf numFmtId="43" fontId="15" fillId="0" borderId="0" applyFont="0" applyFill="0" applyBorder="0" applyAlignment="0" applyProtection="0"/>
    <xf numFmtId="0" fontId="81" fillId="44" borderId="0" applyNumberFormat="0" applyBorder="0" applyAlignment="0" applyProtection="0"/>
    <xf numFmtId="43" fontId="14" fillId="0" borderId="0" applyFont="0" applyFill="0" applyBorder="0" applyAlignment="0" applyProtection="0"/>
    <xf numFmtId="0" fontId="81" fillId="43"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81" fillId="43" borderId="0" applyNumberFormat="0" applyBorder="0" applyAlignment="0" applyProtection="0"/>
    <xf numFmtId="0" fontId="16" fillId="0" borderId="0"/>
    <xf numFmtId="0" fontId="16" fillId="0" borderId="0"/>
    <xf numFmtId="0" fontId="81" fillId="43" borderId="0" applyNumberFormat="0" applyBorder="0" applyAlignment="0" applyProtection="0"/>
    <xf numFmtId="0" fontId="81" fillId="44" borderId="0" applyNumberFormat="0" applyBorder="0" applyAlignment="0" applyProtection="0"/>
    <xf numFmtId="0" fontId="81" fillId="43" borderId="0" applyNumberFormat="0" applyBorder="0" applyAlignment="0" applyProtection="0"/>
    <xf numFmtId="43" fontId="14" fillId="0" borderId="0" applyFont="0" applyFill="0" applyBorder="0" applyAlignment="0" applyProtection="0"/>
    <xf numFmtId="0" fontId="16" fillId="0" borderId="0"/>
    <xf numFmtId="0" fontId="16" fillId="0" borderId="0"/>
    <xf numFmtId="0" fontId="81" fillId="43" borderId="0" applyNumberFormat="0" applyBorder="0" applyAlignment="0" applyProtection="0"/>
    <xf numFmtId="0" fontId="81" fillId="43" borderId="0" applyNumberFormat="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81" fillId="43"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6" fillId="0" borderId="0"/>
    <xf numFmtId="0" fontId="16" fillId="0" borderId="0"/>
    <xf numFmtId="0" fontId="81" fillId="43" borderId="0" applyNumberFormat="0" applyBorder="0" applyAlignment="0" applyProtection="0"/>
    <xf numFmtId="0" fontId="81" fillId="43" borderId="0" applyNumberFormat="0" applyBorder="0" applyAlignment="0" applyProtection="0"/>
    <xf numFmtId="0" fontId="124" fillId="0" borderId="89" applyNumberFormat="0" applyFill="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0" fontId="81" fillId="43" borderId="0" applyNumberFormat="0" applyBorder="0" applyAlignment="0" applyProtection="0"/>
    <xf numFmtId="0" fontId="81" fillId="43" borderId="0" applyNumberFormat="0" applyBorder="0" applyAlignment="0" applyProtection="0"/>
    <xf numFmtId="0" fontId="14" fillId="0" borderId="0"/>
    <xf numFmtId="0" fontId="16" fillId="0" borderId="0"/>
    <xf numFmtId="0" fontId="14" fillId="0" borderId="0"/>
    <xf numFmtId="0" fontId="81" fillId="43" borderId="0" applyNumberFormat="0" applyBorder="0" applyAlignment="0" applyProtection="0"/>
    <xf numFmtId="0" fontId="16" fillId="0" borderId="0"/>
    <xf numFmtId="0" fontId="14" fillId="0" borderId="0"/>
    <xf numFmtId="0" fontId="81" fillId="43" borderId="0" applyNumberFormat="0" applyBorder="0" applyAlignment="0" applyProtection="0"/>
    <xf numFmtId="0" fontId="81" fillId="43" borderId="0" applyNumberFormat="0" applyBorder="0" applyAlignment="0" applyProtection="0"/>
    <xf numFmtId="0" fontId="81" fillId="44" borderId="0" applyNumberFormat="0" applyBorder="0" applyAlignment="0" applyProtection="0"/>
    <xf numFmtId="0" fontId="81" fillId="43"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2"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2"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2"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2"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9" borderId="0" applyNumberFormat="0" applyBorder="0" applyAlignment="0" applyProtection="0"/>
    <xf numFmtId="0" fontId="82" fillId="49"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2"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2"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2"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2"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2"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2"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4"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4"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4"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4"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4"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4"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4"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4"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4"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4"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4"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4"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43" fontId="85" fillId="0" borderId="0" applyFont="0" applyFill="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7"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90" fillId="62" borderId="82" applyNumberFormat="0" applyAlignment="0" applyProtection="0"/>
    <xf numFmtId="0" fontId="90" fillId="62" borderId="82" applyNumberFormat="0" applyAlignment="0" applyProtection="0"/>
    <xf numFmtId="0" fontId="90" fillId="62" borderId="82" applyNumberFormat="0" applyAlignment="0" applyProtection="0"/>
    <xf numFmtId="0" fontId="90" fillId="62" borderId="82" applyNumberFormat="0" applyAlignment="0" applyProtection="0"/>
    <xf numFmtId="0" fontId="90" fillId="62" borderId="82" applyNumberFormat="0" applyAlignment="0" applyProtection="0"/>
    <xf numFmtId="0" fontId="90" fillId="62" borderId="82" applyNumberFormat="0" applyAlignment="0" applyProtection="0"/>
    <xf numFmtId="0" fontId="90" fillId="62" borderId="82" applyNumberFormat="0" applyAlignment="0" applyProtection="0"/>
    <xf numFmtId="0" fontId="90" fillId="62" borderId="82" applyNumberFormat="0" applyAlignment="0" applyProtection="0"/>
    <xf numFmtId="0" fontId="90" fillId="62" borderId="82" applyNumberFormat="0" applyAlignment="0" applyProtection="0"/>
    <xf numFmtId="0" fontId="90" fillId="62" borderId="82" applyNumberFormat="0" applyAlignment="0" applyProtection="0"/>
    <xf numFmtId="0" fontId="90" fillId="62" borderId="82" applyNumberFormat="0" applyAlignment="0" applyProtection="0"/>
    <xf numFmtId="0" fontId="90" fillId="62" borderId="82" applyNumberFormat="0" applyAlignment="0" applyProtection="0"/>
    <xf numFmtId="0" fontId="90" fillId="62" borderId="82" applyNumberFormat="0" applyAlignment="0" applyProtection="0"/>
    <xf numFmtId="0" fontId="91" fillId="62" borderId="82" applyNumberFormat="0" applyAlignment="0" applyProtection="0"/>
    <xf numFmtId="0" fontId="90" fillId="62" borderId="82" applyNumberFormat="0" applyAlignment="0" applyProtection="0"/>
    <xf numFmtId="0" fontId="90" fillId="62" borderId="82" applyNumberFormat="0" applyAlignment="0" applyProtection="0"/>
    <xf numFmtId="0" fontId="90" fillId="62" borderId="82" applyNumberFormat="0" applyAlignment="0" applyProtection="0"/>
    <xf numFmtId="0" fontId="90" fillId="62" borderId="82" applyNumberFormat="0" applyAlignment="0" applyProtection="0"/>
    <xf numFmtId="0" fontId="90" fillId="62" borderId="82" applyNumberFormat="0" applyAlignment="0" applyProtection="0"/>
    <xf numFmtId="0" fontId="90" fillId="62" borderId="82" applyNumberFormat="0" applyAlignment="0" applyProtection="0"/>
    <xf numFmtId="0" fontId="90" fillId="62" borderId="82"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2" fillId="0" borderId="0" applyFont="0" applyFill="0" applyBorder="0" applyAlignment="0" applyProtection="0"/>
    <xf numFmtId="43" fontId="93" fillId="0" borderId="0" applyFont="0" applyFill="0" applyBorder="0" applyAlignment="0" applyProtection="0"/>
    <xf numFmtId="43" fontId="81" fillId="0" borderId="0" applyFont="0" applyFill="0" applyBorder="0" applyAlignment="0" applyProtection="0"/>
    <xf numFmtId="43" fontId="80"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7" fillId="45"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8" fillId="0" borderId="83" applyNumberFormat="0" applyFill="0" applyAlignment="0" applyProtection="0"/>
    <xf numFmtId="0" fontId="98" fillId="0" borderId="83" applyNumberFormat="0" applyFill="0" applyAlignment="0" applyProtection="0"/>
    <xf numFmtId="0" fontId="98" fillId="0" borderId="83" applyNumberFormat="0" applyFill="0" applyAlignment="0" applyProtection="0"/>
    <xf numFmtId="0" fontId="98" fillId="0" borderId="83" applyNumberFormat="0" applyFill="0" applyAlignment="0" applyProtection="0"/>
    <xf numFmtId="0" fontId="98" fillId="0" borderId="83" applyNumberFormat="0" applyFill="0" applyAlignment="0" applyProtection="0"/>
    <xf numFmtId="0" fontId="98" fillId="0" borderId="83" applyNumberFormat="0" applyFill="0" applyAlignment="0" applyProtection="0"/>
    <xf numFmtId="0" fontId="98" fillId="0" borderId="83" applyNumberFormat="0" applyFill="0" applyAlignment="0" applyProtection="0"/>
    <xf numFmtId="0" fontId="98" fillId="0" borderId="83" applyNumberFormat="0" applyFill="0" applyAlignment="0" applyProtection="0"/>
    <xf numFmtId="0" fontId="98" fillId="0" borderId="83" applyNumberFormat="0" applyFill="0" applyAlignment="0" applyProtection="0"/>
    <xf numFmtId="0" fontId="98" fillId="0" borderId="83" applyNumberFormat="0" applyFill="0" applyAlignment="0" applyProtection="0"/>
    <xf numFmtId="0" fontId="98" fillId="0" borderId="83" applyNumberFormat="0" applyFill="0" applyAlignment="0" applyProtection="0"/>
    <xf numFmtId="0" fontId="98" fillId="0" borderId="83" applyNumberFormat="0" applyFill="0" applyAlignment="0" applyProtection="0"/>
    <xf numFmtId="0" fontId="98" fillId="0" borderId="83" applyNumberFormat="0" applyFill="0" applyAlignment="0" applyProtection="0"/>
    <xf numFmtId="0" fontId="99" fillId="0" borderId="83" applyNumberFormat="0" applyFill="0" applyAlignment="0" applyProtection="0"/>
    <xf numFmtId="0" fontId="98" fillId="0" borderId="83" applyNumberFormat="0" applyFill="0" applyAlignment="0" applyProtection="0"/>
    <xf numFmtId="0" fontId="98" fillId="0" borderId="83" applyNumberFormat="0" applyFill="0" applyAlignment="0" applyProtection="0"/>
    <xf numFmtId="0" fontId="98" fillId="0" borderId="83" applyNumberFormat="0" applyFill="0" applyAlignment="0" applyProtection="0"/>
    <xf numFmtId="0" fontId="98" fillId="0" borderId="83" applyNumberFormat="0" applyFill="0" applyAlignment="0" applyProtection="0"/>
    <xf numFmtId="0" fontId="98" fillId="0" borderId="83" applyNumberFormat="0" applyFill="0" applyAlignment="0" applyProtection="0"/>
    <xf numFmtId="0" fontId="98" fillId="0" borderId="83" applyNumberFormat="0" applyFill="0" applyAlignment="0" applyProtection="0"/>
    <xf numFmtId="0" fontId="98" fillId="0" borderId="83"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1" fillId="0" borderId="84"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0" fillId="0" borderId="84"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3"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85"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4"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8" fillId="14" borderId="75"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9" fillId="0" borderId="86" applyNumberFormat="0" applyFill="0" applyAlignment="0" applyProtection="0"/>
    <xf numFmtId="0" fontId="109" fillId="0" borderId="86" applyNumberFormat="0" applyFill="0" applyAlignment="0" applyProtection="0"/>
    <xf numFmtId="0" fontId="109" fillId="0" borderId="86" applyNumberFormat="0" applyFill="0" applyAlignment="0" applyProtection="0"/>
    <xf numFmtId="0" fontId="109" fillId="0" borderId="86" applyNumberFormat="0" applyFill="0" applyAlignment="0" applyProtection="0"/>
    <xf numFmtId="0" fontId="109" fillId="0" borderId="86" applyNumberFormat="0" applyFill="0" applyAlignment="0" applyProtection="0"/>
    <xf numFmtId="0" fontId="109" fillId="0" borderId="86" applyNumberFormat="0" applyFill="0" applyAlignment="0" applyProtection="0"/>
    <xf numFmtId="0" fontId="109" fillId="0" borderId="86" applyNumberFormat="0" applyFill="0" applyAlignment="0" applyProtection="0"/>
    <xf numFmtId="0" fontId="109" fillId="0" borderId="86" applyNumberFormat="0" applyFill="0" applyAlignment="0" applyProtection="0"/>
    <xf numFmtId="0" fontId="109" fillId="0" borderId="86" applyNumberFormat="0" applyFill="0" applyAlignment="0" applyProtection="0"/>
    <xf numFmtId="0" fontId="109" fillId="0" borderId="86" applyNumberFormat="0" applyFill="0" applyAlignment="0" applyProtection="0"/>
    <xf numFmtId="0" fontId="109" fillId="0" borderId="86" applyNumberFormat="0" applyFill="0" applyAlignment="0" applyProtection="0"/>
    <xf numFmtId="0" fontId="109" fillId="0" borderId="86" applyNumberFormat="0" applyFill="0" applyAlignment="0" applyProtection="0"/>
    <xf numFmtId="0" fontId="109" fillId="0" borderId="86" applyNumberFormat="0" applyFill="0" applyAlignment="0" applyProtection="0"/>
    <xf numFmtId="0" fontId="110" fillId="0" borderId="77" applyNumberFormat="0" applyFill="0" applyAlignment="0" applyProtection="0"/>
    <xf numFmtId="0" fontId="109" fillId="0" borderId="86" applyNumberFormat="0" applyFill="0" applyAlignment="0" applyProtection="0"/>
    <xf numFmtId="0" fontId="109" fillId="0" borderId="86" applyNumberFormat="0" applyFill="0" applyAlignment="0" applyProtection="0"/>
    <xf numFmtId="0" fontId="109" fillId="0" borderId="86" applyNumberFormat="0" applyFill="0" applyAlignment="0" applyProtection="0"/>
    <xf numFmtId="0" fontId="109" fillId="0" borderId="86" applyNumberFormat="0" applyFill="0" applyAlignment="0" applyProtection="0"/>
    <xf numFmtId="0" fontId="109" fillId="0" borderId="86" applyNumberFormat="0" applyFill="0" applyAlignment="0" applyProtection="0"/>
    <xf numFmtId="0" fontId="109" fillId="0" borderId="86" applyNumberFormat="0" applyFill="0" applyAlignment="0" applyProtection="0"/>
    <xf numFmtId="0" fontId="109" fillId="0" borderId="86" applyNumberFormat="0" applyFill="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2" fillId="1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6" fillId="0" borderId="0"/>
    <xf numFmtId="0" fontId="16" fillId="0" borderId="0"/>
    <xf numFmtId="0" fontId="14" fillId="0" borderId="0"/>
    <xf numFmtId="0" fontId="113" fillId="0" borderId="0"/>
    <xf numFmtId="0" fontId="113" fillId="0" borderId="0"/>
    <xf numFmtId="0" fontId="80" fillId="0" borderId="0"/>
    <xf numFmtId="0" fontId="80"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6"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0" fillId="0" borderId="0"/>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0" fillId="0" borderId="0"/>
    <xf numFmtId="0" fontId="80" fillId="0" borderId="0"/>
    <xf numFmtId="0" fontId="80" fillId="0" borderId="0"/>
    <xf numFmtId="0" fontId="14" fillId="0" borderId="0"/>
    <xf numFmtId="0" fontId="14" fillId="0" borderId="0"/>
    <xf numFmtId="0" fontId="80" fillId="0" borderId="0"/>
    <xf numFmtId="0" fontId="14" fillId="0" borderId="0"/>
    <xf numFmtId="0" fontId="14" fillId="0" borderId="0"/>
    <xf numFmtId="0" fontId="14" fillId="0" borderId="0"/>
    <xf numFmtId="0" fontId="14" fillId="0" borderId="0"/>
    <xf numFmtId="0" fontId="113" fillId="0" borderId="0"/>
    <xf numFmtId="0" fontId="14" fillId="0" borderId="0"/>
    <xf numFmtId="0" fontId="15" fillId="0" borderId="0"/>
    <xf numFmtId="0" fontId="16" fillId="0" borderId="0"/>
    <xf numFmtId="0" fontId="113" fillId="0" borderId="0"/>
    <xf numFmtId="0" fontId="113" fillId="0" borderId="0"/>
    <xf numFmtId="0" fontId="80" fillId="0" borderId="0"/>
    <xf numFmtId="0" fontId="80" fillId="0" borderId="0"/>
    <xf numFmtId="0" fontId="80" fillId="0" borderId="0"/>
    <xf numFmtId="0" fontId="14" fillId="0" borderId="0"/>
    <xf numFmtId="0" fontId="14" fillId="0" borderId="0"/>
    <xf numFmtId="0" fontId="115" fillId="0" borderId="0"/>
    <xf numFmtId="0" fontId="115" fillId="0" borderId="0"/>
    <xf numFmtId="0" fontId="115" fillId="0" borderId="0"/>
    <xf numFmtId="0" fontId="115" fillId="0" borderId="0"/>
    <xf numFmtId="0" fontId="1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6" fillId="0" borderId="0" applyNumberFormat="0" applyBorder="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7" fillId="0" borderId="0"/>
    <xf numFmtId="0" fontId="14" fillId="0" borderId="0"/>
    <xf numFmtId="0" fontId="16" fillId="0" borderId="0"/>
    <xf numFmtId="0" fontId="14" fillId="0" borderId="0"/>
    <xf numFmtId="0" fontId="14" fillId="0" borderId="0"/>
    <xf numFmtId="0" fontId="14" fillId="0" borderId="0"/>
    <xf numFmtId="0" fontId="16" fillId="0" borderId="0"/>
    <xf numFmtId="0" fontId="16"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6" fillId="0" borderId="0"/>
    <xf numFmtId="0" fontId="16" fillId="0" borderId="0"/>
    <xf numFmtId="0" fontId="15" fillId="0" borderId="0"/>
    <xf numFmtId="0" fontId="82" fillId="0" borderId="0">
      <alignment vertical="top"/>
    </xf>
    <xf numFmtId="0" fontId="16" fillId="0" borderId="0"/>
    <xf numFmtId="0" fontId="82" fillId="0" borderId="0">
      <alignment vertical="top"/>
    </xf>
    <xf numFmtId="0" fontId="82" fillId="0" borderId="0">
      <alignment vertical="top"/>
    </xf>
    <xf numFmtId="0" fontId="82" fillId="0" borderId="0">
      <alignment vertical="top"/>
    </xf>
    <xf numFmtId="0" fontId="16" fillId="0" borderId="0"/>
    <xf numFmtId="0" fontId="16" fillId="0" borderId="0"/>
    <xf numFmtId="0" fontId="82" fillId="0" borderId="0">
      <alignment vertical="top"/>
    </xf>
    <xf numFmtId="0" fontId="82" fillId="0" borderId="0">
      <alignment vertical="top"/>
    </xf>
    <xf numFmtId="0" fontId="82" fillId="0" borderId="0">
      <alignment vertical="top"/>
    </xf>
    <xf numFmtId="0" fontId="16"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0" fillId="0" borderId="0"/>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2" fillId="0" borderId="0">
      <alignment vertical="top"/>
    </xf>
    <xf numFmtId="0" fontId="16" fillId="0" borderId="0"/>
    <xf numFmtId="0" fontId="16" fillId="0" borderId="0"/>
    <xf numFmtId="0" fontId="16" fillId="0" borderId="0"/>
    <xf numFmtId="0" fontId="82" fillId="0" borderId="0">
      <alignment vertical="top"/>
    </xf>
    <xf numFmtId="0" fontId="82"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80" fillId="0" borderId="0"/>
    <xf numFmtId="0" fontId="14" fillId="0" borderId="0"/>
    <xf numFmtId="0" fontId="80" fillId="0" borderId="0"/>
    <xf numFmtId="0" fontId="80" fillId="0" borderId="0"/>
    <xf numFmtId="0" fontId="14" fillId="0" borderId="0"/>
    <xf numFmtId="0" fontId="80" fillId="0" borderId="0"/>
    <xf numFmtId="0" fontId="80" fillId="0" borderId="0"/>
    <xf numFmtId="0" fontId="14" fillId="0" borderId="0"/>
    <xf numFmtId="0" fontId="14" fillId="0" borderId="0"/>
    <xf numFmtId="0" fontId="80" fillId="0" borderId="0"/>
    <xf numFmtId="0" fontId="80" fillId="0" borderId="0"/>
    <xf numFmtId="0" fontId="14" fillId="0" borderId="0"/>
    <xf numFmtId="0" fontId="14" fillId="0" borderId="0"/>
    <xf numFmtId="0" fontId="80" fillId="0" borderId="0"/>
    <xf numFmtId="0" fontId="80" fillId="0" borderId="0"/>
    <xf numFmtId="0" fontId="14" fillId="0" borderId="0"/>
    <xf numFmtId="0" fontId="80" fillId="0" borderId="0"/>
    <xf numFmtId="0" fontId="80" fillId="0" borderId="0"/>
    <xf numFmtId="0" fontId="14" fillId="0" borderId="0"/>
    <xf numFmtId="0" fontId="14" fillId="0" borderId="0"/>
    <xf numFmtId="0" fontId="14" fillId="0" borderId="0"/>
    <xf numFmtId="0" fontId="80" fillId="0" borderId="0"/>
    <xf numFmtId="0" fontId="80" fillId="0" borderId="0"/>
    <xf numFmtId="0" fontId="14" fillId="0" borderId="0"/>
    <xf numFmtId="0" fontId="80" fillId="0" borderId="0"/>
    <xf numFmtId="0" fontId="80" fillId="0" borderId="0"/>
    <xf numFmtId="0" fontId="80" fillId="0" borderId="0"/>
    <xf numFmtId="0" fontId="14" fillId="0" borderId="0"/>
    <xf numFmtId="0" fontId="14" fillId="0" borderId="0"/>
    <xf numFmtId="0" fontId="14" fillId="0" borderId="0"/>
    <xf numFmtId="0" fontId="80" fillId="0" borderId="0"/>
    <xf numFmtId="0" fontId="80" fillId="0" borderId="0"/>
    <xf numFmtId="0" fontId="80" fillId="0" borderId="0"/>
    <xf numFmtId="0" fontId="80" fillId="0" borderId="0"/>
    <xf numFmtId="0" fontId="14" fillId="0" borderId="0"/>
    <xf numFmtId="0" fontId="80" fillId="0" borderId="0"/>
    <xf numFmtId="0" fontId="80" fillId="0" borderId="0"/>
    <xf numFmtId="0" fontId="80" fillId="0" borderId="0"/>
    <xf numFmtId="0" fontId="14" fillId="0" borderId="0"/>
    <xf numFmtId="0" fontId="80" fillId="0" borderId="0"/>
    <xf numFmtId="0" fontId="80" fillId="0" borderId="0"/>
    <xf numFmtId="0" fontId="80" fillId="0" borderId="0"/>
    <xf numFmtId="0" fontId="80" fillId="0" borderId="0"/>
    <xf numFmtId="0" fontId="14" fillId="0" borderId="0"/>
    <xf numFmtId="0" fontId="80" fillId="0" borderId="0"/>
    <xf numFmtId="0" fontId="80" fillId="0" borderId="0"/>
    <xf numFmtId="0" fontId="80" fillId="0" borderId="0"/>
    <xf numFmtId="0" fontId="80" fillId="0" borderId="0"/>
    <xf numFmtId="0" fontId="16" fillId="0" borderId="0"/>
    <xf numFmtId="0" fontId="14" fillId="0" borderId="0"/>
    <xf numFmtId="0" fontId="80" fillId="0" borderId="0"/>
    <xf numFmtId="0" fontId="80" fillId="0" borderId="0"/>
    <xf numFmtId="0" fontId="80" fillId="0" borderId="0"/>
    <xf numFmtId="0" fontId="14" fillId="0" borderId="0"/>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0" fillId="0" borderId="0"/>
    <xf numFmtId="0" fontId="80" fillId="0" borderId="0"/>
    <xf numFmtId="0" fontId="16" fillId="0" borderId="0"/>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4" fillId="0" borderId="0"/>
    <xf numFmtId="0" fontId="14" fillId="0" borderId="0"/>
    <xf numFmtId="0" fontId="14" fillId="0" borderId="0"/>
    <xf numFmtId="0" fontId="16" fillId="0" borderId="0"/>
    <xf numFmtId="0" fontId="16" fillId="0" borderId="0"/>
    <xf numFmtId="0" fontId="14" fillId="0" borderId="0"/>
    <xf numFmtId="0" fontId="14" fillId="0" borderId="0"/>
    <xf numFmtId="0" fontId="14" fillId="0" borderId="0"/>
    <xf numFmtId="0" fontId="16" fillId="0" borderId="0"/>
    <xf numFmtId="0" fontId="14" fillId="0" borderId="0"/>
    <xf numFmtId="0" fontId="80" fillId="0" borderId="0"/>
    <xf numFmtId="0" fontId="80" fillId="0" borderId="0"/>
    <xf numFmtId="0" fontId="14" fillId="0" borderId="0"/>
    <xf numFmtId="0" fontId="14" fillId="0" borderId="0"/>
    <xf numFmtId="0" fontId="80" fillId="0" borderId="0"/>
    <xf numFmtId="0" fontId="80" fillId="0" borderId="0"/>
    <xf numFmtId="0" fontId="16" fillId="0" borderId="0"/>
    <xf numFmtId="0" fontId="16" fillId="0" borderId="0"/>
    <xf numFmtId="0" fontId="16" fillId="0" borderId="0"/>
    <xf numFmtId="0" fontId="16" fillId="0" borderId="0"/>
    <xf numFmtId="0" fontId="16" fillId="0" borderId="0"/>
    <xf numFmtId="0" fontId="16" fillId="0" borderId="0"/>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16" fillId="0" borderId="0"/>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6" fillId="0" borderId="0"/>
    <xf numFmtId="0" fontId="16" fillId="0" borderId="0"/>
    <xf numFmtId="0" fontId="80" fillId="0" borderId="0"/>
    <xf numFmtId="0" fontId="80"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82" fillId="0" borderId="0">
      <alignment vertical="top"/>
    </xf>
    <xf numFmtId="0" fontId="15" fillId="0" borderId="0"/>
    <xf numFmtId="0" fontId="113" fillId="0" borderId="0"/>
    <xf numFmtId="0" fontId="1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9"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0" fillId="0" borderId="0"/>
    <xf numFmtId="0" fontId="8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2" fillId="0" borderId="0">
      <alignment vertical="top"/>
    </xf>
    <xf numFmtId="0" fontId="82" fillId="0" borderId="0">
      <alignment vertical="top"/>
    </xf>
    <xf numFmtId="0" fontId="82" fillId="0" borderId="0">
      <alignment vertical="top"/>
    </xf>
    <xf numFmtId="0" fontId="9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6" fillId="0" borderId="0"/>
    <xf numFmtId="0" fontId="80" fillId="0" borderId="0"/>
    <xf numFmtId="0" fontId="80" fillId="0" borderId="0"/>
    <xf numFmtId="0" fontId="14" fillId="0" borderId="0"/>
    <xf numFmtId="0" fontId="16" fillId="0" borderId="0"/>
    <xf numFmtId="0" fontId="16" fillId="0" borderId="0"/>
    <xf numFmtId="0" fontId="114" fillId="0" borderId="0"/>
    <xf numFmtId="0" fontId="80" fillId="0" borderId="0"/>
    <xf numFmtId="0" fontId="80" fillId="0" borderId="0"/>
    <xf numFmtId="0" fontId="16" fillId="0" borderId="0"/>
    <xf numFmtId="0" fontId="113" fillId="0" borderId="0"/>
    <xf numFmtId="0" fontId="113" fillId="0" borderId="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18" fillId="17" borderId="79"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0" fillId="15" borderId="76"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85" fillId="0" borderId="0"/>
    <xf numFmtId="0" fontId="15" fillId="0" borderId="0"/>
    <xf numFmtId="0" fontId="113" fillId="0" borderId="0"/>
    <xf numFmtId="0" fontId="113" fillId="0" borderId="0"/>
    <xf numFmtId="0" fontId="121" fillId="0" borderId="0"/>
    <xf numFmtId="9" fontId="81" fillId="0" borderId="0" applyFont="0" applyFill="0" applyBorder="0" applyAlignment="0" applyProtection="0"/>
    <xf numFmtId="9" fontId="80"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13" fillId="0" borderId="0" applyFont="0" applyFill="0" applyBorder="0" applyAlignment="0" applyProtection="0"/>
    <xf numFmtId="9" fontId="14" fillId="0" borderId="0" applyFont="0" applyFill="0" applyBorder="0" applyAlignment="0" applyProtection="0"/>
    <xf numFmtId="9" fontId="80" fillId="0" borderId="0" applyFont="0" applyFill="0" applyBorder="0" applyAlignment="0" applyProtection="0"/>
    <xf numFmtId="9" fontId="14" fillId="0" borderId="0" applyFont="0" applyFill="0" applyBorder="0" applyAlignment="0" applyProtection="0"/>
    <xf numFmtId="9" fontId="80" fillId="0" borderId="0" applyFont="0" applyFill="0" applyBorder="0" applyAlignment="0" applyProtection="0"/>
    <xf numFmtId="9" fontId="8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5" fillId="0" borderId="0" applyFont="0" applyFill="0" applyBorder="0" applyAlignment="0" applyProtection="0"/>
    <xf numFmtId="4" fontId="122" fillId="0" borderId="0" applyNumberFormat="0" applyProtection="0">
      <alignment horizontal="left" wrapText="1" indent="1" shrinkToFit="1"/>
    </xf>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5" fillId="0" borderId="80"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4" fillId="0" borderId="0"/>
    <xf numFmtId="0" fontId="14" fillId="0" borderId="0"/>
    <xf numFmtId="0" fontId="7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0" fontId="18" fillId="0" borderId="0"/>
    <xf numFmtId="0" fontId="79" fillId="0" borderId="0"/>
    <xf numFmtId="0" fontId="14" fillId="0" borderId="0"/>
    <xf numFmtId="0" fontId="16" fillId="0" borderId="0"/>
    <xf numFmtId="0" fontId="79" fillId="0" borderId="0"/>
    <xf numFmtId="0" fontId="16" fillId="0" borderId="0"/>
    <xf numFmtId="0" fontId="15" fillId="0" borderId="0"/>
    <xf numFmtId="0" fontId="16" fillId="0" borderId="0"/>
    <xf numFmtId="9" fontId="14" fillId="0" borderId="0" applyFont="0" applyFill="0" applyBorder="0" applyAlignment="0" applyProtection="0"/>
    <xf numFmtId="9" fontId="14" fillId="0" borderId="0" applyFont="0" applyFill="0" applyBorder="0" applyAlignment="0" applyProtection="0"/>
    <xf numFmtId="0" fontId="118" fillId="19" borderId="0" applyNumberFormat="0" applyBorder="0" applyAlignment="0" applyProtection="0"/>
    <xf numFmtId="0" fontId="118" fillId="23" borderId="0" applyNumberFormat="0" applyBorder="0" applyAlignment="0" applyProtection="0"/>
    <xf numFmtId="0" fontId="118" fillId="27" borderId="0" applyNumberFormat="0" applyBorder="0" applyAlignment="0" applyProtection="0"/>
    <xf numFmtId="0" fontId="118" fillId="31" borderId="0" applyNumberFormat="0" applyBorder="0" applyAlignment="0" applyProtection="0"/>
    <xf numFmtId="0" fontId="118" fillId="35" borderId="0" applyNumberFormat="0" applyBorder="0" applyAlignment="0" applyProtection="0"/>
    <xf numFmtId="0" fontId="118" fillId="39" borderId="0" applyNumberFormat="0" applyBorder="0" applyAlignment="0" applyProtection="0"/>
    <xf numFmtId="0" fontId="118" fillId="20" borderId="0" applyNumberFormat="0" applyBorder="0" applyAlignment="0" applyProtection="0"/>
    <xf numFmtId="0" fontId="118" fillId="24" borderId="0" applyNumberFormat="0" applyBorder="0" applyAlignment="0" applyProtection="0"/>
    <xf numFmtId="0" fontId="118" fillId="28" borderId="0" applyNumberFormat="0" applyBorder="0" applyAlignment="0" applyProtection="0"/>
    <xf numFmtId="0" fontId="118" fillId="32" borderId="0" applyNumberFormat="0" applyBorder="0" applyAlignment="0" applyProtection="0"/>
    <xf numFmtId="0" fontId="118" fillId="36" borderId="0" applyNumberFormat="0" applyBorder="0" applyAlignment="0" applyProtection="0"/>
    <xf numFmtId="0" fontId="118" fillId="40" borderId="0" applyNumberFormat="0" applyBorder="0" applyAlignment="0" applyProtection="0"/>
    <xf numFmtId="0" fontId="128" fillId="21" borderId="0" applyNumberFormat="0" applyBorder="0" applyAlignment="0" applyProtection="0"/>
    <xf numFmtId="0" fontId="128" fillId="25" borderId="0" applyNumberFormat="0" applyBorder="0" applyAlignment="0" applyProtection="0"/>
    <xf numFmtId="0" fontId="128" fillId="29" borderId="0" applyNumberFormat="0" applyBorder="0" applyAlignment="0" applyProtection="0"/>
    <xf numFmtId="0" fontId="128" fillId="33" borderId="0" applyNumberFormat="0" applyBorder="0" applyAlignment="0" applyProtection="0"/>
    <xf numFmtId="0" fontId="128" fillId="37" borderId="0" applyNumberFormat="0" applyBorder="0" applyAlignment="0" applyProtection="0"/>
    <xf numFmtId="0" fontId="128" fillId="41" borderId="0" applyNumberFormat="0" applyBorder="0" applyAlignment="0" applyProtection="0"/>
    <xf numFmtId="0" fontId="128" fillId="18" borderId="0" applyNumberFormat="0" applyBorder="0" applyAlignment="0" applyProtection="0"/>
    <xf numFmtId="0" fontId="128" fillId="22" borderId="0" applyNumberFormat="0" applyBorder="0" applyAlignment="0" applyProtection="0"/>
    <xf numFmtId="0" fontId="128" fillId="26" borderId="0" applyNumberFormat="0" applyBorder="0" applyAlignment="0" applyProtection="0"/>
    <xf numFmtId="0" fontId="128" fillId="30" borderId="0" applyNumberFormat="0" applyBorder="0" applyAlignment="0" applyProtection="0"/>
    <xf numFmtId="0" fontId="128" fillId="34" borderId="0" applyNumberFormat="0" applyBorder="0" applyAlignment="0" applyProtection="0"/>
    <xf numFmtId="0" fontId="128" fillId="38" borderId="0" applyNumberFormat="0" applyBorder="0" applyAlignment="0" applyProtection="0"/>
    <xf numFmtId="0" fontId="129" fillId="12" borderId="0" applyNumberFormat="0" applyBorder="0" applyAlignment="0" applyProtection="0"/>
    <xf numFmtId="0" fontId="130" fillId="15" borderId="75" applyNumberFormat="0" applyAlignment="0" applyProtection="0"/>
    <xf numFmtId="0" fontId="131" fillId="16" borderId="78" applyNumberFormat="0" applyAlignment="0" applyProtection="0"/>
    <xf numFmtId="43" fontId="47"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0" fontId="132" fillId="0" borderId="0" applyNumberFormat="0" applyFill="0" applyBorder="0" applyAlignment="0" applyProtection="0"/>
    <xf numFmtId="0" fontId="133" fillId="11" borderId="0" applyNumberFormat="0" applyBorder="0" applyAlignment="0" applyProtection="0"/>
    <xf numFmtId="0" fontId="134" fillId="0" borderId="72" applyNumberFormat="0" applyFill="0" applyAlignment="0" applyProtection="0"/>
    <xf numFmtId="0" fontId="135" fillId="0" borderId="73" applyNumberFormat="0" applyFill="0" applyAlignment="0" applyProtection="0"/>
    <xf numFmtId="0" fontId="104" fillId="0" borderId="74" applyNumberFormat="0" applyFill="0" applyAlignment="0" applyProtection="0"/>
    <xf numFmtId="0" fontId="14" fillId="0" borderId="0"/>
    <xf numFmtId="0" fontId="14" fillId="0" borderId="0"/>
    <xf numFmtId="0" fontId="14" fillId="0" borderId="0"/>
    <xf numFmtId="0" fontId="16" fillId="0" borderId="0"/>
    <xf numFmtId="0" fontId="80" fillId="0" borderId="0"/>
    <xf numFmtId="0" fontId="16" fillId="0" borderId="0"/>
    <xf numFmtId="0" fontId="16" fillId="0" borderId="0"/>
    <xf numFmtId="0" fontId="15" fillId="0" borderId="0"/>
    <xf numFmtId="0" fontId="113" fillId="0" borderId="0"/>
    <xf numFmtId="0" fontId="80"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4" fillId="0" borderId="0"/>
    <xf numFmtId="0" fontId="15" fillId="0" borderId="0"/>
    <xf numFmtId="178" fontId="16" fillId="0" borderId="0" applyFont="0" applyFill="0" applyBorder="0" applyAlignment="0" applyProtection="0"/>
    <xf numFmtId="179" fontId="16" fillId="0" borderId="0" applyFont="0" applyFill="0" applyBorder="0" applyAlignment="0" applyProtection="0"/>
    <xf numFmtId="0" fontId="16" fillId="0" borderId="0"/>
    <xf numFmtId="43" fontId="16" fillId="0" borderId="0" applyFont="0" applyFill="0" applyBorder="0" applyAlignment="0" applyProtection="0"/>
    <xf numFmtId="43" fontId="15" fillId="0" borderId="0" applyFont="0" applyFill="0" applyBorder="0" applyAlignment="0" applyProtection="0"/>
    <xf numFmtId="177" fontId="16" fillId="0" borderId="0" applyFont="0" applyFill="0" applyBorder="0" applyAlignment="0" applyProtection="0"/>
    <xf numFmtId="176" fontId="136" fillId="0" borderId="0" applyBorder="0" applyAlignment="0" applyProtection="0"/>
    <xf numFmtId="175" fontId="136" fillId="65"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6" fillId="0" borderId="0" applyNumberFormat="0" applyBorder="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6" fillId="0" borderId="0" applyNumberFormat="0" applyBorder="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7"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6" fontId="136" fillId="66" borderId="0" applyBorder="0" applyProtection="0"/>
    <xf numFmtId="0" fontId="138" fillId="0" borderId="0"/>
    <xf numFmtId="176" fontId="139" fillId="42" borderId="0" applyBorder="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7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3" fillId="0" borderId="0"/>
    <xf numFmtId="0" fontId="14" fillId="0" borderId="0"/>
    <xf numFmtId="0" fontId="14" fillId="0" borderId="0"/>
    <xf numFmtId="0" fontId="14" fillId="0" borderId="0"/>
    <xf numFmtId="0" fontId="14" fillId="0" borderId="0"/>
    <xf numFmtId="177" fontId="16" fillId="0" borderId="0" applyFont="0" applyFill="0" applyBorder="0" applyAlignment="0" applyProtection="0"/>
    <xf numFmtId="0" fontId="14" fillId="0" borderId="0"/>
    <xf numFmtId="0" fontId="14" fillId="0" borderId="0"/>
    <xf numFmtId="0" fontId="14" fillId="0" borderId="0"/>
    <xf numFmtId="0" fontId="14" fillId="0" borderId="0"/>
    <xf numFmtId="43" fontId="85" fillId="0" borderId="0" applyFont="0" applyFill="0" applyBorder="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2" fillId="0" borderId="0" applyFont="0" applyFill="0" applyBorder="0" applyAlignment="0" applyProtection="0"/>
    <xf numFmtId="43" fontId="93" fillId="0" borderId="0" applyFont="0" applyFill="0" applyBorder="0" applyAlignment="0" applyProtection="0"/>
    <xf numFmtId="43" fontId="81" fillId="0" borderId="0" applyFont="0" applyFill="0" applyBorder="0" applyAlignment="0" applyProtection="0"/>
    <xf numFmtId="43" fontId="80" fillId="0" borderId="0" applyFont="0" applyFill="0" applyBorder="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43" fontId="16" fillId="0" borderId="0" applyFont="0" applyFill="0" applyBorder="0" applyAlignment="0" applyProtection="0"/>
    <xf numFmtId="43" fontId="47" fillId="0" borderId="0" applyFont="0" applyFill="0" applyBorder="0" applyAlignment="0" applyProtection="0"/>
    <xf numFmtId="43" fontId="1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177" fontId="16" fillId="0" borderId="0" applyFont="0" applyFill="0" applyBorder="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4" fillId="0" borderId="0"/>
    <xf numFmtId="0" fontId="14" fillId="0" borderId="0"/>
    <xf numFmtId="0" fontId="14" fillId="0" borderId="0"/>
    <xf numFmtId="0" fontId="14" fillId="0" borderId="0"/>
    <xf numFmtId="0" fontId="121" fillId="0" borderId="0"/>
    <xf numFmtId="9" fontId="121" fillId="0" borderId="0" applyFont="0" applyFill="0" applyBorder="0" applyAlignment="0" applyProtection="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6" fillId="0" borderId="0" applyFont="0" applyFill="0" applyBorder="0" applyAlignment="0" applyProtection="0"/>
    <xf numFmtId="0" fontId="14" fillId="0" borderId="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2" fillId="0" borderId="0" applyFont="0" applyFill="0" applyBorder="0" applyAlignment="0" applyProtection="0"/>
    <xf numFmtId="43" fontId="93" fillId="0" borderId="0" applyFont="0" applyFill="0" applyBorder="0" applyAlignment="0" applyProtection="0"/>
    <xf numFmtId="43" fontId="81" fillId="0" borderId="0" applyFont="0" applyFill="0" applyBorder="0" applyAlignment="0" applyProtection="0"/>
    <xf numFmtId="43" fontId="80"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43" fontId="16"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177" fontId="1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6" fillId="0" borderId="0" applyFont="0" applyFill="0" applyBorder="0" applyAlignment="0" applyProtection="0"/>
    <xf numFmtId="0" fontId="14" fillId="0" borderId="0"/>
    <xf numFmtId="0" fontId="14" fillId="0" borderId="0"/>
    <xf numFmtId="0" fontId="14" fillId="0" borderId="0"/>
    <xf numFmtId="0" fontId="14" fillId="0" borderId="0"/>
    <xf numFmtId="43" fontId="85" fillId="0" borderId="0" applyFont="0" applyFill="0" applyBorder="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2" fillId="0" borderId="0" applyFont="0" applyFill="0" applyBorder="0" applyAlignment="0" applyProtection="0"/>
    <xf numFmtId="43" fontId="93" fillId="0" borderId="0" applyFont="0" applyFill="0" applyBorder="0" applyAlignment="0" applyProtection="0"/>
    <xf numFmtId="43" fontId="81" fillId="0" borderId="0" applyFont="0" applyFill="0" applyBorder="0" applyAlignment="0" applyProtection="0"/>
    <xf numFmtId="43" fontId="80" fillId="0" borderId="0" applyFont="0" applyFill="0" applyBorder="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43" fontId="16" fillId="0" borderId="0" applyFont="0" applyFill="0" applyBorder="0" applyAlignment="0" applyProtection="0"/>
    <xf numFmtId="43" fontId="47" fillId="0" borderId="0" applyFont="0" applyFill="0" applyBorder="0" applyAlignment="0" applyProtection="0"/>
    <xf numFmtId="43" fontId="1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177" fontId="16" fillId="0" borderId="0" applyFont="0" applyFill="0" applyBorder="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88"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117"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7"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88"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6" fillId="64" borderId="87" applyNumberFormat="0" applyFont="0" applyAlignment="0" applyProtection="0"/>
    <xf numFmtId="0" fontId="107"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17" fillId="64" borderId="87" applyNumberFormat="0" applyFont="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07" fillId="49"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07"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88"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07"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07" fillId="49"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88" fillId="48" borderId="81" applyNumberFormat="0" applyAlignment="0" applyProtection="0"/>
    <xf numFmtId="0" fontId="107" fillId="48" borderId="81" applyNumberFormat="0" applyAlignment="0" applyProtection="0"/>
    <xf numFmtId="0" fontId="117" fillId="64" borderId="87" applyNumberFormat="0" applyFont="0" applyAlignment="0" applyProtection="0"/>
    <xf numFmtId="0" fontId="119" fillId="48" borderId="88" applyNumberFormat="0" applyAlignment="0" applyProtection="0"/>
    <xf numFmtId="0" fontId="16" fillId="64" borderId="87" applyNumberFormat="0" applyFont="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124" fillId="0" borderId="89" applyNumberFormat="0" applyFill="0" applyAlignment="0" applyProtection="0"/>
    <xf numFmtId="0" fontId="16" fillId="0" borderId="0"/>
    <xf numFmtId="0" fontId="119" fillId="48" borderId="88" applyNumberFormat="0" applyAlignment="0" applyProtection="0"/>
    <xf numFmtId="0" fontId="119" fillId="48" borderId="88"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88" fillId="48" borderId="81" applyNumberFormat="0" applyAlignment="0" applyProtection="0"/>
    <xf numFmtId="0" fontId="107" fillId="49"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16" fillId="64" borderId="87" applyNumberFormat="0" applyFont="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07"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89"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19" fillId="48" borderId="88" applyNumberFormat="0" applyAlignment="0" applyProtection="0"/>
    <xf numFmtId="0" fontId="107"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89"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24" fillId="0" borderId="89" applyNumberFormat="0" applyFill="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6" fillId="64" borderId="87" applyNumberFormat="0" applyFon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19" fillId="48" borderId="88" applyNumberForma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24" fillId="0" borderId="89" applyNumberFormat="0" applyFill="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07"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88"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119" fillId="48" borderId="88" applyNumberFormat="0" applyAlignment="0" applyProtection="0"/>
    <xf numFmtId="0" fontId="16" fillId="64" borderId="87" applyNumberFormat="0" applyFont="0" applyAlignment="0" applyProtection="0"/>
    <xf numFmtId="0" fontId="107"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07" fillId="48" borderId="81" applyNumberFormat="0" applyAlignment="0" applyProtection="0"/>
    <xf numFmtId="0" fontId="119" fillId="48" borderId="88"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19" fillId="48" borderId="88" applyNumberFormat="0" applyAlignment="0" applyProtection="0"/>
    <xf numFmtId="0" fontId="89"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07" fillId="48" borderId="81" applyNumberFormat="0" applyAlignment="0" applyProtection="0"/>
    <xf numFmtId="0" fontId="16" fillId="0" borderId="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07"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19" fillId="48" borderId="88" applyNumberFormat="0" applyAlignment="0" applyProtection="0"/>
    <xf numFmtId="0" fontId="16" fillId="64" borderId="87" applyNumberFormat="0" applyFont="0" applyAlignment="0" applyProtection="0"/>
    <xf numFmtId="0" fontId="107" fillId="48" borderId="81" applyNumberFormat="0" applyAlignment="0" applyProtection="0"/>
    <xf numFmtId="0" fontId="16" fillId="0" borderId="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107"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6" fillId="0" borderId="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89"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89"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7"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07"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0" borderId="0"/>
    <xf numFmtId="0" fontId="107"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19" fillId="48" borderId="88" applyNumberFormat="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89"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19" fillId="48" borderId="88" applyNumberFormat="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07"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07"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88" fillId="48" borderId="81" applyNumberFormat="0" applyAlignment="0" applyProtection="0"/>
    <xf numFmtId="0" fontId="124" fillId="0" borderId="89" applyNumberFormat="0" applyFill="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19" fillId="48" borderId="88" applyNumberFormat="0" applyAlignment="0" applyProtection="0"/>
    <xf numFmtId="0" fontId="88"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19" fillId="48" borderId="88" applyNumberFormat="0" applyAlignment="0" applyProtection="0"/>
    <xf numFmtId="0" fontId="88"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119" fillId="48" borderId="88" applyNumberFormat="0" applyAlignment="0" applyProtection="0"/>
    <xf numFmtId="0" fontId="107" fillId="48" borderId="81" applyNumberFormat="0" applyAlignment="0" applyProtection="0"/>
    <xf numFmtId="0" fontId="16" fillId="64" borderId="87" applyNumberFormat="0" applyFont="0" applyAlignment="0" applyProtection="0"/>
    <xf numFmtId="0" fontId="88"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07"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88" fillId="48" borderId="81" applyNumberFormat="0" applyAlignment="0" applyProtection="0"/>
    <xf numFmtId="0" fontId="89"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07"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07" fillId="49"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89" fillId="48" borderId="81" applyNumberFormat="0" applyAlignment="0" applyProtection="0"/>
    <xf numFmtId="0" fontId="119" fillId="48" borderId="88" applyNumberFormat="0" applyAlignment="0" applyProtection="0"/>
    <xf numFmtId="0" fontId="16" fillId="64" borderId="87" applyNumberFormat="0" applyFont="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07"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07"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88"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07" fillId="48" borderId="81"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07" fillId="49"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07"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6" fillId="0" borderId="0"/>
    <xf numFmtId="0" fontId="107"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17" fillId="64" borderId="87" applyNumberFormat="0" applyFont="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07" fillId="49"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07" fillId="49" borderId="81" applyNumberFormat="0" applyAlignment="0" applyProtection="0"/>
    <xf numFmtId="0" fontId="119" fillId="48" borderId="88" applyNumberFormat="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17" fillId="64" borderId="87" applyNumberFormat="0" applyFont="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19" fillId="48" borderId="88" applyNumberForma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07"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7" fillId="64" borderId="87" applyNumberFormat="0" applyFon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17"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19" fillId="48" borderId="88" applyNumberFormat="0" applyAlignment="0" applyProtection="0"/>
    <xf numFmtId="0" fontId="88"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7" fillId="64" borderId="87" applyNumberFormat="0" applyFont="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19" fillId="48" borderId="88"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19" fillId="48" borderId="88"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6" fillId="64" borderId="87" applyNumberFormat="0" applyFont="0" applyAlignment="0" applyProtection="0"/>
    <xf numFmtId="0" fontId="107" fillId="48" borderId="81" applyNumberFormat="0" applyAlignment="0" applyProtection="0"/>
    <xf numFmtId="0" fontId="107" fillId="49"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07" fillId="48" borderId="81"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7"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19" fillId="48" borderId="88"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07"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07" fillId="48" borderId="81" applyNumberFormat="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88" fillId="48" borderId="81"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16" fillId="64" borderId="87" applyNumberFormat="0" applyFont="0" applyAlignment="0" applyProtection="0"/>
    <xf numFmtId="0" fontId="107"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07" fillId="48" borderId="81" applyNumberFormat="0" applyAlignment="0" applyProtection="0"/>
    <xf numFmtId="0" fontId="16" fillId="64" borderId="87" applyNumberFormat="0" applyFont="0" applyAlignment="0" applyProtection="0"/>
    <xf numFmtId="0" fontId="119" fillId="48" borderId="88" applyNumberFormat="0" applyAlignment="0" applyProtection="0"/>
    <xf numFmtId="0" fontId="124" fillId="0" borderId="89" applyNumberFormat="0" applyFill="0" applyAlignment="0" applyProtection="0"/>
    <xf numFmtId="0" fontId="88" fillId="48" borderId="81" applyNumberFormat="0" applyAlignment="0" applyProtection="0"/>
    <xf numFmtId="0" fontId="107" fillId="48" borderId="81" applyNumberFormat="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19" fillId="48" borderId="88"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24" fillId="0" borderId="89" applyNumberFormat="0" applyFill="0" applyAlignment="0" applyProtection="0"/>
    <xf numFmtId="0" fontId="119" fillId="48" borderId="88"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6" fillId="64" borderId="87" applyNumberFormat="0" applyFon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9"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88"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9"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07" fillId="48" borderId="81" applyNumberForma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7"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6" fillId="64" borderId="87" applyNumberFormat="0" applyFon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19" fillId="48" borderId="88" applyNumberFormat="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24" fillId="0" borderId="89" applyNumberFormat="0" applyFill="0" applyAlignment="0" applyProtection="0"/>
    <xf numFmtId="0" fontId="14" fillId="0" borderId="0"/>
    <xf numFmtId="0" fontId="14" fillId="0" borderId="0"/>
    <xf numFmtId="0" fontId="14" fillId="0" borderId="0"/>
    <xf numFmtId="0" fontId="14" fillId="0" borderId="0"/>
    <xf numFmtId="0" fontId="16" fillId="0" borderId="0"/>
    <xf numFmtId="0" fontId="121" fillId="0" borderId="0"/>
    <xf numFmtId="0" fontId="144" fillId="0" borderId="0"/>
    <xf numFmtId="0" fontId="121" fillId="0" borderId="0"/>
    <xf numFmtId="0" fontId="121" fillId="0" borderId="0"/>
    <xf numFmtId="0" fontId="121" fillId="0" borderId="0"/>
    <xf numFmtId="0" fontId="121" fillId="0" borderId="0"/>
    <xf numFmtId="43" fontId="14" fillId="0" borderId="0" applyFont="0" applyFill="0" applyBorder="0" applyAlignment="0" applyProtection="0"/>
  </cellStyleXfs>
  <cellXfs count="1895">
    <xf numFmtId="0" fontId="0" fillId="0" borderId="0" xfId="0"/>
    <xf numFmtId="0" fontId="0" fillId="0" borderId="1" xfId="0" applyBorder="1"/>
    <xf numFmtId="0" fontId="0" fillId="0" borderId="0" xfId="0" applyAlignment="1">
      <alignment horizontal="center" vertical="top"/>
    </xf>
    <xf numFmtId="0" fontId="0" fillId="0" borderId="0" xfId="0" applyFont="1"/>
    <xf numFmtId="0" fontId="4" fillId="0" borderId="0" xfId="0" applyFont="1"/>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10" xfId="0" applyFont="1" applyBorder="1" applyAlignment="1">
      <alignment vertical="top" wrapText="1"/>
    </xf>
    <xf numFmtId="0" fontId="6" fillId="2" borderId="1" xfId="0" applyFont="1" applyFill="1" applyBorder="1" applyAlignment="1">
      <alignment horizontal="justify" vertical="top" wrapText="1"/>
    </xf>
    <xf numFmtId="0" fontId="7" fillId="2" borderId="1" xfId="0" applyFont="1" applyFill="1" applyBorder="1" applyAlignment="1">
      <alignment horizontal="justify" vertical="top" wrapText="1"/>
    </xf>
    <xf numFmtId="0" fontId="6" fillId="0" borderId="1" xfId="0" applyFont="1" applyBorder="1" applyAlignment="1">
      <alignment horizontal="justify" vertical="top"/>
    </xf>
    <xf numFmtId="0" fontId="6" fillId="0" borderId="24" xfId="0" applyFont="1" applyBorder="1" applyAlignment="1">
      <alignment vertical="top" wrapText="1"/>
    </xf>
    <xf numFmtId="0" fontId="6" fillId="0" borderId="7" xfId="0" applyFont="1" applyBorder="1" applyAlignment="1">
      <alignment vertical="top" wrapText="1"/>
    </xf>
    <xf numFmtId="0" fontId="6" fillId="0" borderId="31" xfId="0" applyFont="1" applyBorder="1" applyAlignment="1">
      <alignment horizontal="center" vertical="center" wrapText="1"/>
    </xf>
    <xf numFmtId="0" fontId="6" fillId="0" borderId="7" xfId="0" applyFont="1" applyBorder="1" applyAlignment="1">
      <alignment horizontal="justify" vertical="top"/>
    </xf>
    <xf numFmtId="0" fontId="6" fillId="0" borderId="10" xfId="0" applyFont="1" applyBorder="1" applyAlignment="1">
      <alignment horizontal="center" vertical="center" wrapText="1"/>
    </xf>
    <xf numFmtId="0" fontId="6" fillId="0" borderId="6" xfId="0" applyFont="1" applyBorder="1" applyAlignment="1">
      <alignment horizontal="center" vertical="center"/>
    </xf>
    <xf numFmtId="0" fontId="6" fillId="2" borderId="1" xfId="0" applyFont="1" applyFill="1" applyBorder="1" applyAlignment="1">
      <alignment vertical="top" wrapText="1"/>
    </xf>
    <xf numFmtId="0" fontId="9" fillId="0" borderId="2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xf>
    <xf numFmtId="0" fontId="6" fillId="0" borderId="24" xfId="0" applyFont="1" applyBorder="1" applyAlignment="1">
      <alignment horizontal="center" vertical="center"/>
    </xf>
    <xf numFmtId="0" fontId="6" fillId="0" borderId="24" xfId="0" applyFont="1" applyBorder="1" applyAlignment="1">
      <alignment horizontal="center" vertical="center" wrapText="1"/>
    </xf>
    <xf numFmtId="0" fontId="5" fillId="0" borderId="1" xfId="0" applyFont="1" applyBorder="1" applyAlignment="1">
      <alignment vertical="top" wrapText="1"/>
    </xf>
    <xf numFmtId="0" fontId="6" fillId="0" borderId="0" xfId="0" applyFont="1"/>
    <xf numFmtId="0" fontId="6" fillId="0" borderId="6" xfId="0" applyFont="1" applyBorder="1" applyAlignment="1">
      <alignment horizontal="center" vertical="center" wrapText="1"/>
    </xf>
    <xf numFmtId="0" fontId="6" fillId="0" borderId="5" xfId="0" applyFont="1" applyBorder="1" applyAlignment="1">
      <alignment vertical="top" wrapText="1"/>
    </xf>
    <xf numFmtId="0" fontId="6" fillId="0" borderId="32" xfId="0" applyFont="1" applyBorder="1" applyAlignment="1">
      <alignment horizontal="center" vertical="center"/>
    </xf>
    <xf numFmtId="0" fontId="7" fillId="2" borderId="7" xfId="0" applyFont="1" applyFill="1" applyBorder="1" applyAlignment="1">
      <alignment horizontal="justify" vertical="top" wrapText="1"/>
    </xf>
    <xf numFmtId="0" fontId="6" fillId="2" borderId="7" xfId="0" applyFont="1" applyFill="1" applyBorder="1" applyAlignment="1">
      <alignment horizontal="justify" vertical="top" wrapText="1"/>
    </xf>
    <xf numFmtId="0" fontId="6" fillId="0" borderId="1" xfId="0" applyFont="1" applyBorder="1" applyAlignment="1">
      <alignment horizontal="left"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5" fillId="2" borderId="1" xfId="0" applyFont="1" applyFill="1" applyBorder="1" applyAlignment="1">
      <alignment horizontal="justify" vertical="top" wrapText="1"/>
    </xf>
    <xf numFmtId="0" fontId="5" fillId="2"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10" xfId="0" applyFont="1" applyBorder="1" applyAlignment="1">
      <alignment horizontal="center" vertical="center"/>
    </xf>
    <xf numFmtId="0" fontId="5" fillId="2" borderId="7" xfId="0" applyFont="1" applyFill="1" applyBorder="1" applyAlignment="1">
      <alignment horizontal="justify" vertical="top" wrapText="1"/>
    </xf>
    <xf numFmtId="0" fontId="5" fillId="2" borderId="1" xfId="0" applyFont="1" applyFill="1" applyBorder="1" applyAlignment="1">
      <alignment vertical="center" wrapText="1"/>
    </xf>
    <xf numFmtId="0" fontId="5" fillId="3" borderId="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5" fillId="3" borderId="1" xfId="0" applyFont="1" applyFill="1" applyBorder="1" applyAlignment="1">
      <alignment vertical="center" wrapText="1"/>
    </xf>
    <xf numFmtId="0" fontId="5" fillId="0" borderId="7" xfId="0" applyFont="1" applyBorder="1" applyAlignment="1">
      <alignment horizontal="center" vertical="center" wrapText="1"/>
    </xf>
    <xf numFmtId="0" fontId="9" fillId="0" borderId="24" xfId="0" applyFont="1" applyBorder="1"/>
    <xf numFmtId="0" fontId="9" fillId="0" borderId="24" xfId="0" applyFont="1" applyBorder="1" applyAlignment="1">
      <alignment wrapText="1"/>
    </xf>
    <xf numFmtId="0" fontId="5" fillId="0" borderId="1" xfId="0" applyFont="1" applyBorder="1" applyAlignment="1">
      <alignment horizontal="justify" vertical="top"/>
    </xf>
    <xf numFmtId="0" fontId="5" fillId="0" borderId="5" xfId="0" applyFont="1" applyBorder="1" applyAlignment="1">
      <alignment horizontal="justify" vertical="top"/>
    </xf>
    <xf numFmtId="0" fontId="5" fillId="0" borderId="18" xfId="0" applyFont="1" applyBorder="1" applyAlignment="1">
      <alignment vertical="top" wrapText="1"/>
    </xf>
    <xf numFmtId="0" fontId="5" fillId="0" borderId="0" xfId="0" applyFont="1"/>
    <xf numFmtId="0" fontId="5" fillId="0" borderId="5" xfId="0" applyFont="1" applyBorder="1" applyAlignment="1">
      <alignment horizontal="center" vertical="center" wrapText="1"/>
    </xf>
    <xf numFmtId="0" fontId="5" fillId="3" borderId="1" xfId="0" applyFont="1" applyFill="1" applyBorder="1" applyAlignment="1">
      <alignment vertical="top" wrapText="1"/>
    </xf>
    <xf numFmtId="0" fontId="5" fillId="2" borderId="15"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6" fillId="0" borderId="22" xfId="0" applyFont="1" applyBorder="1" applyAlignment="1">
      <alignment horizontal="center" vertical="center"/>
    </xf>
    <xf numFmtId="0" fontId="6" fillId="0" borderId="8" xfId="0" applyFont="1" applyBorder="1" applyAlignment="1">
      <alignment horizontal="center" vertical="center" wrapText="1"/>
    </xf>
    <xf numFmtId="0" fontId="6" fillId="0" borderId="5" xfId="0" applyFont="1" applyBorder="1" applyAlignment="1">
      <alignment horizontal="center" vertical="top"/>
    </xf>
    <xf numFmtId="0" fontId="12" fillId="0" borderId="1" xfId="0" applyFont="1" applyBorder="1" applyAlignment="1">
      <alignment vertical="top" wrapText="1"/>
    </xf>
    <xf numFmtId="0" fontId="5" fillId="2" borderId="9" xfId="0" applyFont="1" applyFill="1" applyBorder="1" applyAlignment="1">
      <alignment horizontal="center" vertical="center" wrapText="1"/>
    </xf>
    <xf numFmtId="0" fontId="6" fillId="0" borderId="1" xfId="0" applyFont="1" applyFill="1" applyBorder="1" applyAlignment="1">
      <alignment vertical="top" wrapText="1"/>
    </xf>
    <xf numFmtId="0" fontId="7" fillId="0" borderId="1" xfId="0" applyFont="1" applyFill="1" applyBorder="1" applyAlignment="1">
      <alignment horizontal="justify" vertical="top"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xf>
    <xf numFmtId="0" fontId="0" fillId="0" borderId="0" xfId="0" applyFill="1"/>
    <xf numFmtId="0" fontId="7" fillId="0" borderId="6" xfId="0" applyFont="1" applyFill="1" applyBorder="1" applyAlignment="1">
      <alignment horizontal="justify" vertical="top"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10" fillId="0" borderId="1" xfId="0" applyFont="1" applyFill="1" applyBorder="1" applyAlignment="1">
      <alignment vertical="top" wrapText="1"/>
    </xf>
    <xf numFmtId="0" fontId="0" fillId="0" borderId="0" xfId="0"/>
    <xf numFmtId="0" fontId="0" fillId="0" borderId="0" xfId="0"/>
    <xf numFmtId="0" fontId="0" fillId="0" borderId="0" xfId="0" applyBorder="1"/>
    <xf numFmtId="0" fontId="6" fillId="0" borderId="1" xfId="0" applyFont="1" applyBorder="1" applyAlignment="1">
      <alignment horizontal="left" vertical="top" wrapText="1"/>
    </xf>
    <xf numFmtId="0" fontId="7"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2" xfId="0" applyFont="1" applyFill="1" applyBorder="1" applyAlignment="1">
      <alignment vertical="top" wrapText="1"/>
    </xf>
    <xf numFmtId="0" fontId="5" fillId="0" borderId="1" xfId="0" applyFont="1" applyFill="1" applyBorder="1" applyAlignment="1">
      <alignment vertical="top" wrapText="1"/>
    </xf>
    <xf numFmtId="0" fontId="6" fillId="0" borderId="10" xfId="0" applyFont="1" applyFill="1" applyBorder="1" applyAlignment="1">
      <alignment vertical="top" wrapText="1"/>
    </xf>
    <xf numFmtId="0" fontId="5" fillId="0" borderId="29" xfId="0" applyFont="1" applyFill="1" applyBorder="1" applyAlignment="1">
      <alignment vertical="top" wrapText="1"/>
    </xf>
    <xf numFmtId="0" fontId="7" fillId="2" borderId="23" xfId="0" applyFont="1" applyFill="1" applyBorder="1" applyAlignment="1">
      <alignment horizontal="justify" vertical="top" wrapText="1"/>
    </xf>
    <xf numFmtId="0" fontId="6" fillId="0" borderId="5" xfId="0" applyFont="1" applyFill="1" applyBorder="1" applyAlignment="1">
      <alignment horizontal="center" vertical="center"/>
    </xf>
    <xf numFmtId="0" fontId="3" fillId="0" borderId="18" xfId="0" applyFont="1" applyFill="1" applyBorder="1" applyAlignment="1">
      <alignment horizontal="left" vertical="top" wrapText="1"/>
    </xf>
    <xf numFmtId="0" fontId="3" fillId="0" borderId="1" xfId="0" applyFont="1" applyFill="1" applyBorder="1" applyAlignment="1">
      <alignment horizontal="left" vertical="top" wrapText="1"/>
    </xf>
    <xf numFmtId="0" fontId="6" fillId="0" borderId="5" xfId="0" applyFont="1" applyFill="1" applyBorder="1" applyAlignment="1">
      <alignment vertical="top" wrapText="1"/>
    </xf>
    <xf numFmtId="0" fontId="6" fillId="2" borderId="6" xfId="0" applyFont="1" applyFill="1" applyBorder="1" applyAlignment="1">
      <alignment horizontal="justify" vertical="top" wrapText="1"/>
    </xf>
    <xf numFmtId="0" fontId="7" fillId="0" borderId="3" xfId="0" applyFont="1" applyFill="1" applyBorder="1" applyAlignment="1">
      <alignment horizontal="justify" vertical="top" wrapText="1"/>
    </xf>
    <xf numFmtId="0" fontId="0" fillId="0" borderId="0" xfId="0"/>
    <xf numFmtId="0" fontId="5" fillId="0" borderId="7"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vertical="top" wrapText="1"/>
    </xf>
    <xf numFmtId="0" fontId="9" fillId="0" borderId="48" xfId="0" applyFont="1" applyFill="1" applyBorder="1" applyAlignment="1">
      <alignment horizontal="center" vertical="top"/>
    </xf>
    <xf numFmtId="0" fontId="7" fillId="0" borderId="36" xfId="0" applyFont="1" applyFill="1" applyBorder="1" applyAlignment="1">
      <alignment horizontal="justify" vertical="top" wrapText="1"/>
    </xf>
    <xf numFmtId="0" fontId="6" fillId="0" borderId="19" xfId="0" applyFont="1" applyFill="1" applyBorder="1" applyAlignment="1">
      <alignment horizontal="center" vertical="center"/>
    </xf>
    <xf numFmtId="0" fontId="7" fillId="0" borderId="27" xfId="0" applyFont="1" applyFill="1" applyBorder="1" applyAlignment="1">
      <alignment horizontal="justify" vertical="top" wrapText="1"/>
    </xf>
    <xf numFmtId="0" fontId="12" fillId="0" borderId="1" xfId="0" applyFont="1" applyFill="1" applyBorder="1" applyAlignment="1">
      <alignment vertical="top" wrapText="1"/>
    </xf>
    <xf numFmtId="0" fontId="5" fillId="0" borderId="29" xfId="0" applyFont="1" applyFill="1" applyBorder="1" applyAlignment="1">
      <alignment horizontal="center" vertical="center" wrapText="1"/>
    </xf>
    <xf numFmtId="0" fontId="5" fillId="0" borderId="35" xfId="0" applyFont="1" applyFill="1" applyBorder="1" applyAlignment="1">
      <alignment horizontal="center" vertical="center"/>
    </xf>
    <xf numFmtId="0" fontId="7" fillId="2" borderId="54" xfId="0" applyFont="1" applyFill="1" applyBorder="1" applyAlignment="1">
      <alignment horizontal="justify" vertical="top" wrapText="1"/>
    </xf>
    <xf numFmtId="0" fontId="5" fillId="0" borderId="5" xfId="0" applyFont="1" applyFill="1" applyBorder="1" applyAlignment="1">
      <alignment vertical="top" wrapText="1"/>
    </xf>
    <xf numFmtId="0" fontId="7" fillId="0" borderId="5" xfId="0" applyFont="1" applyFill="1" applyBorder="1" applyAlignment="1">
      <alignment horizontal="center" vertical="top" wrapText="1"/>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xf>
    <xf numFmtId="3"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3" borderId="6" xfId="0" applyFont="1" applyFill="1" applyBorder="1" applyAlignment="1">
      <alignment horizontal="left" vertical="top" wrapText="1"/>
    </xf>
    <xf numFmtId="0" fontId="23" fillId="0" borderId="1" xfId="0" applyFont="1" applyFill="1" applyBorder="1" applyAlignment="1">
      <alignment horizontal="justify" vertical="center" wrapText="1"/>
    </xf>
    <xf numFmtId="0" fontId="5" fillId="0" borderId="7" xfId="0" applyFont="1" applyBorder="1" applyAlignment="1">
      <alignment horizontal="justify" vertical="top"/>
    </xf>
    <xf numFmtId="0" fontId="6" fillId="0" borderId="5" xfId="0" applyFont="1" applyBorder="1" applyAlignment="1">
      <alignment horizontal="center" vertical="center" wrapText="1"/>
    </xf>
    <xf numFmtId="0" fontId="9" fillId="0" borderId="16" xfId="0" applyFont="1" applyBorder="1" applyAlignment="1">
      <alignment horizontal="center" vertical="center"/>
    </xf>
    <xf numFmtId="0" fontId="9" fillId="0" borderId="3" xfId="0" applyFont="1" applyBorder="1" applyAlignment="1">
      <alignment horizontal="center" vertical="center"/>
    </xf>
    <xf numFmtId="0" fontId="5" fillId="2" borderId="3" xfId="0" applyFont="1" applyFill="1" applyBorder="1" applyAlignment="1">
      <alignment vertical="center" wrapText="1"/>
    </xf>
    <xf numFmtId="0" fontId="7" fillId="2" borderId="1" xfId="0" applyFont="1" applyFill="1" applyBorder="1" applyAlignment="1">
      <alignment horizontal="left" vertical="top" wrapText="1"/>
    </xf>
    <xf numFmtId="0" fontId="6" fillId="0" borderId="7" xfId="0" applyFont="1" applyFill="1" applyBorder="1" applyAlignment="1">
      <alignment vertical="top" wrapText="1"/>
    </xf>
    <xf numFmtId="0" fontId="7" fillId="0" borderId="7" xfId="0" applyFont="1" applyBorder="1" applyAlignment="1">
      <alignment vertical="top" wrapText="1"/>
    </xf>
    <xf numFmtId="0" fontId="6" fillId="0" borderId="1" xfId="0" applyFont="1" applyFill="1" applyBorder="1" applyAlignment="1">
      <alignment horizontal="justify" vertical="top"/>
    </xf>
    <xf numFmtId="0" fontId="6" fillId="0" borderId="15" xfId="0" applyFont="1" applyBorder="1" applyAlignment="1">
      <alignment horizontal="center" vertical="center" wrapText="1"/>
    </xf>
    <xf numFmtId="0" fontId="6" fillId="0" borderId="10" xfId="0" applyFont="1" applyBorder="1" applyAlignment="1">
      <alignment horizontal="left" vertical="top" wrapText="1"/>
    </xf>
    <xf numFmtId="0" fontId="6" fillId="0" borderId="10" xfId="0" applyFont="1" applyBorder="1" applyAlignment="1">
      <alignment horizontal="center" vertical="center"/>
    </xf>
    <xf numFmtId="0" fontId="6" fillId="2" borderId="10" xfId="0" applyFont="1" applyFill="1" applyBorder="1" applyAlignment="1">
      <alignment horizontal="justify" vertical="top" wrapText="1"/>
    </xf>
    <xf numFmtId="0" fontId="7" fillId="0" borderId="1" xfId="0" applyFont="1" applyFill="1" applyBorder="1" applyAlignment="1">
      <alignment vertical="top" wrapText="1"/>
    </xf>
    <xf numFmtId="0" fontId="7" fillId="0" borderId="5" xfId="0" applyFont="1" applyFill="1" applyBorder="1" applyAlignment="1">
      <alignment vertical="top" wrapText="1"/>
    </xf>
    <xf numFmtId="0" fontId="6" fillId="0" borderId="1" xfId="0" applyFont="1" applyFill="1" applyBorder="1" applyAlignment="1">
      <alignment horizontal="justify" vertical="top" wrapText="1"/>
    </xf>
    <xf numFmtId="0" fontId="6" fillId="0" borderId="0" xfId="0" applyFont="1" applyBorder="1" applyAlignment="1">
      <alignment vertical="top" wrapText="1"/>
    </xf>
    <xf numFmtId="0" fontId="9" fillId="0" borderId="49" xfId="0" applyFont="1" applyBorder="1" applyAlignment="1">
      <alignment horizontal="center" vertical="center"/>
    </xf>
    <xf numFmtId="0" fontId="12" fillId="0" borderId="10" xfId="0" applyFont="1" applyFill="1" applyBorder="1" applyAlignment="1">
      <alignment horizontal="left" vertical="top" wrapText="1"/>
    </xf>
    <xf numFmtId="0" fontId="9" fillId="0" borderId="3" xfId="0" applyFont="1" applyFill="1" applyBorder="1" applyAlignment="1">
      <alignment horizontal="center" vertical="center"/>
    </xf>
    <xf numFmtId="0" fontId="6" fillId="0" borderId="2" xfId="0" applyFont="1" applyFill="1" applyBorder="1" applyAlignment="1">
      <alignment vertical="top" wrapText="1"/>
    </xf>
    <xf numFmtId="0" fontId="6" fillId="0" borderId="9" xfId="0" applyFont="1" applyFill="1" applyBorder="1" applyAlignment="1">
      <alignment horizontal="center" vertical="center" wrapText="1"/>
    </xf>
    <xf numFmtId="0" fontId="6" fillId="0" borderId="31" xfId="0" applyFont="1" applyBorder="1"/>
    <xf numFmtId="0" fontId="0" fillId="0" borderId="23" xfId="0" applyBorder="1" applyAlignment="1">
      <alignment horizontal="center" vertical="center"/>
    </xf>
    <xf numFmtId="0" fontId="0" fillId="0" borderId="24" xfId="0" applyBorder="1" applyAlignment="1">
      <alignment horizontal="center" vertical="center" wrapText="1"/>
    </xf>
    <xf numFmtId="0" fontId="6" fillId="0" borderId="7" xfId="0" applyFont="1" applyFill="1" applyBorder="1" applyAlignment="1">
      <alignment horizontal="justify" vertical="top"/>
    </xf>
    <xf numFmtId="0" fontId="6" fillId="0" borderId="10" xfId="0" applyFont="1" applyFill="1" applyBorder="1" applyAlignment="1">
      <alignment horizontal="justify" vertical="top"/>
    </xf>
    <xf numFmtId="0" fontId="6" fillId="0" borderId="10" xfId="0" applyFont="1" applyBorder="1" applyAlignment="1">
      <alignment horizontal="justify" vertical="top"/>
    </xf>
    <xf numFmtId="0" fontId="5" fillId="3" borderId="5" xfId="0" applyFont="1" applyFill="1" applyBorder="1" applyAlignment="1">
      <alignment horizontal="center" vertical="center" wrapText="1"/>
    </xf>
    <xf numFmtId="0" fontId="5" fillId="0" borderId="0" xfId="0" applyFont="1" applyBorder="1" applyAlignment="1">
      <alignment vertical="top" wrapText="1"/>
    </xf>
    <xf numFmtId="0" fontId="9" fillId="0" borderId="24" xfId="0" applyFont="1" applyBorder="1" applyAlignment="1">
      <alignment horizontal="center" vertical="top"/>
    </xf>
    <xf numFmtId="0" fontId="7" fillId="2" borderId="7" xfId="0" applyFont="1" applyFill="1" applyBorder="1" applyAlignment="1">
      <alignment horizontal="left" vertical="top" wrapText="1"/>
    </xf>
    <xf numFmtId="0" fontId="5" fillId="2" borderId="1" xfId="0" applyFont="1" applyFill="1" applyBorder="1" applyAlignment="1">
      <alignment vertical="top" wrapText="1"/>
    </xf>
    <xf numFmtId="0" fontId="5" fillId="2" borderId="5" xfId="0" applyFont="1" applyFill="1" applyBorder="1" applyAlignment="1">
      <alignment horizontal="justify" vertical="top" wrapText="1"/>
    </xf>
    <xf numFmtId="0" fontId="5" fillId="0" borderId="5" xfId="0" applyFont="1" applyBorder="1" applyAlignment="1">
      <alignment horizontal="center" vertical="center"/>
    </xf>
    <xf numFmtId="0" fontId="5" fillId="0" borderId="1" xfId="0" applyFont="1" applyFill="1" applyBorder="1" applyAlignment="1">
      <alignment horizontal="justify" vertical="top"/>
    </xf>
    <xf numFmtId="0" fontId="0" fillId="0" borderId="42" xfId="0" applyBorder="1"/>
    <xf numFmtId="0" fontId="5" fillId="3" borderId="1" xfId="0" applyFont="1" applyFill="1" applyBorder="1" applyAlignment="1">
      <alignment horizontal="justify" vertical="top"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vertical="top" wrapText="1"/>
    </xf>
    <xf numFmtId="0" fontId="11" fillId="2" borderId="21" xfId="0" applyFont="1" applyFill="1" applyBorder="1" applyAlignment="1">
      <alignment horizontal="center" vertical="center" wrapText="1"/>
    </xf>
    <xf numFmtId="0" fontId="6" fillId="0" borderId="19" xfId="0" applyFont="1" applyBorder="1" applyAlignment="1">
      <alignment horizontal="center" vertical="center" wrapText="1"/>
    </xf>
    <xf numFmtId="0" fontId="7" fillId="0" borderId="1" xfId="0" applyFont="1" applyFill="1" applyBorder="1" applyAlignment="1">
      <alignment horizontal="left" vertical="top" wrapText="1"/>
    </xf>
    <xf numFmtId="0" fontId="6" fillId="0" borderId="1" xfId="0" applyFont="1" applyBorder="1" applyAlignment="1">
      <alignment vertical="top" wrapText="1"/>
    </xf>
    <xf numFmtId="0" fontId="6" fillId="0" borderId="31" xfId="0" applyFont="1" applyBorder="1" applyAlignment="1">
      <alignment horizontal="left"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20" xfId="0" applyFont="1" applyBorder="1" applyAlignment="1">
      <alignment horizontal="center" vertical="center"/>
    </xf>
    <xf numFmtId="3" fontId="5" fillId="3" borderId="7"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3" fontId="5" fillId="3" borderId="18" xfId="0" applyNumberFormat="1" applyFont="1" applyFill="1" applyBorder="1" applyAlignment="1">
      <alignment horizontal="center" vertical="center" wrapText="1"/>
    </xf>
    <xf numFmtId="3" fontId="5" fillId="3" borderId="10"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3" fontId="6" fillId="3" borderId="7"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3" fontId="7" fillId="3" borderId="7"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3" fontId="6" fillId="3" borderId="6"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3" fontId="6" fillId="3" borderId="10" xfId="0" applyNumberFormat="1"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3" borderId="0" xfId="0" applyFill="1"/>
    <xf numFmtId="0" fontId="7" fillId="0" borderId="1" xfId="0" applyFont="1" applyBorder="1" applyAlignment="1">
      <alignment vertical="top" wrapText="1"/>
    </xf>
    <xf numFmtId="3" fontId="7" fillId="3"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6" fillId="3" borderId="9"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2" fillId="0" borderId="7" xfId="0" applyFont="1" applyFill="1" applyBorder="1" applyAlignment="1">
      <alignment horizontal="left" vertical="top" wrapText="1"/>
    </xf>
    <xf numFmtId="0" fontId="6" fillId="0" borderId="10" xfId="0" applyFont="1" applyBorder="1" applyAlignment="1">
      <alignment horizontal="center" wrapText="1"/>
    </xf>
    <xf numFmtId="0" fontId="5" fillId="0" borderId="10" xfId="0" applyFont="1" applyBorder="1" applyAlignment="1">
      <alignment horizontal="center" vertical="center" wrapText="1"/>
    </xf>
    <xf numFmtId="0" fontId="6" fillId="0" borderId="5" xfId="0" applyFont="1" applyBorder="1" applyAlignment="1">
      <alignment horizontal="left" vertical="center" wrapText="1"/>
    </xf>
    <xf numFmtId="0" fontId="5" fillId="3" borderId="6"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9" fillId="0" borderId="12" xfId="0" applyFont="1" applyBorder="1" applyAlignment="1">
      <alignment horizontal="center" vertical="center" wrapText="1"/>
    </xf>
    <xf numFmtId="0" fontId="5" fillId="2" borderId="10" xfId="0" applyFont="1" applyFill="1" applyBorder="1" applyAlignment="1">
      <alignment horizontal="center" vertical="center" wrapText="1"/>
    </xf>
    <xf numFmtId="0" fontId="6" fillId="0" borderId="32" xfId="0" applyFont="1" applyBorder="1" applyAlignment="1">
      <alignment horizontal="center" vertical="center" wrapText="1"/>
    </xf>
    <xf numFmtId="0" fontId="7" fillId="3"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5" fillId="2" borderId="28" xfId="0" applyFont="1" applyFill="1" applyBorder="1" applyAlignment="1">
      <alignment vertical="center" wrapText="1"/>
    </xf>
    <xf numFmtId="0" fontId="6" fillId="0" borderId="9" xfId="0" applyFont="1" applyBorder="1" applyAlignment="1">
      <alignment horizontal="center" vertical="center" wrapText="1"/>
    </xf>
    <xf numFmtId="0" fontId="5" fillId="0" borderId="10" xfId="0" applyFont="1" applyBorder="1" applyAlignment="1">
      <alignment vertical="top" wrapText="1"/>
    </xf>
    <xf numFmtId="0" fontId="10" fillId="0" borderId="10" xfId="0" applyFont="1" applyBorder="1" applyAlignment="1">
      <alignment vertical="top" wrapText="1"/>
    </xf>
    <xf numFmtId="0" fontId="10" fillId="3" borderId="10" xfId="0" applyFont="1" applyFill="1" applyBorder="1" applyAlignment="1">
      <alignment horizontal="center" vertical="center" wrapText="1"/>
    </xf>
    <xf numFmtId="0" fontId="6" fillId="3" borderId="7" xfId="0" applyFont="1" applyFill="1" applyBorder="1" applyAlignment="1">
      <alignment horizontal="center" vertical="center"/>
    </xf>
    <xf numFmtId="0" fontId="9" fillId="0" borderId="13" xfId="0" applyFont="1" applyBorder="1" applyAlignment="1">
      <alignment horizontal="center" vertical="top"/>
    </xf>
    <xf numFmtId="0" fontId="6" fillId="0" borderId="16" xfId="0" applyFont="1" applyBorder="1" applyAlignment="1">
      <alignment horizontal="center" vertical="center" wrapText="1"/>
    </xf>
    <xf numFmtId="0" fontId="9" fillId="0" borderId="13" xfId="0" applyFont="1" applyFill="1" applyBorder="1" applyAlignment="1">
      <alignment horizontal="center" vertical="top"/>
    </xf>
    <xf numFmtId="0" fontId="12" fillId="0" borderId="5" xfId="0" applyFont="1" applyBorder="1" applyAlignment="1">
      <alignment horizontal="left" vertical="top"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6" fillId="3" borderId="10" xfId="0" applyFont="1" applyFill="1" applyBorder="1" applyAlignment="1">
      <alignment horizontal="center" vertical="center"/>
    </xf>
    <xf numFmtId="0" fontId="9" fillId="0" borderId="55" xfId="0" applyFont="1" applyBorder="1" applyAlignment="1">
      <alignment horizontal="center" vertical="center" wrapText="1"/>
    </xf>
    <xf numFmtId="0" fontId="6" fillId="0" borderId="6" xfId="0" applyFont="1" applyBorder="1" applyAlignment="1">
      <alignment horizontal="justify" vertical="top"/>
    </xf>
    <xf numFmtId="0" fontId="6" fillId="0" borderId="1" xfId="0" applyFont="1" applyBorder="1" applyAlignment="1">
      <alignment horizontal="center" vertical="center" wrapText="1"/>
    </xf>
    <xf numFmtId="3" fontId="27" fillId="0" borderId="0" xfId="0" applyNumberFormat="1" applyFont="1"/>
    <xf numFmtId="3" fontId="6" fillId="3" borderId="5"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2" borderId="5" xfId="0"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0" borderId="4" xfId="0" applyFont="1" applyFill="1" applyBorder="1" applyAlignment="1">
      <alignment horizontal="center" vertical="center" wrapText="1"/>
    </xf>
    <xf numFmtId="3" fontId="7" fillId="3" borderId="4"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0" borderId="22" xfId="0" applyFont="1" applyBorder="1" applyAlignment="1">
      <alignment horizontal="center" vertical="center" wrapText="1"/>
    </xf>
    <xf numFmtId="3" fontId="6" fillId="3" borderId="22" xfId="0" applyNumberFormat="1" applyFont="1" applyFill="1" applyBorder="1" applyAlignment="1">
      <alignment horizontal="center" vertical="center" wrapText="1"/>
    </xf>
    <xf numFmtId="0" fontId="6" fillId="3" borderId="22" xfId="0" applyFont="1" applyFill="1" applyBorder="1" applyAlignment="1">
      <alignment horizontal="center" vertical="center" wrapText="1"/>
    </xf>
    <xf numFmtId="0" fontId="9" fillId="5" borderId="39" xfId="0" applyFont="1" applyFill="1" applyBorder="1" applyAlignment="1">
      <alignment horizontal="center" vertical="top"/>
    </xf>
    <xf numFmtId="0" fontId="9" fillId="5" borderId="0" xfId="0" applyFont="1" applyFill="1" applyBorder="1" applyAlignment="1"/>
    <xf numFmtId="0" fontId="9" fillId="5" borderId="23" xfId="0" applyFont="1" applyFill="1" applyBorder="1" applyAlignment="1"/>
    <xf numFmtId="0" fontId="9" fillId="5" borderId="24" xfId="0" applyFont="1" applyFill="1" applyBorder="1"/>
    <xf numFmtId="0" fontId="6" fillId="5" borderId="37" xfId="0" applyFont="1" applyFill="1" applyBorder="1" applyAlignment="1">
      <alignment horizontal="center" vertical="top"/>
    </xf>
    <xf numFmtId="0" fontId="9" fillId="5" borderId="26" xfId="0" applyFont="1" applyFill="1" applyBorder="1" applyAlignment="1"/>
    <xf numFmtId="0" fontId="9" fillId="5" borderId="30" xfId="0" applyFont="1" applyFill="1" applyBorder="1" applyAlignment="1"/>
    <xf numFmtId="0" fontId="6" fillId="5" borderId="31" xfId="0" applyFont="1" applyFill="1" applyBorder="1"/>
    <xf numFmtId="0" fontId="6" fillId="5" borderId="28" xfId="0" applyFont="1" applyFill="1" applyBorder="1"/>
    <xf numFmtId="0" fontId="9" fillId="5" borderId="25" xfId="0" applyFont="1" applyFill="1" applyBorder="1" applyAlignment="1">
      <alignment vertical="top"/>
    </xf>
    <xf numFmtId="0" fontId="0" fillId="5" borderId="38" xfId="0" applyFill="1" applyBorder="1" applyAlignment="1">
      <alignment horizontal="center" vertical="top"/>
    </xf>
    <xf numFmtId="0" fontId="7" fillId="5" borderId="24" xfId="0" applyFont="1" applyFill="1" applyBorder="1" applyAlignment="1">
      <alignment horizontal="justify" vertical="top" wrapText="1"/>
    </xf>
    <xf numFmtId="0" fontId="9" fillId="5" borderId="30" xfId="0" applyFont="1" applyFill="1" applyBorder="1"/>
    <xf numFmtId="0" fontId="9" fillId="5" borderId="47" xfId="0" applyFont="1" applyFill="1" applyBorder="1" applyAlignment="1">
      <alignment horizontal="center" vertical="top"/>
    </xf>
    <xf numFmtId="0" fontId="9" fillId="5" borderId="28" xfId="0" applyFont="1" applyFill="1" applyBorder="1" applyAlignment="1"/>
    <xf numFmtId="0" fontId="13" fillId="3" borderId="0" xfId="0" applyFont="1" applyFill="1" applyBorder="1" applyAlignment="1">
      <alignment vertical="center" wrapText="1"/>
    </xf>
    <xf numFmtId="0" fontId="1" fillId="3" borderId="0" xfId="0" applyFont="1" applyFill="1" applyBorder="1" applyAlignment="1">
      <alignment horizontal="center" vertical="center" wrapText="1"/>
    </xf>
    <xf numFmtId="0" fontId="9" fillId="5" borderId="28" xfId="0" applyFont="1" applyFill="1" applyBorder="1"/>
    <xf numFmtId="0" fontId="1" fillId="3" borderId="0" xfId="0" applyFont="1" applyFill="1" applyBorder="1"/>
    <xf numFmtId="3" fontId="27" fillId="3" borderId="0" xfId="0" applyNumberFormat="1" applyFont="1" applyFill="1"/>
    <xf numFmtId="0" fontId="3" fillId="0" borderId="1" xfId="0" applyFont="1" applyBorder="1" applyAlignment="1">
      <alignment horizontal="center" vertical="center" wrapText="1"/>
    </xf>
    <xf numFmtId="0" fontId="9" fillId="3" borderId="24" xfId="0" applyFont="1" applyFill="1" applyBorder="1" applyAlignment="1">
      <alignment vertical="top"/>
    </xf>
    <xf numFmtId="3" fontId="29" fillId="3" borderId="24" xfId="0" applyNumberFormat="1" applyFont="1" applyFill="1" applyBorder="1" applyAlignment="1">
      <alignment horizontal="center" vertical="center"/>
    </xf>
    <xf numFmtId="0" fontId="5" fillId="3"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34"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xf>
    <xf numFmtId="0" fontId="7" fillId="2" borderId="15"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6" fillId="0" borderId="20" xfId="0" applyFont="1" applyBorder="1" applyAlignment="1">
      <alignment horizontal="center" vertical="center" wrapText="1"/>
    </xf>
    <xf numFmtId="0" fontId="0" fillId="0" borderId="32" xfId="0"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center" vertical="center"/>
    </xf>
    <xf numFmtId="0" fontId="3" fillId="0" borderId="7" xfId="0" applyFont="1" applyBorder="1" applyAlignment="1">
      <alignment horizontal="center" vertical="center" wrapText="1"/>
    </xf>
    <xf numFmtId="0" fontId="9" fillId="0" borderId="25" xfId="0" applyFont="1" applyBorder="1" applyAlignment="1">
      <alignment vertical="center" wrapText="1"/>
    </xf>
    <xf numFmtId="0" fontId="5" fillId="0" borderId="5" xfId="0" applyFont="1" applyFill="1" applyBorder="1" applyAlignment="1">
      <alignment horizontal="center" vertical="center" wrapText="1"/>
    </xf>
    <xf numFmtId="0" fontId="6" fillId="0" borderId="24" xfId="0" applyFont="1" applyBorder="1" applyAlignment="1">
      <alignment vertical="center"/>
    </xf>
    <xf numFmtId="0" fontId="0" fillId="0" borderId="25" xfId="0" applyBorder="1" applyAlignment="1">
      <alignment vertical="center"/>
    </xf>
    <xf numFmtId="0" fontId="23" fillId="0" borderId="1" xfId="0" applyFont="1" applyFill="1" applyBorder="1" applyAlignment="1">
      <alignment horizontal="left" wrapText="1"/>
    </xf>
    <xf numFmtId="0" fontId="32" fillId="0" borderId="0" xfId="0" applyFont="1"/>
    <xf numFmtId="0" fontId="34" fillId="4" borderId="1"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17" xfId="0" applyFont="1" applyFill="1" applyBorder="1" applyAlignment="1">
      <alignment horizontal="left" vertical="center" wrapText="1"/>
    </xf>
    <xf numFmtId="0" fontId="36" fillId="2" borderId="17"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33" fillId="0" borderId="0" xfId="0" applyFont="1"/>
    <xf numFmtId="0" fontId="38" fillId="4" borderId="1"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17" xfId="0" applyFont="1" applyFill="1" applyBorder="1" applyAlignment="1">
      <alignment horizontal="left" vertical="center" wrapText="1"/>
    </xf>
    <xf numFmtId="3" fontId="33" fillId="0" borderId="1" xfId="0" applyNumberFormat="1" applyFont="1" applyBorder="1" applyAlignment="1">
      <alignment horizontal="center" vertical="center" wrapText="1"/>
    </xf>
    <xf numFmtId="0" fontId="33" fillId="0" borderId="1" xfId="0" applyFont="1" applyBorder="1" applyAlignment="1">
      <alignment horizontal="center" vertical="center" wrapText="1"/>
    </xf>
    <xf numFmtId="3" fontId="39" fillId="0" borderId="1" xfId="0" applyNumberFormat="1" applyFont="1" applyBorder="1" applyAlignment="1">
      <alignment horizontal="center" vertical="center" wrapText="1"/>
    </xf>
    <xf numFmtId="0" fontId="41" fillId="2" borderId="17" xfId="0" applyFont="1" applyFill="1" applyBorder="1" applyAlignment="1">
      <alignment horizontal="center" vertical="center" wrapText="1"/>
    </xf>
    <xf numFmtId="0" fontId="38" fillId="2" borderId="17" xfId="0" applyFont="1" applyFill="1" applyBorder="1" applyAlignment="1">
      <alignment horizontal="center" vertical="center" wrapText="1"/>
    </xf>
    <xf numFmtId="0" fontId="44" fillId="0" borderId="0" xfId="4" applyFont="1"/>
    <xf numFmtId="0" fontId="45" fillId="0" borderId="0" xfId="4" applyFont="1" applyAlignment="1">
      <alignment wrapText="1"/>
    </xf>
    <xf numFmtId="0" fontId="46" fillId="0" borderId="0" xfId="8" applyFont="1" applyAlignment="1">
      <alignment horizontal="left" vertical="center" wrapText="1"/>
    </xf>
    <xf numFmtId="0" fontId="47" fillId="0" borderId="0" xfId="8" applyFont="1"/>
    <xf numFmtId="0" fontId="48" fillId="0" borderId="0" xfId="8" applyFont="1" applyAlignment="1">
      <alignment vertical="center"/>
    </xf>
    <xf numFmtId="3" fontId="47" fillId="0" borderId="0" xfId="4" applyNumberFormat="1" applyFont="1" applyAlignment="1">
      <alignment vertical="center" wrapText="1"/>
    </xf>
    <xf numFmtId="0" fontId="49" fillId="0" borderId="0" xfId="4" applyFont="1" applyAlignment="1">
      <alignment vertical="center" wrapText="1"/>
    </xf>
    <xf numFmtId="0" fontId="44" fillId="0" borderId="0" xfId="4" applyFont="1" applyAlignment="1">
      <alignment horizontal="center" vertical="center" wrapText="1"/>
    </xf>
    <xf numFmtId="0" fontId="47" fillId="0" borderId="1" xfId="8" applyFont="1" applyBorder="1" applyAlignment="1">
      <alignment horizontal="center" vertical="center"/>
    </xf>
    <xf numFmtId="0" fontId="47" fillId="0" borderId="1" xfId="8" applyFont="1" applyBorder="1" applyAlignment="1">
      <alignment horizontal="center" vertical="center" wrapText="1"/>
    </xf>
    <xf numFmtId="3" fontId="47" fillId="0" borderId="0" xfId="4" applyNumberFormat="1" applyFont="1" applyAlignment="1">
      <alignment horizontal="center" vertical="center" wrapText="1"/>
    </xf>
    <xf numFmtId="3" fontId="47" fillId="0" borderId="0" xfId="0" applyNumberFormat="1" applyFont="1" applyAlignment="1">
      <alignment horizontal="center" vertical="center" wrapText="1"/>
    </xf>
    <xf numFmtId="0" fontId="44" fillId="0" borderId="0" xfId="0" applyFont="1" applyAlignment="1">
      <alignment horizontal="center" vertical="center" wrapText="1"/>
    </xf>
    <xf numFmtId="3" fontId="47" fillId="0" borderId="1" xfId="8" applyNumberFormat="1" applyFont="1" applyBorder="1" applyAlignment="1">
      <alignment horizontal="left" wrapText="1"/>
    </xf>
    <xf numFmtId="4" fontId="48" fillId="3" borderId="1" xfId="8" applyNumberFormat="1" applyFont="1" applyFill="1" applyBorder="1" applyAlignment="1">
      <alignment horizontal="center" vertical="center"/>
    </xf>
    <xf numFmtId="3" fontId="47" fillId="0" borderId="1" xfId="8" applyNumberFormat="1" applyFont="1" applyBorder="1" applyAlignment="1">
      <alignment horizontal="center" vertical="center"/>
    </xf>
    <xf numFmtId="3" fontId="47" fillId="0" borderId="0" xfId="8" applyNumberFormat="1" applyFont="1" applyAlignment="1">
      <alignment horizontal="right"/>
    </xf>
    <xf numFmtId="3" fontId="50" fillId="0" borderId="0" xfId="8" applyNumberFormat="1" applyFont="1" applyAlignment="1">
      <alignment horizontal="right"/>
    </xf>
    <xf numFmtId="3" fontId="44" fillId="0" borderId="0" xfId="4" applyNumberFormat="1" applyFont="1" applyAlignment="1">
      <alignment horizontal="right" wrapText="1"/>
    </xf>
    <xf numFmtId="0" fontId="48" fillId="0" borderId="0" xfId="4" applyFont="1" applyAlignment="1">
      <alignment horizontal="right"/>
    </xf>
    <xf numFmtId="3" fontId="45" fillId="0" borderId="0" xfId="4" applyNumberFormat="1" applyFont="1"/>
    <xf numFmtId="0" fontId="46" fillId="4" borderId="1" xfId="0" applyFont="1" applyFill="1" applyBorder="1" applyAlignment="1">
      <alignment horizontal="center" vertical="center" wrapText="1"/>
    </xf>
    <xf numFmtId="0" fontId="51" fillId="0" borderId="1" xfId="0" applyFont="1" applyBorder="1" applyAlignment="1">
      <alignment horizontal="left" vertical="center" wrapText="1"/>
    </xf>
    <xf numFmtId="3" fontId="51" fillId="0" borderId="1" xfId="0" applyNumberFormat="1" applyFont="1" applyBorder="1" applyAlignment="1">
      <alignment horizontal="center" vertical="center" wrapText="1"/>
    </xf>
    <xf numFmtId="3" fontId="44" fillId="0" borderId="0" xfId="0" applyNumberFormat="1" applyFont="1"/>
    <xf numFmtId="0" fontId="44" fillId="0" borderId="0" xfId="0" applyFont="1"/>
    <xf numFmtId="0" fontId="48" fillId="3" borderId="1" xfId="0" applyFont="1" applyFill="1" applyBorder="1" applyAlignment="1">
      <alignment horizontal="left" vertical="center" wrapText="1"/>
    </xf>
    <xf numFmtId="0" fontId="44" fillId="3" borderId="1" xfId="0" applyFont="1" applyFill="1" applyBorder="1" applyAlignment="1">
      <alignment horizontal="left" vertical="center" wrapText="1"/>
    </xf>
    <xf numFmtId="0" fontId="44" fillId="3" borderId="1" xfId="0" applyFont="1" applyFill="1" applyBorder="1" applyAlignment="1">
      <alignment horizontal="left" wrapText="1"/>
    </xf>
    <xf numFmtId="3" fontId="45" fillId="3" borderId="1" xfId="0" applyNumberFormat="1" applyFont="1" applyFill="1" applyBorder="1" applyAlignment="1">
      <alignment horizontal="center" vertical="center" wrapText="1"/>
    </xf>
    <xf numFmtId="1" fontId="44" fillId="3" borderId="1" xfId="0" applyNumberFormat="1" applyFont="1" applyFill="1" applyBorder="1" applyAlignment="1">
      <alignment horizontal="left"/>
    </xf>
    <xf numFmtId="3" fontId="44" fillId="3" borderId="1" xfId="0" applyNumberFormat="1" applyFont="1" applyFill="1" applyBorder="1" applyAlignment="1">
      <alignment horizontal="center" vertical="center" wrapText="1"/>
    </xf>
    <xf numFmtId="0" fontId="44" fillId="3" borderId="1" xfId="0" applyFont="1" applyFill="1" applyBorder="1" applyAlignment="1">
      <alignment horizontal="left" vertical="top" wrapText="1"/>
    </xf>
    <xf numFmtId="0" fontId="44" fillId="3" borderId="1" xfId="0" applyFont="1" applyFill="1" applyBorder="1" applyAlignment="1">
      <alignment horizontal="left"/>
    </xf>
    <xf numFmtId="3" fontId="45" fillId="6" borderId="1" xfId="0" applyNumberFormat="1"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1" xfId="0" applyFont="1" applyBorder="1" applyAlignment="1">
      <alignment horizontal="center" vertical="center"/>
    </xf>
    <xf numFmtId="1" fontId="33" fillId="0" borderId="1" xfId="0" applyNumberFormat="1" applyFont="1" applyBorder="1" applyAlignment="1">
      <alignment horizontal="center" vertical="center"/>
    </xf>
    <xf numFmtId="1" fontId="39" fillId="6" borderId="1" xfId="0" applyNumberFormat="1" applyFont="1" applyFill="1" applyBorder="1" applyAlignment="1">
      <alignment horizontal="center" vertical="center"/>
    </xf>
    <xf numFmtId="0" fontId="38" fillId="4" borderId="1" xfId="50" applyFont="1" applyFill="1" applyBorder="1" applyAlignment="1">
      <alignment horizontal="center" vertical="center" wrapText="1"/>
    </xf>
    <xf numFmtId="0" fontId="39" fillId="4" borderId="1" xfId="50" applyFont="1" applyFill="1" applyBorder="1" applyAlignment="1">
      <alignment horizontal="center" vertical="center" wrapText="1"/>
    </xf>
    <xf numFmtId="0" fontId="52" fillId="4" borderId="1" xfId="50" applyFont="1" applyFill="1" applyBorder="1" applyAlignment="1">
      <alignment horizontal="center" vertical="center" wrapText="1"/>
    </xf>
    <xf numFmtId="0" fontId="54" fillId="0" borderId="1" xfId="50" applyFont="1" applyBorder="1" applyAlignment="1">
      <alignment vertical="center" wrapText="1"/>
    </xf>
    <xf numFmtId="0" fontId="33" fillId="3" borderId="1" xfId="50" applyFont="1" applyFill="1" applyBorder="1" applyAlignment="1">
      <alignment horizontal="center" vertical="center"/>
    </xf>
    <xf numFmtId="0" fontId="33" fillId="0" borderId="1" xfId="50" applyFont="1" applyBorder="1" applyAlignment="1">
      <alignment horizontal="center" vertical="center"/>
    </xf>
    <xf numFmtId="4" fontId="33" fillId="0" borderId="1" xfId="50" applyNumberFormat="1" applyFont="1" applyBorder="1" applyAlignment="1">
      <alignment horizontal="center" vertical="center" wrapText="1"/>
    </xf>
    <xf numFmtId="4" fontId="33" fillId="0" borderId="1" xfId="50" applyNumberFormat="1" applyFont="1" applyBorder="1" applyAlignment="1">
      <alignment horizontal="center" vertical="center"/>
    </xf>
    <xf numFmtId="0" fontId="54" fillId="0" borderId="1" xfId="50" applyFont="1" applyBorder="1" applyAlignment="1">
      <alignment vertical="center"/>
    </xf>
    <xf numFmtId="0" fontId="54" fillId="3" borderId="1" xfId="50" applyFont="1" applyFill="1" applyBorder="1" applyAlignment="1">
      <alignment horizontal="center" vertical="center"/>
    </xf>
    <xf numFmtId="49" fontId="54" fillId="3" borderId="1" xfId="50" applyNumberFormat="1" applyFont="1" applyFill="1" applyBorder="1" applyAlignment="1">
      <alignment horizontal="center" vertical="center"/>
    </xf>
    <xf numFmtId="0" fontId="54" fillId="0" borderId="0" xfId="50" applyFont="1"/>
    <xf numFmtId="0" fontId="33" fillId="0" borderId="0" xfId="50" applyFont="1"/>
    <xf numFmtId="0" fontId="39" fillId="0" borderId="1" xfId="50" applyFont="1" applyBorder="1" applyAlignment="1">
      <alignment horizontal="right"/>
    </xf>
    <xf numFmtId="4" fontId="39" fillId="0" borderId="1" xfId="50" applyNumberFormat="1" applyFont="1" applyBorder="1" applyAlignment="1">
      <alignment horizontal="center"/>
    </xf>
    <xf numFmtId="0" fontId="39" fillId="0" borderId="0" xfId="50" applyFont="1"/>
    <xf numFmtId="0" fontId="54" fillId="3" borderId="1" xfId="50" applyFont="1" applyFill="1" applyBorder="1" applyAlignment="1">
      <alignment vertical="center"/>
    </xf>
    <xf numFmtId="0" fontId="52" fillId="0" borderId="1" xfId="50" applyFont="1" applyBorder="1" applyAlignment="1">
      <alignment horizontal="right"/>
    </xf>
    <xf numFmtId="4" fontId="39" fillId="0" borderId="1" xfId="50" applyNumberFormat="1" applyFont="1" applyBorder="1" applyAlignment="1">
      <alignment horizontal="center" vertical="center"/>
    </xf>
    <xf numFmtId="4" fontId="39" fillId="6" borderId="1" xfId="50" applyNumberFormat="1" applyFont="1" applyFill="1" applyBorder="1" applyAlignment="1">
      <alignment horizontal="center" vertical="center"/>
    </xf>
    <xf numFmtId="3" fontId="39" fillId="0" borderId="0" xfId="0" applyNumberFormat="1" applyFont="1"/>
    <xf numFmtId="0" fontId="33" fillId="0" borderId="0" xfId="0" applyFont="1" applyAlignment="1">
      <alignment wrapText="1"/>
    </xf>
    <xf numFmtId="0" fontId="33" fillId="0" borderId="0" xfId="0" applyFont="1" applyAlignment="1">
      <alignment horizontal="center" wrapText="1"/>
    </xf>
    <xf numFmtId="3" fontId="33" fillId="0" borderId="0" xfId="0" applyNumberFormat="1" applyFont="1" applyAlignment="1">
      <alignment horizontal="center" vertical="center" wrapText="1"/>
    </xf>
    <xf numFmtId="3" fontId="39" fillId="6" borderId="1" xfId="0" applyNumberFormat="1" applyFont="1" applyFill="1" applyBorder="1" applyAlignment="1">
      <alignment horizontal="center" vertical="center" wrapText="1"/>
    </xf>
    <xf numFmtId="0" fontId="33" fillId="0" borderId="0" xfId="0" applyFont="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wrapText="1"/>
    </xf>
    <xf numFmtId="4" fontId="39" fillId="0" borderId="0" xfId="0" applyNumberFormat="1" applyFont="1" applyAlignment="1">
      <alignment horizontal="center" wrapText="1"/>
    </xf>
    <xf numFmtId="0" fontId="55" fillId="0" borderId="0" xfId="0" applyFont="1" applyAlignment="1">
      <alignment wrapText="1"/>
    </xf>
    <xf numFmtId="3" fontId="33" fillId="0" borderId="0" xfId="0" applyNumberFormat="1" applyFont="1" applyAlignment="1">
      <alignment wrapText="1"/>
    </xf>
    <xf numFmtId="3" fontId="39" fillId="0" borderId="0" xfId="0" applyNumberFormat="1" applyFont="1" applyAlignment="1">
      <alignment wrapText="1"/>
    </xf>
    <xf numFmtId="3" fontId="33" fillId="0" borderId="0" xfId="0" applyNumberFormat="1" applyFont="1"/>
    <xf numFmtId="0" fontId="39" fillId="0" borderId="0" xfId="0" applyFont="1" applyAlignment="1">
      <alignment horizontal="right"/>
    </xf>
    <xf numFmtId="0" fontId="56" fillId="0" borderId="0" xfId="0" applyFont="1"/>
    <xf numFmtId="0" fontId="52" fillId="4" borderId="1" xfId="0" applyFont="1" applyFill="1" applyBorder="1" applyAlignment="1">
      <alignment horizontal="center" vertical="center" wrapText="1"/>
    </xf>
    <xf numFmtId="0" fontId="39" fillId="4" borderId="1" xfId="0" applyFont="1" applyFill="1" applyBorder="1" applyAlignment="1">
      <alignment horizontal="center" vertical="center"/>
    </xf>
    <xf numFmtId="0" fontId="33" fillId="0" borderId="1" xfId="0" applyFont="1" applyBorder="1"/>
    <xf numFmtId="0" fontId="33" fillId="0" borderId="1" xfId="0" applyFont="1" applyBorder="1" applyAlignment="1">
      <alignment wrapText="1"/>
    </xf>
    <xf numFmtId="0" fontId="52" fillId="0" borderId="1" xfId="0" applyFont="1" applyBorder="1" applyAlignment="1">
      <alignment horizontal="center" vertical="center"/>
    </xf>
    <xf numFmtId="0" fontId="33" fillId="6" borderId="1" xfId="0" applyFont="1" applyFill="1" applyBorder="1"/>
    <xf numFmtId="0" fontId="33" fillId="6" borderId="1" xfId="0" applyFont="1" applyFill="1" applyBorder="1" applyAlignment="1">
      <alignment horizontal="center" vertical="center" wrapText="1"/>
    </xf>
    <xf numFmtId="0" fontId="57" fillId="0" borderId="1" xfId="0" applyFont="1" applyBorder="1"/>
    <xf numFmtId="1" fontId="33" fillId="0" borderId="1" xfId="0" applyNumberFormat="1" applyFont="1" applyBorder="1"/>
    <xf numFmtId="1" fontId="53" fillId="0" borderId="1" xfId="0" applyNumberFormat="1" applyFont="1" applyBorder="1"/>
    <xf numFmtId="0" fontId="57" fillId="0" borderId="0" xfId="0" applyFont="1"/>
    <xf numFmtId="1" fontId="33" fillId="0" borderId="0" xfId="0" applyNumberFormat="1" applyFont="1"/>
    <xf numFmtId="0" fontId="41" fillId="6" borderId="1" xfId="0" applyFont="1" applyFill="1" applyBorder="1" applyAlignment="1">
      <alignment horizontal="center" vertical="center" wrapText="1"/>
    </xf>
    <xf numFmtId="0" fontId="53" fillId="6" borderId="1" xfId="0" applyFont="1" applyFill="1" applyBorder="1" applyAlignment="1">
      <alignment horizontal="center" vertical="center" wrapText="1"/>
    </xf>
    <xf numFmtId="0" fontId="53" fillId="0" borderId="1" xfId="0" applyFont="1" applyBorder="1" applyAlignment="1">
      <alignment horizontal="center" vertical="center"/>
    </xf>
    <xf numFmtId="0" fontId="58" fillId="0" borderId="1" xfId="0" applyFont="1" applyBorder="1" applyAlignment="1">
      <alignment wrapText="1"/>
    </xf>
    <xf numFmtId="0" fontId="58" fillId="0" borderId="0" xfId="0" applyFont="1"/>
    <xf numFmtId="0" fontId="58" fillId="0" borderId="1" xfId="0" applyFont="1" applyBorder="1" applyAlignment="1">
      <alignment horizontal="center" vertical="center" wrapText="1"/>
    </xf>
    <xf numFmtId="0" fontId="45" fillId="0" borderId="0" xfId="0" applyFont="1"/>
    <xf numFmtId="0" fontId="59" fillId="0" borderId="0" xfId="0" applyFont="1"/>
    <xf numFmtId="0" fontId="59" fillId="0" borderId="0" xfId="0" applyFont="1" applyAlignment="1">
      <alignment horizontal="center" vertical="center"/>
    </xf>
    <xf numFmtId="0" fontId="59" fillId="0" borderId="0" xfId="0" applyFont="1" applyAlignment="1">
      <alignment horizontal="right" vertical="center"/>
    </xf>
    <xf numFmtId="0" fontId="47" fillId="0" borderId="1" xfId="67" applyFont="1" applyBorder="1" applyAlignment="1">
      <alignment horizontal="left" vertical="center" wrapText="1"/>
    </xf>
    <xf numFmtId="3" fontId="47" fillId="0" borderId="1" xfId="67" applyNumberFormat="1" applyFont="1" applyBorder="1" applyAlignment="1">
      <alignment horizontal="center" vertical="center" wrapText="1"/>
    </xf>
    <xf numFmtId="0" fontId="47" fillId="8" borderId="1" xfId="0" applyFont="1" applyFill="1" applyBorder="1"/>
    <xf numFmtId="165" fontId="47" fillId="8" borderId="1" xfId="65" applyNumberFormat="1" applyFont="1" applyFill="1" applyBorder="1" applyAlignment="1">
      <alignment horizontal="center" vertical="center"/>
    </xf>
    <xf numFmtId="0" fontId="47" fillId="7" borderId="1" xfId="0" applyFont="1" applyFill="1" applyBorder="1" applyAlignment="1">
      <alignment horizontal="right"/>
    </xf>
    <xf numFmtId="165" fontId="47" fillId="7" borderId="1" xfId="65" applyNumberFormat="1" applyFont="1" applyFill="1" applyBorder="1" applyAlignment="1">
      <alignment horizontal="right" vertical="center"/>
    </xf>
    <xf numFmtId="0" fontId="47" fillId="0" borderId="1" xfId="0" applyFont="1" applyBorder="1" applyAlignment="1">
      <alignment horizontal="right" wrapText="1"/>
    </xf>
    <xf numFmtId="165" fontId="47" fillId="0" borderId="1" xfId="65" applyNumberFormat="1" applyFont="1" applyBorder="1" applyAlignment="1">
      <alignment horizontal="right" vertical="center"/>
    </xf>
    <xf numFmtId="165" fontId="47" fillId="0" borderId="1" xfId="65" applyNumberFormat="1" applyFont="1" applyFill="1" applyBorder="1" applyAlignment="1">
      <alignment horizontal="right" vertical="center"/>
    </xf>
    <xf numFmtId="0" fontId="47" fillId="7" borderId="1" xfId="0" applyFont="1" applyFill="1" applyBorder="1" applyAlignment="1">
      <alignment horizontal="right" vertical="top" wrapText="1"/>
    </xf>
    <xf numFmtId="165" fontId="48" fillId="0" borderId="1" xfId="65" applyNumberFormat="1" applyFont="1" applyFill="1" applyBorder="1" applyAlignment="1">
      <alignment horizontal="center" vertical="center"/>
    </xf>
    <xf numFmtId="0" fontId="60" fillId="0" borderId="0" xfId="0" applyFont="1" applyAlignment="1">
      <alignment horizontal="center"/>
    </xf>
    <xf numFmtId="165" fontId="59" fillId="0" borderId="0" xfId="0" applyNumberFormat="1" applyFont="1"/>
    <xf numFmtId="165" fontId="48" fillId="0" borderId="1" xfId="65" applyNumberFormat="1"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0" xfId="0" applyFont="1" applyAlignment="1">
      <alignment horizontal="center"/>
    </xf>
    <xf numFmtId="3" fontId="59" fillId="0" borderId="0" xfId="0" applyNumberFormat="1" applyFont="1"/>
    <xf numFmtId="3" fontId="44" fillId="0" borderId="1" xfId="0" applyNumberFormat="1" applyFont="1" applyBorder="1" applyAlignment="1">
      <alignment horizontal="center" vertical="center" wrapText="1"/>
    </xf>
    <xf numFmtId="0" fontId="44" fillId="0" borderId="1" xfId="0" applyFont="1" applyBorder="1" applyAlignment="1">
      <alignment vertical="center" wrapText="1"/>
    </xf>
    <xf numFmtId="0" fontId="59" fillId="0" borderId="0" xfId="0" applyFont="1" applyAlignment="1">
      <alignment horizontal="right"/>
    </xf>
    <xf numFmtId="0" fontId="59" fillId="0" borderId="0" xfId="0" applyFont="1" applyAlignment="1">
      <alignment wrapText="1"/>
    </xf>
    <xf numFmtId="0" fontId="47" fillId="0" borderId="0" xfId="0" applyFont="1"/>
    <xf numFmtId="0" fontId="52" fillId="4" borderId="1" xfId="67" applyFont="1" applyFill="1" applyBorder="1" applyAlignment="1">
      <alignment horizontal="left" vertical="center" wrapText="1"/>
    </xf>
    <xf numFmtId="3" fontId="52" fillId="4" borderId="1" xfId="67" applyNumberFormat="1" applyFont="1" applyFill="1" applyBorder="1" applyAlignment="1">
      <alignment horizontal="center" vertical="center" wrapText="1"/>
    </xf>
    <xf numFmtId="3" fontId="39" fillId="5" borderId="1" xfId="0" applyNumberFormat="1" applyFont="1" applyFill="1" applyBorder="1" applyAlignment="1">
      <alignment horizontal="center" vertical="center" wrapText="1"/>
    </xf>
    <xf numFmtId="0" fontId="32" fillId="0" borderId="0" xfId="1" applyFont="1" applyAlignment="1">
      <alignment horizontal="center" vertical="center" wrapText="1"/>
    </xf>
    <xf numFmtId="0" fontId="62" fillId="0" borderId="0" xfId="1" applyFont="1" applyAlignment="1">
      <alignment horizontal="center" vertical="center" wrapText="1"/>
    </xf>
    <xf numFmtId="1" fontId="32" fillId="0" borderId="0" xfId="1" applyNumberFormat="1" applyFont="1" applyAlignment="1">
      <alignment horizontal="center" vertical="center" wrapText="1"/>
    </xf>
    <xf numFmtId="44" fontId="62" fillId="9" borderId="0" xfId="1" applyNumberFormat="1" applyFont="1" applyFill="1" applyAlignment="1">
      <alignment horizontal="center" vertical="center" wrapText="1"/>
    </xf>
    <xf numFmtId="0" fontId="32" fillId="3" borderId="1" xfId="17" applyFont="1" applyFill="1" applyBorder="1" applyAlignment="1">
      <alignment horizontal="center" vertical="center" wrapText="1"/>
    </xf>
    <xf numFmtId="0" fontId="32" fillId="0" borderId="1" xfId="1" applyFont="1" applyBorder="1" applyAlignment="1">
      <alignment horizontal="center" vertical="center" wrapText="1"/>
    </xf>
    <xf numFmtId="1" fontId="32" fillId="0" borderId="1" xfId="1" applyNumberFormat="1" applyFont="1" applyBorder="1" applyAlignment="1">
      <alignment horizontal="center" vertical="center" wrapText="1"/>
    </xf>
    <xf numFmtId="0" fontId="32" fillId="0" borderId="1" xfId="1" applyFont="1" applyBorder="1" applyAlignment="1">
      <alignment horizontal="left" vertical="center" wrapText="1"/>
    </xf>
    <xf numFmtId="0" fontId="32" fillId="4" borderId="1" xfId="1" applyFont="1" applyFill="1" applyBorder="1" applyAlignment="1">
      <alignment horizontal="center" vertical="center" wrapText="1"/>
    </xf>
    <xf numFmtId="164" fontId="62" fillId="4" borderId="1" xfId="44" applyFont="1" applyFill="1" applyBorder="1" applyAlignment="1">
      <alignment horizontal="center" vertical="center" wrapText="1"/>
    </xf>
    <xf numFmtId="2" fontId="32" fillId="0" borderId="1" xfId="1" applyNumberFormat="1" applyFont="1" applyBorder="1" applyAlignment="1">
      <alignment horizontal="center" vertical="center" wrapText="1"/>
    </xf>
    <xf numFmtId="0" fontId="62" fillId="4" borderId="1" xfId="1" applyFont="1" applyFill="1" applyBorder="1" applyAlignment="1">
      <alignment horizontal="center" vertical="center" wrapText="1"/>
    </xf>
    <xf numFmtId="0" fontId="32" fillId="3" borderId="1" xfId="1" applyFont="1" applyFill="1" applyBorder="1" applyAlignment="1">
      <alignment horizontal="center" vertical="center" wrapText="1"/>
    </xf>
    <xf numFmtId="0" fontId="32" fillId="3" borderId="1" xfId="1" applyFont="1" applyFill="1" applyBorder="1" applyAlignment="1">
      <alignment horizontal="center" vertical="center"/>
    </xf>
    <xf numFmtId="0" fontId="32" fillId="3" borderId="1" xfId="1" applyFont="1" applyFill="1" applyBorder="1" applyAlignment="1">
      <alignment vertical="center"/>
    </xf>
    <xf numFmtId="0" fontId="32" fillId="4" borderId="1" xfId="1" applyFont="1" applyFill="1" applyBorder="1" applyAlignment="1">
      <alignment horizontal="center" vertical="center"/>
    </xf>
    <xf numFmtId="44" fontId="32" fillId="4" borderId="1" xfId="1" applyNumberFormat="1" applyFont="1" applyFill="1" applyBorder="1" applyAlignment="1">
      <alignment horizontal="center" vertical="center" wrapText="1"/>
    </xf>
    <xf numFmtId="166" fontId="62" fillId="4" borderId="1" xfId="1" applyNumberFormat="1" applyFont="1" applyFill="1" applyBorder="1" applyAlignment="1">
      <alignment horizontal="center" vertical="center" wrapText="1"/>
    </xf>
    <xf numFmtId="0" fontId="47" fillId="4" borderId="1" xfId="0" applyFont="1" applyFill="1" applyBorder="1"/>
    <xf numFmtId="0" fontId="48" fillId="4" borderId="1" xfId="0" applyFont="1" applyFill="1" applyBorder="1" applyAlignment="1">
      <alignment horizontal="center" vertical="center"/>
    </xf>
    <xf numFmtId="0" fontId="48" fillId="0" borderId="0" xfId="0" applyFont="1" applyAlignment="1">
      <alignment horizontal="center" vertical="center"/>
    </xf>
    <xf numFmtId="0" fontId="48" fillId="4" borderId="1" xfId="0" applyFont="1" applyFill="1" applyBorder="1" applyAlignment="1">
      <alignment horizontal="center" vertical="center" wrapText="1"/>
    </xf>
    <xf numFmtId="0" fontId="48" fillId="0" borderId="1" xfId="0" applyFont="1" applyBorder="1"/>
    <xf numFmtId="0" fontId="47" fillId="0" borderId="1" xfId="0" applyFont="1" applyBorder="1"/>
    <xf numFmtId="4" fontId="47" fillId="0" borderId="1" xfId="0" applyNumberFormat="1" applyFont="1" applyBorder="1"/>
    <xf numFmtId="4" fontId="48" fillId="3" borderId="1" xfId="0" applyNumberFormat="1" applyFont="1" applyFill="1" applyBorder="1"/>
    <xf numFmtId="4" fontId="48" fillId="3" borderId="0" xfId="0" applyNumberFormat="1" applyFont="1" applyFill="1"/>
    <xf numFmtId="4" fontId="48" fillId="6" borderId="1" xfId="0" applyNumberFormat="1" applyFont="1" applyFill="1" applyBorder="1" applyAlignment="1">
      <alignment horizontal="center"/>
    </xf>
    <xf numFmtId="4" fontId="47" fillId="0" borderId="1" xfId="0" applyNumberFormat="1" applyFont="1" applyBorder="1" applyAlignment="1">
      <alignment horizontal="center" vertical="center"/>
    </xf>
    <xf numFmtId="4" fontId="48" fillId="6" borderId="1" xfId="0" applyNumberFormat="1" applyFont="1" applyFill="1" applyBorder="1" applyAlignment="1">
      <alignment horizontal="center" vertical="center"/>
    </xf>
    <xf numFmtId="0" fontId="47" fillId="0" borderId="0" xfId="0" applyFont="1" applyAlignment="1">
      <alignment horizontal="right"/>
    </xf>
    <xf numFmtId="0" fontId="33" fillId="0" borderId="0" xfId="0" applyFont="1" applyAlignment="1">
      <alignment horizontal="center" vertical="center"/>
    </xf>
    <xf numFmtId="0" fontId="39" fillId="3" borderId="1" xfId="0" applyFont="1" applyFill="1" applyBorder="1" applyAlignment="1">
      <alignment horizontal="center" vertical="center"/>
    </xf>
    <xf numFmtId="0" fontId="33" fillId="3" borderId="1" xfId="0" applyFont="1" applyFill="1" applyBorder="1" applyAlignment="1">
      <alignment horizontal="center" vertical="center"/>
    </xf>
    <xf numFmtId="0" fontId="33" fillId="3" borderId="1" xfId="0" applyFont="1" applyFill="1" applyBorder="1"/>
    <xf numFmtId="0" fontId="33" fillId="4" borderId="0" xfId="0" applyFont="1" applyFill="1"/>
    <xf numFmtId="168" fontId="33" fillId="4" borderId="0" xfId="0" applyNumberFormat="1" applyFont="1" applyFill="1"/>
    <xf numFmtId="0" fontId="39" fillId="4" borderId="0" xfId="0" applyFont="1" applyFill="1"/>
    <xf numFmtId="168" fontId="39" fillId="4" borderId="0" xfId="0" applyNumberFormat="1" applyFont="1" applyFill="1"/>
    <xf numFmtId="168" fontId="33" fillId="4" borderId="0" xfId="44" applyNumberFormat="1" applyFont="1" applyFill="1"/>
    <xf numFmtId="168" fontId="39" fillId="0" borderId="1" xfId="0" applyNumberFormat="1" applyFont="1" applyBorder="1"/>
    <xf numFmtId="0" fontId="33" fillId="3" borderId="1" xfId="0" applyFont="1" applyFill="1" applyBorder="1" applyAlignment="1">
      <alignment horizontal="right"/>
    </xf>
    <xf numFmtId="0" fontId="39" fillId="3" borderId="1" xfId="0" applyFont="1" applyFill="1" applyBorder="1" applyAlignment="1">
      <alignment horizontal="right"/>
    </xf>
    <xf numFmtId="3" fontId="39" fillId="3" borderId="1" xfId="0" applyNumberFormat="1" applyFont="1" applyFill="1" applyBorder="1" applyAlignment="1">
      <alignment horizontal="center" vertical="center"/>
    </xf>
    <xf numFmtId="0" fontId="66" fillId="3" borderId="1" xfId="0" applyFont="1" applyFill="1" applyBorder="1" applyAlignment="1">
      <alignment horizontal="right"/>
    </xf>
    <xf numFmtId="0" fontId="66" fillId="3" borderId="1" xfId="0" applyFont="1" applyFill="1" applyBorder="1"/>
    <xf numFmtId="168" fontId="39" fillId="3" borderId="1" xfId="44" applyNumberFormat="1" applyFont="1" applyFill="1" applyBorder="1"/>
    <xf numFmtId="0" fontId="39" fillId="3" borderId="1" xfId="0" applyFont="1" applyFill="1" applyBorder="1"/>
    <xf numFmtId="168" fontId="33" fillId="3" borderId="1" xfId="0" applyNumberFormat="1" applyFont="1" applyFill="1" applyBorder="1"/>
    <xf numFmtId="0" fontId="33" fillId="3" borderId="1" xfId="0" applyFont="1" applyFill="1" applyBorder="1" applyAlignment="1">
      <alignment horizontal="center" vertical="center" wrapText="1"/>
    </xf>
    <xf numFmtId="3" fontId="33" fillId="3" borderId="1" xfId="0" applyNumberFormat="1" applyFont="1" applyFill="1" applyBorder="1" applyAlignment="1">
      <alignment horizontal="center" vertical="center"/>
    </xf>
    <xf numFmtId="0" fontId="66" fillId="3" borderId="1" xfId="0" applyFont="1" applyFill="1" applyBorder="1" applyAlignment="1">
      <alignment horizontal="center" vertical="center"/>
    </xf>
    <xf numFmtId="0" fontId="33" fillId="4" borderId="1" xfId="0" applyFont="1" applyFill="1" applyBorder="1"/>
    <xf numFmtId="0" fontId="6" fillId="0" borderId="17" xfId="0" applyFont="1" applyFill="1" applyBorder="1" applyAlignment="1">
      <alignment vertical="top" wrapText="1"/>
    </xf>
    <xf numFmtId="2" fontId="3" fillId="3" borderId="1" xfId="48" applyNumberFormat="1" applyFont="1" applyFill="1" applyBorder="1" applyAlignment="1" applyProtection="1">
      <alignment horizontal="center" vertical="center" wrapText="1"/>
      <protection locked="0"/>
    </xf>
    <xf numFmtId="0" fontId="44" fillId="0" borderId="0" xfId="7" applyFont="1"/>
    <xf numFmtId="0" fontId="44" fillId="0" borderId="0" xfId="7" applyFont="1" applyAlignment="1">
      <alignment horizontal="right"/>
    </xf>
    <xf numFmtId="0" fontId="44" fillId="0" borderId="1" xfId="7" applyFont="1" applyBorder="1" applyAlignment="1">
      <alignment horizontal="center" vertical="center" wrapText="1"/>
    </xf>
    <xf numFmtId="0" fontId="44" fillId="0" borderId="0" xfId="7" applyFont="1" applyAlignment="1">
      <alignment vertical="center" wrapText="1"/>
    </xf>
    <xf numFmtId="0" fontId="44" fillId="3" borderId="1" xfId="7" applyFont="1" applyFill="1" applyBorder="1" applyAlignment="1">
      <alignment horizontal="center" vertical="center" wrapText="1"/>
    </xf>
    <xf numFmtId="0" fontId="44" fillId="0" borderId="1" xfId="7" applyFont="1" applyBorder="1" applyAlignment="1">
      <alignment horizontal="center" vertical="center"/>
    </xf>
    <xf numFmtId="0" fontId="44" fillId="0" borderId="1" xfId="7" applyFont="1" applyBorder="1"/>
    <xf numFmtId="0" fontId="47" fillId="0" borderId="1" xfId="70" applyFont="1" applyBorder="1" applyAlignment="1" applyProtection="1">
      <alignment horizontal="center" vertical="top" wrapText="1"/>
      <protection locked="0"/>
    </xf>
    <xf numFmtId="49" fontId="47" fillId="0" borderId="62" xfId="48" applyNumberFormat="1" applyFont="1" applyBorder="1" applyAlignment="1">
      <alignment vertical="center" wrapText="1"/>
    </xf>
    <xf numFmtId="0" fontId="47" fillId="0" borderId="1" xfId="48" applyFont="1" applyBorder="1" applyAlignment="1" applyProtection="1">
      <alignment horizontal="center" vertical="center" wrapText="1"/>
      <protection locked="0"/>
    </xf>
    <xf numFmtId="2" fontId="47" fillId="0" borderId="1" xfId="7" applyNumberFormat="1" applyFont="1" applyBorder="1" applyAlignment="1" applyProtection="1">
      <alignment horizontal="center" vertical="center" wrapText="1"/>
      <protection locked="0"/>
    </xf>
    <xf numFmtId="2" fontId="47" fillId="3" borderId="1" xfId="48" applyNumberFormat="1" applyFont="1" applyFill="1" applyBorder="1" applyAlignment="1" applyProtection="1">
      <alignment horizontal="center" vertical="center" wrapText="1"/>
      <protection locked="0"/>
    </xf>
    <xf numFmtId="2" fontId="47" fillId="0" borderId="1" xfId="48" applyNumberFormat="1" applyFont="1" applyBorder="1" applyAlignment="1" applyProtection="1">
      <alignment horizontal="center" vertical="center" wrapText="1"/>
      <protection locked="0"/>
    </xf>
    <xf numFmtId="0" fontId="44" fillId="0" borderId="0" xfId="7" applyFont="1" applyAlignment="1">
      <alignment horizontal="left"/>
    </xf>
    <xf numFmtId="0" fontId="51" fillId="0" borderId="0" xfId="7" applyFont="1" applyAlignment="1">
      <alignment vertical="center"/>
    </xf>
    <xf numFmtId="0" fontId="44" fillId="0" borderId="1" xfId="7" applyFont="1" applyBorder="1" applyAlignment="1">
      <alignment horizontal="right"/>
    </xf>
    <xf numFmtId="0" fontId="45" fillId="5" borderId="1" xfId="7" applyFont="1" applyFill="1" applyBorder="1"/>
    <xf numFmtId="0" fontId="44" fillId="4" borderId="1" xfId="7" applyFont="1" applyFill="1" applyBorder="1"/>
    <xf numFmtId="0" fontId="45" fillId="4" borderId="1" xfId="7" applyFont="1" applyFill="1" applyBorder="1" applyAlignment="1">
      <alignment horizontal="center" vertical="center" wrapText="1"/>
    </xf>
    <xf numFmtId="0" fontId="44" fillId="3" borderId="1" xfId="7" applyFont="1" applyFill="1" applyBorder="1" applyAlignment="1">
      <alignment horizontal="right"/>
    </xf>
    <xf numFmtId="0" fontId="44" fillId="3" borderId="1" xfId="7" applyFont="1" applyFill="1" applyBorder="1"/>
    <xf numFmtId="169" fontId="47" fillId="3" borderId="1" xfId="70" applyNumberFormat="1" applyFont="1" applyFill="1" applyBorder="1" applyAlignment="1" applyProtection="1">
      <alignment horizontal="left" wrapText="1"/>
      <protection locked="0"/>
    </xf>
    <xf numFmtId="49" fontId="47" fillId="3" borderId="1" xfId="48" applyNumberFormat="1" applyFont="1" applyFill="1" applyBorder="1" applyAlignment="1">
      <alignment horizontal="left" wrapText="1"/>
    </xf>
    <xf numFmtId="0" fontId="47" fillId="3" borderId="1" xfId="7" applyFont="1" applyFill="1" applyBorder="1" applyAlignment="1" applyProtection="1">
      <alignment horizontal="center" vertical="center" wrapText="1"/>
      <protection locked="0"/>
    </xf>
    <xf numFmtId="2" fontId="47" fillId="3" borderId="1" xfId="7" applyNumberFormat="1" applyFont="1" applyFill="1" applyBorder="1" applyAlignment="1" applyProtection="1">
      <alignment horizontal="center" vertical="center" wrapText="1"/>
      <protection locked="0"/>
    </xf>
    <xf numFmtId="0" fontId="44" fillId="3" borderId="1" xfId="7" applyFont="1" applyFill="1" applyBorder="1" applyAlignment="1">
      <alignment horizontal="left"/>
    </xf>
    <xf numFmtId="0" fontId="44" fillId="3" borderId="0" xfId="7" applyFont="1" applyFill="1" applyBorder="1" applyAlignment="1">
      <alignment horizontal="left"/>
    </xf>
    <xf numFmtId="0" fontId="44" fillId="0" borderId="0" xfId="7" applyFont="1" applyAlignment="1">
      <alignment horizontal="center" vertical="center" wrapText="1"/>
    </xf>
    <xf numFmtId="2" fontId="45" fillId="0" borderId="1" xfId="7" applyNumberFormat="1" applyFont="1" applyBorder="1" applyAlignment="1">
      <alignment horizontal="center" vertical="center" wrapText="1"/>
    </xf>
    <xf numFmtId="2" fontId="48" fillId="0" borderId="1" xfId="48" applyNumberFormat="1" applyFont="1" applyBorder="1" applyAlignment="1" applyProtection="1">
      <alignment horizontal="center" vertical="center" wrapText="1"/>
      <protection locked="0"/>
    </xf>
    <xf numFmtId="2" fontId="44" fillId="0" borderId="1" xfId="7" applyNumberFormat="1" applyFont="1" applyBorder="1" applyAlignment="1">
      <alignment horizontal="center" vertical="center" wrapText="1"/>
    </xf>
    <xf numFmtId="2" fontId="44" fillId="3" borderId="1" xfId="7" applyNumberFormat="1" applyFont="1" applyFill="1" applyBorder="1" applyAlignment="1">
      <alignment horizontal="center" vertical="center" wrapText="1"/>
    </xf>
    <xf numFmtId="2" fontId="45" fillId="3" borderId="1" xfId="7" applyNumberFormat="1" applyFont="1" applyFill="1" applyBorder="1" applyAlignment="1">
      <alignment horizontal="center" vertical="center" wrapText="1"/>
    </xf>
    <xf numFmtId="0" fontId="44" fillId="4" borderId="1" xfId="7" applyFont="1" applyFill="1" applyBorder="1" applyAlignment="1">
      <alignment horizontal="center" vertical="center" wrapText="1"/>
    </xf>
    <xf numFmtId="0" fontId="44" fillId="4" borderId="1" xfId="8" applyFont="1" applyFill="1" applyBorder="1" applyAlignment="1">
      <alignment horizontal="center" vertical="center" wrapText="1"/>
    </xf>
    <xf numFmtId="0" fontId="54" fillId="0" borderId="0" xfId="3" applyFont="1"/>
    <xf numFmtId="0" fontId="54" fillId="0" borderId="1" xfId="3" applyFont="1" applyBorder="1"/>
    <xf numFmtId="0" fontId="52" fillId="0" borderId="1" xfId="3" applyFont="1" applyBorder="1"/>
    <xf numFmtId="3" fontId="54" fillId="0" borderId="1" xfId="3" applyNumberFormat="1" applyFont="1" applyBorder="1"/>
    <xf numFmtId="3" fontId="54" fillId="0" borderId="0" xfId="3" applyNumberFormat="1" applyFont="1"/>
    <xf numFmtId="0" fontId="54" fillId="0" borderId="0" xfId="3" applyFont="1" applyAlignment="1">
      <alignment vertical="center"/>
    </xf>
    <xf numFmtId="0" fontId="54" fillId="0" borderId="0" xfId="3" applyFont="1" applyAlignment="1">
      <alignment horizontal="center" vertical="center"/>
    </xf>
    <xf numFmtId="1" fontId="54" fillId="0" borderId="0" xfId="3" applyNumberFormat="1" applyFont="1" applyAlignment="1">
      <alignment horizontal="center" vertical="center"/>
    </xf>
    <xf numFmtId="0" fontId="54" fillId="0" borderId="1" xfId="3" applyFont="1" applyBorder="1" applyAlignment="1">
      <alignment horizontal="left" vertical="center" wrapText="1"/>
    </xf>
    <xf numFmtId="3" fontId="54" fillId="0" borderId="1" xfId="3" applyNumberFormat="1" applyFont="1" applyBorder="1" applyAlignment="1">
      <alignment horizontal="left" vertical="center" wrapText="1"/>
    </xf>
    <xf numFmtId="0" fontId="54" fillId="4" borderId="0" xfId="3" applyFont="1" applyFill="1"/>
    <xf numFmtId="3" fontId="39" fillId="3" borderId="0" xfId="3" applyNumberFormat="1" applyFont="1" applyFill="1" applyAlignment="1">
      <alignment horizontal="center" vertical="center"/>
    </xf>
    <xf numFmtId="3" fontId="39" fillId="4" borderId="0" xfId="3" applyNumberFormat="1" applyFont="1" applyFill="1" applyAlignment="1">
      <alignment horizontal="center" vertical="center"/>
    </xf>
    <xf numFmtId="0" fontId="41" fillId="0" borderId="1" xfId="3" applyFont="1" applyBorder="1" applyAlignment="1">
      <alignment horizontal="center" vertical="center"/>
    </xf>
    <xf numFmtId="0" fontId="41" fillId="0" borderId="1" xfId="3" applyFont="1" applyBorder="1" applyAlignment="1">
      <alignment vertical="center" wrapText="1"/>
    </xf>
    <xf numFmtId="0" fontId="54" fillId="0" borderId="1" xfId="3" applyFont="1" applyBorder="1" applyAlignment="1">
      <alignment horizontal="center" vertical="center"/>
    </xf>
    <xf numFmtId="3" fontId="54" fillId="0" borderId="1" xfId="3" applyNumberFormat="1" applyFont="1" applyBorder="1" applyAlignment="1">
      <alignment horizontal="center" vertical="center"/>
    </xf>
    <xf numFmtId="0" fontId="52" fillId="4" borderId="1" xfId="3" applyFont="1" applyFill="1" applyBorder="1" applyAlignment="1">
      <alignment horizontal="center" vertical="center" wrapText="1"/>
    </xf>
    <xf numFmtId="170" fontId="52" fillId="5" borderId="1" xfId="3" applyNumberFormat="1" applyFont="1" applyFill="1" applyBorder="1" applyAlignment="1">
      <alignment horizontal="center" vertical="center"/>
    </xf>
    <xf numFmtId="3" fontId="54" fillId="0" borderId="2" xfId="3" applyNumberFormat="1" applyFont="1" applyBorder="1" applyAlignment="1">
      <alignment horizontal="center" vertical="top"/>
    </xf>
    <xf numFmtId="0" fontId="54" fillId="0" borderId="1" xfId="3" applyFont="1" applyBorder="1" applyAlignment="1">
      <alignment horizontal="center" vertical="top"/>
    </xf>
    <xf numFmtId="0" fontId="54" fillId="0" borderId="3" xfId="3" applyFont="1" applyBorder="1" applyAlignment="1">
      <alignment horizontal="center" vertical="top"/>
    </xf>
    <xf numFmtId="2" fontId="54" fillId="0" borderId="1" xfId="3" applyNumberFormat="1" applyFont="1" applyBorder="1" applyAlignment="1">
      <alignment horizontal="center" vertical="top"/>
    </xf>
    <xf numFmtId="43" fontId="54" fillId="0" borderId="1" xfId="3" applyNumberFormat="1" applyFont="1" applyBorder="1" applyAlignment="1">
      <alignment horizontal="center" vertical="top"/>
    </xf>
    <xf numFmtId="0" fontId="54" fillId="4" borderId="1" xfId="3" applyFont="1" applyFill="1" applyBorder="1"/>
    <xf numFmtId="0" fontId="54" fillId="4" borderId="1" xfId="3" applyFont="1" applyFill="1" applyBorder="1" applyAlignment="1">
      <alignment horizontal="center" vertical="center"/>
    </xf>
    <xf numFmtId="0" fontId="54" fillId="4" borderId="5" xfId="3" applyFont="1" applyFill="1" applyBorder="1" applyAlignment="1">
      <alignment horizontal="center" vertical="center" wrapText="1"/>
    </xf>
    <xf numFmtId="0" fontId="54" fillId="4" borderId="1" xfId="3" applyFont="1" applyFill="1" applyBorder="1" applyAlignment="1">
      <alignment horizontal="center" vertical="center" wrapText="1"/>
    </xf>
    <xf numFmtId="0" fontId="38" fillId="4" borderId="1" xfId="3" applyFont="1" applyFill="1" applyBorder="1" applyAlignment="1">
      <alignment horizontal="center" vertical="center" wrapText="1"/>
    </xf>
    <xf numFmtId="0" fontId="33" fillId="4" borderId="1" xfId="3" applyFont="1" applyFill="1" applyBorder="1" applyAlignment="1">
      <alignment horizontal="center" vertical="center" wrapText="1"/>
    </xf>
    <xf numFmtId="0" fontId="54" fillId="0" borderId="1" xfId="3" applyFont="1" applyBorder="1" applyAlignment="1">
      <alignment vertical="top"/>
    </xf>
    <xf numFmtId="0" fontId="63" fillId="0" borderId="1" xfId="0" applyFont="1" applyBorder="1" applyAlignment="1">
      <alignment horizontal="center" vertical="center" wrapText="1"/>
    </xf>
    <xf numFmtId="0" fontId="63" fillId="3" borderId="1" xfId="0" applyFont="1" applyFill="1" applyBorder="1" applyAlignment="1">
      <alignment horizontal="center" vertical="center" wrapText="1"/>
    </xf>
    <xf numFmtId="2" fontId="33" fillId="0" borderId="1" xfId="56" applyNumberFormat="1" applyFont="1" applyBorder="1" applyAlignment="1">
      <alignment horizontal="center" vertical="center" wrapText="1"/>
    </xf>
    <xf numFmtId="0" fontId="54" fillId="0" borderId="0" xfId="4" applyFont="1"/>
    <xf numFmtId="0" fontId="54" fillId="3" borderId="0" xfId="4" applyFont="1" applyFill="1"/>
    <xf numFmtId="0" fontId="54" fillId="3" borderId="1" xfId="4" applyFont="1" applyFill="1" applyBorder="1"/>
    <xf numFmtId="49" fontId="33" fillId="0" borderId="1" xfId="9" applyNumberFormat="1" applyFont="1" applyBorder="1" applyAlignment="1">
      <alignment horizontal="center" vertical="center"/>
    </xf>
    <xf numFmtId="49" fontId="54" fillId="3" borderId="1" xfId="48" applyNumberFormat="1" applyFont="1" applyFill="1" applyBorder="1" applyAlignment="1">
      <alignment horizontal="center" vertical="center" wrapText="1"/>
    </xf>
    <xf numFmtId="2" fontId="33" fillId="3" borderId="17" xfId="0" applyNumberFormat="1" applyFont="1" applyFill="1" applyBorder="1" applyAlignment="1">
      <alignment horizontal="center" vertical="center" wrapText="1"/>
    </xf>
    <xf numFmtId="2" fontId="33" fillId="3" borderId="6" xfId="0" applyNumberFormat="1" applyFont="1" applyFill="1" applyBorder="1" applyAlignment="1">
      <alignment horizontal="center" vertical="center" wrapText="1"/>
    </xf>
    <xf numFmtId="0" fontId="33" fillId="3" borderId="6" xfId="0" applyFont="1" applyFill="1" applyBorder="1" applyAlignment="1">
      <alignment horizontal="center" vertical="center" wrapText="1"/>
    </xf>
    <xf numFmtId="43" fontId="54" fillId="3" borderId="6" xfId="47" applyFont="1" applyFill="1" applyBorder="1" applyAlignment="1">
      <alignment horizontal="center" vertical="center" wrapText="1"/>
    </xf>
    <xf numFmtId="3" fontId="54" fillId="3" borderId="6" xfId="0" applyNumberFormat="1" applyFont="1" applyFill="1" applyBorder="1" applyAlignment="1">
      <alignment horizontal="center" vertical="center" wrapText="1"/>
    </xf>
    <xf numFmtId="3" fontId="33" fillId="3" borderId="6" xfId="0" applyNumberFormat="1" applyFont="1" applyFill="1" applyBorder="1" applyAlignment="1">
      <alignment horizontal="center" vertical="center" wrapText="1"/>
    </xf>
    <xf numFmtId="3" fontId="33" fillId="3" borderId="6" xfId="0" applyNumberFormat="1" applyFont="1" applyFill="1" applyBorder="1" applyAlignment="1">
      <alignment horizontal="left" vertical="center" wrapText="1"/>
    </xf>
    <xf numFmtId="49" fontId="41" fillId="3" borderId="1" xfId="48" applyNumberFormat="1" applyFont="1" applyFill="1" applyBorder="1" applyAlignment="1">
      <alignment horizontal="center" vertical="center" wrapText="1"/>
    </xf>
    <xf numFmtId="3" fontId="54" fillId="3" borderId="6" xfId="0" applyNumberFormat="1" applyFont="1" applyFill="1" applyBorder="1" applyAlignment="1">
      <alignment horizontal="left" vertical="center" wrapText="1"/>
    </xf>
    <xf numFmtId="165" fontId="52" fillId="6" borderId="1" xfId="47" applyNumberFormat="1" applyFont="1" applyFill="1" applyBorder="1" applyAlignment="1">
      <alignment horizontal="center" vertical="center" wrapText="1"/>
    </xf>
    <xf numFmtId="43" fontId="52" fillId="6" borderId="6" xfId="47" applyFont="1" applyFill="1" applyBorder="1" applyAlignment="1">
      <alignment horizontal="center" vertical="center" wrapText="1"/>
    </xf>
    <xf numFmtId="49" fontId="54" fillId="0" borderId="1" xfId="9" applyNumberFormat="1" applyFont="1" applyBorder="1" applyAlignment="1">
      <alignment vertical="center" wrapText="1"/>
    </xf>
    <xf numFmtId="2" fontId="54" fillId="0" borderId="1" xfId="61" applyNumberFormat="1" applyFont="1" applyBorder="1" applyAlignment="1" applyProtection="1">
      <alignment horizontal="center" vertical="center" wrapText="1"/>
      <protection locked="0"/>
    </xf>
    <xf numFmtId="2" fontId="33" fillId="3" borderId="1" xfId="62" applyNumberFormat="1" applyFont="1" applyFill="1" applyBorder="1" applyAlignment="1">
      <alignment horizontal="center" vertical="center" wrapText="1"/>
    </xf>
    <xf numFmtId="2" fontId="33" fillId="3" borderId="1" xfId="0" applyNumberFormat="1" applyFont="1" applyFill="1" applyBorder="1" applyAlignment="1">
      <alignment horizontal="center" vertical="center" wrapText="1"/>
    </xf>
    <xf numFmtId="2" fontId="54" fillId="3" borderId="1" xfId="0" applyNumberFormat="1" applyFont="1" applyFill="1" applyBorder="1" applyAlignment="1">
      <alignment horizontal="center" vertical="center" wrapText="1"/>
    </xf>
    <xf numFmtId="4" fontId="33" fillId="3" borderId="1" xfId="0" applyNumberFormat="1" applyFont="1" applyFill="1" applyBorder="1" applyAlignment="1">
      <alignment horizontal="center" vertical="center" wrapText="1"/>
    </xf>
    <xf numFmtId="2" fontId="33" fillId="0" borderId="1" xfId="0" applyNumberFormat="1" applyFont="1" applyBorder="1" applyAlignment="1">
      <alignment horizontal="center" vertical="center" wrapText="1"/>
    </xf>
    <xf numFmtId="0" fontId="33" fillId="3" borderId="1" xfId="58" applyFont="1" applyFill="1" applyBorder="1"/>
    <xf numFmtId="0" fontId="33" fillId="0" borderId="1" xfId="0" applyFont="1" applyBorder="1" applyAlignment="1">
      <alignment vertical="center" wrapText="1"/>
    </xf>
    <xf numFmtId="4" fontId="33" fillId="0" borderId="1" xfId="0" applyNumberFormat="1" applyFont="1" applyBorder="1" applyAlignment="1">
      <alignment horizontal="center" vertical="center" wrapText="1"/>
    </xf>
    <xf numFmtId="3" fontId="33" fillId="4" borderId="3" xfId="0" applyNumberFormat="1" applyFont="1" applyFill="1" applyBorder="1" applyAlignment="1">
      <alignment horizontal="center" vertical="center" wrapText="1"/>
    </xf>
    <xf numFmtId="3" fontId="33" fillId="4" borderId="1" xfId="0" applyNumberFormat="1" applyFont="1" applyFill="1" applyBorder="1" applyAlignment="1">
      <alignment horizontal="center" vertical="center" wrapText="1"/>
    </xf>
    <xf numFmtId="0" fontId="52" fillId="3" borderId="1" xfId="4" applyFont="1" applyFill="1" applyBorder="1" applyAlignment="1">
      <alignment horizontal="right"/>
    </xf>
    <xf numFmtId="165" fontId="39" fillId="3" borderId="1" xfId="47" applyNumberFormat="1" applyFont="1" applyFill="1" applyBorder="1"/>
    <xf numFmtId="165" fontId="52" fillId="3" borderId="1" xfId="47" applyNumberFormat="1" applyFont="1" applyFill="1" applyBorder="1" applyAlignment="1">
      <alignment horizontal="center" vertical="center"/>
    </xf>
    <xf numFmtId="165" fontId="54" fillId="3" borderId="1" xfId="4" applyNumberFormat="1" applyFont="1" applyFill="1" applyBorder="1"/>
    <xf numFmtId="10" fontId="52" fillId="3" borderId="1" xfId="4" applyNumberFormat="1" applyFont="1" applyFill="1" applyBorder="1" applyAlignment="1">
      <alignment horizontal="right"/>
    </xf>
    <xf numFmtId="0" fontId="52" fillId="3" borderId="1" xfId="4" applyFont="1" applyFill="1" applyBorder="1" applyAlignment="1">
      <alignment horizontal="center" vertical="center"/>
    </xf>
    <xf numFmtId="9" fontId="52" fillId="3" borderId="1" xfId="4" applyNumberFormat="1" applyFont="1" applyFill="1" applyBorder="1" applyAlignment="1">
      <alignment horizontal="center" vertical="center"/>
    </xf>
    <xf numFmtId="0" fontId="54" fillId="4" borderId="1" xfId="0" applyFont="1" applyFill="1" applyBorder="1" applyAlignment="1">
      <alignment horizontal="center" vertical="center" wrapText="1"/>
    </xf>
    <xf numFmtId="0" fontId="54" fillId="4" borderId="5" xfId="0" applyFont="1" applyFill="1" applyBorder="1" applyAlignment="1">
      <alignment horizontal="center" vertical="center" wrapText="1"/>
    </xf>
    <xf numFmtId="43" fontId="54" fillId="0" borderId="0" xfId="4" applyNumberFormat="1" applyFont="1"/>
    <xf numFmtId="165" fontId="54" fillId="0" borderId="0" xfId="4" applyNumberFormat="1" applyFont="1"/>
    <xf numFmtId="165" fontId="33" fillId="0" borderId="0" xfId="0" applyNumberFormat="1" applyFont="1"/>
    <xf numFmtId="169" fontId="54" fillId="0" borderId="1" xfId="70" applyNumberFormat="1" applyFont="1" applyBorder="1" applyAlignment="1" applyProtection="1">
      <alignment horizontal="center" vertical="center" wrapText="1"/>
      <protection locked="0"/>
    </xf>
    <xf numFmtId="0" fontId="54" fillId="0" borderId="1" xfId="70" applyFont="1" applyBorder="1" applyAlignment="1" applyProtection="1">
      <alignment horizontal="center" vertical="center" wrapText="1"/>
      <protection locked="0"/>
    </xf>
    <xf numFmtId="43" fontId="33" fillId="3" borderId="6" xfId="49" applyFont="1" applyFill="1" applyBorder="1" applyAlignment="1">
      <alignment horizontal="center" vertical="center" wrapText="1"/>
    </xf>
    <xf numFmtId="9" fontId="33" fillId="3" borderId="1" xfId="0" applyNumberFormat="1" applyFont="1" applyFill="1" applyBorder="1" applyAlignment="1">
      <alignment horizontal="center" vertical="center" wrapText="1"/>
    </xf>
    <xf numFmtId="43" fontId="54" fillId="3" borderId="6" xfId="49" applyFont="1" applyFill="1" applyBorder="1" applyAlignment="1">
      <alignment horizontal="center" vertical="center" wrapText="1"/>
    </xf>
    <xf numFmtId="3" fontId="54" fillId="3" borderId="17" xfId="0" applyNumberFormat="1" applyFont="1" applyFill="1" applyBorder="1" applyAlignment="1">
      <alignment horizontal="center" vertical="center" wrapText="1"/>
    </xf>
    <xf numFmtId="43" fontId="52" fillId="5" borderId="1" xfId="49" applyFont="1" applyFill="1" applyBorder="1" applyAlignment="1">
      <alignment horizontal="center" vertical="center" wrapText="1"/>
    </xf>
    <xf numFmtId="43" fontId="52" fillId="3" borderId="1" xfId="49" applyFont="1" applyFill="1" applyBorder="1" applyAlignment="1">
      <alignment horizontal="center" vertical="center" wrapText="1"/>
    </xf>
    <xf numFmtId="0" fontId="33" fillId="3" borderId="1" xfId="9" applyFont="1" applyFill="1" applyBorder="1" applyAlignment="1">
      <alignment horizontal="center" vertical="center" wrapText="1"/>
    </xf>
    <xf numFmtId="0" fontId="33" fillId="0" borderId="1" xfId="9" applyFont="1" applyBorder="1" applyAlignment="1">
      <alignment horizontal="left" vertical="center" wrapText="1"/>
    </xf>
    <xf numFmtId="2" fontId="33" fillId="3" borderId="1" xfId="9" applyNumberFormat="1" applyFont="1" applyFill="1" applyBorder="1" applyAlignment="1">
      <alignment horizontal="center" vertical="center"/>
    </xf>
    <xf numFmtId="2" fontId="33" fillId="3" borderId="1" xfId="9" applyNumberFormat="1" applyFont="1" applyFill="1" applyBorder="1" applyAlignment="1">
      <alignment horizontal="center" vertical="center" wrapText="1"/>
    </xf>
    <xf numFmtId="9" fontId="54" fillId="3" borderId="1" xfId="2" applyFont="1" applyFill="1" applyBorder="1" applyAlignment="1">
      <alignment horizontal="center" vertical="center" wrapText="1"/>
    </xf>
    <xf numFmtId="3" fontId="54" fillId="3" borderId="1" xfId="9" applyNumberFormat="1" applyFont="1" applyFill="1" applyBorder="1" applyAlignment="1">
      <alignment horizontal="center" vertical="center" wrapText="1"/>
    </xf>
    <xf numFmtId="3" fontId="33" fillId="3" borderId="1" xfId="9" applyNumberFormat="1" applyFont="1" applyFill="1" applyBorder="1" applyAlignment="1">
      <alignment horizontal="center" vertical="center" wrapText="1"/>
    </xf>
    <xf numFmtId="3" fontId="33" fillId="3" borderId="1" xfId="9" applyNumberFormat="1" applyFont="1" applyFill="1" applyBorder="1" applyAlignment="1">
      <alignment horizontal="left" vertical="center" wrapText="1"/>
    </xf>
    <xf numFmtId="2" fontId="39" fillId="3" borderId="1" xfId="0" applyNumberFormat="1" applyFont="1" applyFill="1" applyBorder="1" applyAlignment="1">
      <alignment vertical="center" wrapText="1"/>
    </xf>
    <xf numFmtId="10" fontId="39" fillId="3" borderId="1" xfId="69" applyNumberFormat="1" applyFont="1" applyFill="1" applyBorder="1" applyAlignment="1">
      <alignment vertical="center" wrapText="1"/>
    </xf>
    <xf numFmtId="3" fontId="33" fillId="4" borderId="1" xfId="9" applyNumberFormat="1" applyFont="1" applyFill="1" applyBorder="1" applyAlignment="1">
      <alignment horizontal="center" vertical="center" wrapText="1"/>
    </xf>
    <xf numFmtId="2" fontId="33" fillId="5" borderId="1" xfId="9" applyNumberFormat="1" applyFont="1" applyFill="1" applyBorder="1" applyAlignment="1">
      <alignment horizontal="center" vertical="center" wrapText="1"/>
    </xf>
    <xf numFmtId="3" fontId="54" fillId="3" borderId="1" xfId="0" applyNumberFormat="1" applyFont="1" applyFill="1" applyBorder="1" applyAlignment="1">
      <alignment horizontal="center" vertical="center" wrapText="1"/>
    </xf>
    <xf numFmtId="0" fontId="12" fillId="0" borderId="0" xfId="0" applyFont="1"/>
    <xf numFmtId="0" fontId="3" fillId="0" borderId="0" xfId="57" applyFont="1"/>
    <xf numFmtId="0" fontId="12" fillId="0" borderId="0" xfId="58" applyFont="1"/>
    <xf numFmtId="0" fontId="3" fillId="3" borderId="1" xfId="58" applyFont="1" applyFill="1" applyBorder="1" applyAlignment="1">
      <alignment horizontal="center" vertical="center" wrapText="1"/>
    </xf>
    <xf numFmtId="0" fontId="12" fillId="0" borderId="0" xfId="58" applyFont="1" applyAlignment="1">
      <alignment vertical="center" wrapText="1"/>
    </xf>
    <xf numFmtId="0" fontId="12" fillId="0" borderId="0" xfId="58" applyFont="1" applyAlignment="1">
      <alignment horizontal="center" vertical="center" wrapText="1"/>
    </xf>
    <xf numFmtId="0" fontId="12" fillId="0" borderId="0" xfId="58" applyFont="1" applyAlignment="1">
      <alignment horizontal="right"/>
    </xf>
    <xf numFmtId="0" fontId="63" fillId="0" borderId="1" xfId="0" applyFont="1" applyBorder="1" applyAlignment="1">
      <alignment horizontal="right" vertical="center" wrapText="1"/>
    </xf>
    <xf numFmtId="0" fontId="12" fillId="0" borderId="0" xfId="58" applyFont="1" applyAlignment="1">
      <alignment horizontal="left"/>
    </xf>
    <xf numFmtId="49" fontId="3" fillId="3" borderId="62" xfId="48" applyNumberFormat="1" applyFont="1" applyFill="1" applyBorder="1" applyAlignment="1">
      <alignment horizontal="center" vertical="center" wrapText="1"/>
    </xf>
    <xf numFmtId="49" fontId="3" fillId="3" borderId="62" xfId="48" applyNumberFormat="1" applyFont="1" applyFill="1" applyBorder="1" applyAlignment="1">
      <alignment vertical="center" wrapText="1"/>
    </xf>
    <xf numFmtId="0" fontId="3" fillId="3" borderId="1" xfId="48" applyFont="1" applyFill="1" applyBorder="1" applyAlignment="1" applyProtection="1">
      <alignment horizontal="center" vertical="center" wrapText="1"/>
      <protection locked="0"/>
    </xf>
    <xf numFmtId="2" fontId="67" fillId="3" borderId="1" xfId="58" applyNumberFormat="1" applyFont="1" applyFill="1" applyBorder="1" applyAlignment="1">
      <alignment horizontal="center" vertical="center"/>
    </xf>
    <xf numFmtId="2" fontId="63" fillId="0" borderId="1" xfId="46" applyNumberFormat="1" applyFont="1" applyBorder="1" applyAlignment="1">
      <alignment horizontal="center" vertical="center"/>
    </xf>
    <xf numFmtId="2" fontId="67" fillId="0" borderId="1" xfId="46" applyNumberFormat="1" applyFont="1" applyBorder="1" applyAlignment="1" applyProtection="1">
      <alignment horizontal="center" vertical="center" wrapText="1"/>
      <protection locked="0"/>
    </xf>
    <xf numFmtId="2" fontId="68" fillId="3" borderId="1" xfId="58" applyNumberFormat="1" applyFont="1" applyFill="1" applyBorder="1" applyAlignment="1">
      <alignment horizontal="center" vertical="center"/>
    </xf>
    <xf numFmtId="0" fontId="69" fillId="0" borderId="0" xfId="0" applyFont="1" applyAlignment="1">
      <alignment horizontal="center"/>
    </xf>
    <xf numFmtId="10" fontId="12" fillId="0" borderId="0" xfId="69" applyNumberFormat="1" applyFont="1" applyAlignment="1">
      <alignment horizontal="center" vertical="center"/>
    </xf>
    <xf numFmtId="2" fontId="63" fillId="3" borderId="1" xfId="0" applyNumberFormat="1" applyFont="1" applyFill="1" applyBorder="1" applyAlignment="1">
      <alignment horizontal="center" vertical="center"/>
    </xf>
    <xf numFmtId="0" fontId="63" fillId="0" borderId="1" xfId="0" applyFont="1" applyBorder="1" applyAlignment="1">
      <alignment horizontal="center" vertical="center"/>
    </xf>
    <xf numFmtId="4" fontId="65" fillId="0" borderId="1" xfId="0" applyNumberFormat="1" applyFont="1" applyBorder="1" applyAlignment="1">
      <alignment horizontal="center" vertical="center" wrapText="1"/>
    </xf>
    <xf numFmtId="0" fontId="63" fillId="0" borderId="0" xfId="0" applyFont="1" applyAlignment="1">
      <alignment horizontal="center" vertical="center"/>
    </xf>
    <xf numFmtId="10" fontId="12" fillId="0" borderId="1" xfId="69" applyNumberFormat="1" applyFont="1" applyBorder="1" applyAlignment="1">
      <alignment wrapText="1"/>
    </xf>
    <xf numFmtId="1" fontId="12" fillId="3" borderId="1" xfId="58" applyNumberFormat="1" applyFont="1" applyFill="1" applyBorder="1"/>
    <xf numFmtId="0" fontId="12" fillId="3" borderId="1" xfId="58" applyFont="1" applyFill="1" applyBorder="1"/>
    <xf numFmtId="0" fontId="63" fillId="4" borderId="1" xfId="58" applyFont="1" applyFill="1" applyBorder="1" applyAlignment="1">
      <alignment horizontal="center" vertical="center" wrapText="1"/>
    </xf>
    <xf numFmtId="0" fontId="67" fillId="4" borderId="1" xfId="34" applyFont="1" applyFill="1" applyBorder="1" applyAlignment="1">
      <alignment horizontal="center" vertical="center" wrapText="1"/>
    </xf>
    <xf numFmtId="0" fontId="67" fillId="4" borderId="1" xfId="58" applyFont="1" applyFill="1" applyBorder="1" applyAlignment="1">
      <alignment horizontal="center" vertical="center" wrapText="1"/>
    </xf>
    <xf numFmtId="0" fontId="63" fillId="4" borderId="1" xfId="58" applyFont="1" applyFill="1" applyBorder="1" applyAlignment="1">
      <alignment horizontal="center" vertical="center"/>
    </xf>
    <xf numFmtId="0" fontId="63" fillId="4" borderId="5" xfId="58" applyFont="1" applyFill="1" applyBorder="1" applyAlignment="1">
      <alignment horizontal="center" vertical="center"/>
    </xf>
    <xf numFmtId="0" fontId="65" fillId="4" borderId="5" xfId="58" applyFont="1" applyFill="1" applyBorder="1" applyAlignment="1">
      <alignment horizontal="center" vertical="center"/>
    </xf>
    <xf numFmtId="0" fontId="65" fillId="4" borderId="1" xfId="58" applyFont="1" applyFill="1" applyBorder="1" applyAlignment="1">
      <alignment horizontal="center" vertical="center"/>
    </xf>
    <xf numFmtId="2" fontId="63" fillId="3" borderId="1" xfId="46" applyNumberFormat="1" applyFont="1" applyFill="1" applyBorder="1" applyAlignment="1">
      <alignment horizontal="center" vertical="center"/>
    </xf>
    <xf numFmtId="2" fontId="67" fillId="3" borderId="1" xfId="46" applyNumberFormat="1" applyFont="1" applyFill="1" applyBorder="1" applyAlignment="1" applyProtection="1">
      <alignment horizontal="center" vertical="center" wrapText="1"/>
      <protection locked="0"/>
    </xf>
    <xf numFmtId="0" fontId="12" fillId="4" borderId="1" xfId="0" applyFont="1" applyFill="1" applyBorder="1"/>
    <xf numFmtId="0" fontId="12" fillId="4" borderId="1" xfId="0" applyFont="1" applyFill="1" applyBorder="1" applyAlignment="1">
      <alignment wrapText="1"/>
    </xf>
    <xf numFmtId="0" fontId="12" fillId="0" borderId="1" xfId="0" applyFont="1" applyBorder="1" applyAlignment="1">
      <alignment horizontal="center" vertical="center" wrapText="1"/>
    </xf>
    <xf numFmtId="0" fontId="69" fillId="0" borderId="1" xfId="0" applyFont="1" applyBorder="1" applyAlignment="1">
      <alignment horizontal="center" vertical="center" wrapText="1"/>
    </xf>
    <xf numFmtId="0" fontId="12" fillId="0" borderId="1" xfId="0" applyFont="1" applyBorder="1" applyAlignment="1">
      <alignment horizontal="left" vertical="center" wrapText="1"/>
    </xf>
    <xf numFmtId="0" fontId="63" fillId="4" borderId="1" xfId="0" applyFont="1" applyFill="1" applyBorder="1" applyAlignment="1">
      <alignment horizontal="center" vertical="center" wrapText="1"/>
    </xf>
    <xf numFmtId="3" fontId="63" fillId="4" borderId="1" xfId="0" applyNumberFormat="1" applyFont="1" applyFill="1" applyBorder="1" applyAlignment="1">
      <alignment horizontal="center" vertical="center" wrapText="1"/>
    </xf>
    <xf numFmtId="165" fontId="12" fillId="0" borderId="1" xfId="65" applyNumberFormat="1" applyFont="1" applyBorder="1" applyAlignment="1">
      <alignment horizontal="center" vertical="center"/>
    </xf>
    <xf numFmtId="0" fontId="28" fillId="4" borderId="1" xfId="0" applyFont="1" applyFill="1" applyBorder="1" applyAlignment="1">
      <alignment horizontal="center" vertical="center" wrapText="1"/>
    </xf>
    <xf numFmtId="0" fontId="33" fillId="0" borderId="1" xfId="0" applyFont="1" applyBorder="1" applyAlignment="1">
      <alignment horizontal="center" wrapText="1"/>
    </xf>
    <xf numFmtId="0" fontId="33" fillId="0" borderId="1" xfId="0" applyFont="1" applyBorder="1" applyAlignment="1">
      <alignment horizontal="center"/>
    </xf>
    <xf numFmtId="0" fontId="39" fillId="6" borderId="1" xfId="0" applyFont="1" applyFill="1" applyBorder="1" applyAlignment="1">
      <alignment horizontal="center"/>
    </xf>
    <xf numFmtId="1" fontId="28" fillId="6" borderId="1" xfId="0" applyNumberFormat="1" applyFont="1" applyFill="1" applyBorder="1" applyAlignment="1">
      <alignment horizontal="center" vertical="center"/>
    </xf>
    <xf numFmtId="0" fontId="39" fillId="5" borderId="1" xfId="0" applyFont="1" applyFill="1" applyBorder="1" applyAlignment="1">
      <alignment horizontal="center" vertical="center"/>
    </xf>
    <xf numFmtId="0" fontId="39" fillId="6" borderId="1" xfId="0" applyFont="1" applyFill="1" applyBorder="1" applyAlignment="1">
      <alignment horizontal="center" vertical="center"/>
    </xf>
    <xf numFmtId="0" fontId="39" fillId="5" borderId="1" xfId="0" applyFont="1" applyFill="1" applyBorder="1" applyAlignment="1">
      <alignment horizontal="center"/>
    </xf>
    <xf numFmtId="2" fontId="33" fillId="3" borderId="1" xfId="0" applyNumberFormat="1" applyFont="1" applyFill="1" applyBorder="1" applyAlignment="1">
      <alignment horizontal="center" vertical="center"/>
    </xf>
    <xf numFmtId="3" fontId="33" fillId="3" borderId="1" xfId="0" applyNumberFormat="1" applyFont="1" applyFill="1" applyBorder="1" applyAlignment="1">
      <alignment horizontal="center" vertical="center" wrapText="1"/>
    </xf>
    <xf numFmtId="3" fontId="33" fillId="3" borderId="1" xfId="0" applyNumberFormat="1" applyFont="1" applyFill="1" applyBorder="1" applyAlignment="1">
      <alignment horizontal="left" vertical="center" wrapText="1"/>
    </xf>
    <xf numFmtId="1" fontId="39" fillId="6" borderId="1" xfId="0" applyNumberFormat="1" applyFont="1" applyFill="1" applyBorder="1" applyAlignment="1">
      <alignment horizontal="center" vertical="center" wrapText="1"/>
    </xf>
    <xf numFmtId="0" fontId="33" fillId="0" borderId="6" xfId="0" applyFont="1" applyBorder="1" applyAlignment="1">
      <alignment horizontal="center" vertical="center" wrapText="1"/>
    </xf>
    <xf numFmtId="1" fontId="33" fillId="0" borderId="1" xfId="0" applyNumberFormat="1" applyFont="1" applyBorder="1" applyAlignment="1">
      <alignment horizontal="center" vertical="center" wrapText="1"/>
    </xf>
    <xf numFmtId="49" fontId="33" fillId="0" borderId="1" xfId="0" applyNumberFormat="1" applyFont="1" applyBorder="1" applyAlignment="1">
      <alignment horizontal="center" vertical="center" wrapText="1"/>
    </xf>
    <xf numFmtId="1" fontId="33" fillId="0" borderId="1" xfId="0" applyNumberFormat="1" applyFont="1" applyBorder="1" applyAlignment="1">
      <alignment horizontal="left" vertical="center" wrapText="1"/>
    </xf>
    <xf numFmtId="0" fontId="33" fillId="0" borderId="1" xfId="0" applyFont="1" applyBorder="1" applyAlignment="1">
      <alignment horizontal="right" vertical="center" wrapText="1"/>
    </xf>
    <xf numFmtId="0" fontId="39" fillId="4" borderId="1" xfId="0" applyFont="1" applyFill="1" applyBorder="1" applyAlignment="1">
      <alignment vertical="center" wrapText="1"/>
    </xf>
    <xf numFmtId="0" fontId="39" fillId="4" borderId="1" xfId="0" applyFont="1" applyFill="1" applyBorder="1"/>
    <xf numFmtId="0" fontId="33" fillId="0" borderId="0" xfId="0" applyFont="1" applyAlignment="1">
      <alignment horizontal="center"/>
    </xf>
    <xf numFmtId="0" fontId="33" fillId="0" borderId="0" xfId="0" applyFont="1" applyAlignment="1">
      <alignment horizontal="left"/>
    </xf>
    <xf numFmtId="0" fontId="33" fillId="0" borderId="0" xfId="0" applyFont="1" applyAlignment="1">
      <alignment horizontal="center" vertical="center" wrapText="1"/>
    </xf>
    <xf numFmtId="0" fontId="39" fillId="4"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3" fontId="33" fillId="4" borderId="1" xfId="0" applyNumberFormat="1" applyFont="1" applyFill="1" applyBorder="1" applyAlignment="1">
      <alignment horizontal="center" vertical="center" wrapText="1"/>
    </xf>
    <xf numFmtId="0" fontId="33" fillId="0" borderId="1" xfId="0" applyFont="1" applyBorder="1" applyAlignment="1">
      <alignment horizontal="left" wrapText="1"/>
    </xf>
    <xf numFmtId="4" fontId="39" fillId="5" borderId="5" xfId="0" applyNumberFormat="1" applyFont="1" applyFill="1" applyBorder="1" applyAlignment="1">
      <alignment horizontal="center" wrapText="1"/>
    </xf>
    <xf numFmtId="3" fontId="33" fillId="0" borderId="1" xfId="0" applyNumberFormat="1" applyFont="1" applyBorder="1" applyAlignment="1">
      <alignment horizontal="right" wrapText="1"/>
    </xf>
    <xf numFmtId="3" fontId="33" fillId="3" borderId="1" xfId="0" applyNumberFormat="1" applyFont="1" applyFill="1" applyBorder="1" applyAlignment="1">
      <alignment horizontal="right" wrapText="1"/>
    </xf>
    <xf numFmtId="165" fontId="39" fillId="5" borderId="39" xfId="0" applyNumberFormat="1" applyFont="1" applyFill="1" applyBorder="1"/>
    <xf numFmtId="171" fontId="54" fillId="3" borderId="1" xfId="47" applyNumberFormat="1" applyFont="1" applyFill="1" applyBorder="1" applyAlignment="1">
      <alignment horizontal="right" vertical="center"/>
    </xf>
    <xf numFmtId="0" fontId="38" fillId="10" borderId="1"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41" fillId="2" borderId="1" xfId="0" applyFont="1" applyFill="1" applyBorder="1" applyAlignment="1">
      <alignment horizontal="left" vertical="center" wrapText="1"/>
    </xf>
    <xf numFmtId="0" fontId="41" fillId="0" borderId="1" xfId="0" applyFont="1" applyBorder="1" applyAlignment="1">
      <alignment horizontal="center" vertical="center" wrapText="1"/>
    </xf>
    <xf numFmtId="0" fontId="38" fillId="2" borderId="1"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39" fillId="0" borderId="0" xfId="0" applyFont="1"/>
    <xf numFmtId="0" fontId="9" fillId="3" borderId="14" xfId="0" applyFont="1" applyFill="1" applyBorder="1" applyAlignment="1">
      <alignment horizontal="center" vertical="top"/>
    </xf>
    <xf numFmtId="0" fontId="6" fillId="3" borderId="10" xfId="0" applyFont="1" applyFill="1" applyBorder="1" applyAlignment="1">
      <alignment horizontal="justify" vertical="top"/>
    </xf>
    <xf numFmtId="0" fontId="39" fillId="4" borderId="1" xfId="0" applyFont="1" applyFill="1" applyBorder="1" applyAlignment="1">
      <alignment horizontal="center" vertical="center" wrapText="1"/>
    </xf>
    <xf numFmtId="3" fontId="6" fillId="0" borderId="1" xfId="0" applyNumberFormat="1" applyFont="1" applyBorder="1" applyAlignment="1">
      <alignment horizontal="center" vertical="center" wrapText="1"/>
    </xf>
    <xf numFmtId="0" fontId="9" fillId="3" borderId="13" xfId="0" applyFont="1" applyFill="1" applyBorder="1" applyAlignment="1">
      <alignment horizontal="center" vertical="top"/>
    </xf>
    <xf numFmtId="0" fontId="6" fillId="3" borderId="1" xfId="0" applyFont="1" applyFill="1" applyBorder="1" applyAlignment="1">
      <alignment horizontal="justify" vertical="top" wrapText="1"/>
    </xf>
    <xf numFmtId="0" fontId="6" fillId="3" borderId="1" xfId="0" applyFont="1" applyFill="1" applyBorder="1" applyAlignment="1">
      <alignment horizontal="justify" vertical="top"/>
    </xf>
    <xf numFmtId="3" fontId="6" fillId="0" borderId="10" xfId="0" applyNumberFormat="1" applyFont="1" applyBorder="1" applyAlignment="1">
      <alignment horizontal="center" vertical="center" wrapText="1"/>
    </xf>
    <xf numFmtId="0" fontId="41" fillId="2" borderId="6" xfId="0" applyFont="1" applyFill="1" applyBorder="1" applyAlignment="1">
      <alignment horizontal="left" vertical="center" wrapText="1"/>
    </xf>
    <xf numFmtId="0" fontId="41" fillId="0" borderId="6" xfId="0" applyFont="1" applyBorder="1" applyAlignment="1">
      <alignment horizontal="center" vertical="center" wrapText="1"/>
    </xf>
    <xf numFmtId="0" fontId="38" fillId="2" borderId="6" xfId="0" applyFont="1" applyFill="1" applyBorder="1" applyAlignment="1">
      <alignment horizontal="center" vertical="center" wrapText="1"/>
    </xf>
    <xf numFmtId="0" fontId="39" fillId="0" borderId="0" xfId="0" applyFont="1" applyAlignment="1">
      <alignment horizontal="center"/>
    </xf>
    <xf numFmtId="0" fontId="33" fillId="0" borderId="0" xfId="0" applyFont="1" applyAlignment="1">
      <alignment vertical="center"/>
    </xf>
    <xf numFmtId="0" fontId="39" fillId="0" borderId="0" xfId="0" applyFont="1" applyAlignment="1">
      <alignment horizontal="center" vertical="center"/>
    </xf>
    <xf numFmtId="0" fontId="0" fillId="0" borderId="0" xfId="0" applyAlignment="1">
      <alignment wrapText="1"/>
    </xf>
    <xf numFmtId="0" fontId="39" fillId="0" borderId="6" xfId="0" applyFont="1" applyBorder="1" applyAlignment="1">
      <alignment vertical="center"/>
    </xf>
    <xf numFmtId="0" fontId="39" fillId="0" borderId="1" xfId="0" applyFont="1" applyBorder="1" applyAlignment="1">
      <alignment horizontal="center" vertical="center" wrapText="1"/>
    </xf>
    <xf numFmtId="1" fontId="39" fillId="0" borderId="0" xfId="0" applyNumberFormat="1" applyFont="1"/>
    <xf numFmtId="3" fontId="39" fillId="6" borderId="1" xfId="0" applyNumberFormat="1" applyFont="1" applyFill="1" applyBorder="1" applyAlignment="1">
      <alignment horizontal="center" vertical="center"/>
    </xf>
    <xf numFmtId="3" fontId="39" fillId="4" borderId="1" xfId="0" applyNumberFormat="1" applyFont="1" applyFill="1" applyBorder="1" applyAlignment="1">
      <alignment horizontal="center" vertical="center"/>
    </xf>
    <xf numFmtId="0" fontId="39" fillId="0" borderId="0" xfId="0" applyFont="1" applyAlignment="1">
      <alignment horizontal="left" wrapText="1"/>
    </xf>
    <xf numFmtId="0" fontId="39" fillId="4" borderId="1" xfId="0" applyFont="1" applyFill="1" applyBorder="1" applyAlignment="1">
      <alignment horizontal="center" vertical="center"/>
    </xf>
    <xf numFmtId="0" fontId="52" fillId="4" borderId="5" xfId="0" applyFont="1" applyFill="1" applyBorder="1" applyAlignment="1">
      <alignment horizontal="center" vertical="top" wrapText="1"/>
    </xf>
    <xf numFmtId="0" fontId="39" fillId="3" borderId="1" xfId="0" applyFont="1" applyFill="1" applyBorder="1" applyAlignment="1">
      <alignment horizontal="left"/>
    </xf>
    <xf numFmtId="0" fontId="52" fillId="3" borderId="2" xfId="0" applyFont="1" applyFill="1" applyBorder="1"/>
    <xf numFmtId="1" fontId="39" fillId="3" borderId="1" xfId="0" applyNumberFormat="1" applyFont="1" applyFill="1" applyBorder="1"/>
    <xf numFmtId="0" fontId="39" fillId="3" borderId="2" xfId="0" applyFont="1" applyFill="1" applyBorder="1"/>
    <xf numFmtId="0" fontId="54" fillId="3" borderId="2" xfId="0" applyFont="1" applyFill="1" applyBorder="1" applyAlignment="1">
      <alignment horizontal="right"/>
    </xf>
    <xf numFmtId="0" fontId="54" fillId="3" borderId="2" xfId="0" applyFont="1" applyFill="1" applyBorder="1" applyAlignment="1">
      <alignment horizontal="right" wrapText="1"/>
    </xf>
    <xf numFmtId="2" fontId="33" fillId="3" borderId="1" xfId="0" applyNumberFormat="1" applyFont="1" applyFill="1" applyBorder="1" applyAlignment="1">
      <alignment horizontal="right"/>
    </xf>
    <xf numFmtId="0" fontId="33" fillId="3" borderId="2" xfId="0" applyFont="1" applyFill="1" applyBorder="1" applyAlignment="1">
      <alignment horizontal="right"/>
    </xf>
    <xf numFmtId="1" fontId="33" fillId="3" borderId="1" xfId="0" applyNumberFormat="1" applyFont="1" applyFill="1" applyBorder="1"/>
    <xf numFmtId="1" fontId="39" fillId="6" borderId="1" xfId="0" applyNumberFormat="1" applyFont="1" applyFill="1" applyBorder="1"/>
    <xf numFmtId="0" fontId="39" fillId="4" borderId="1" xfId="0" applyFont="1" applyFill="1" applyBorder="1" applyAlignment="1">
      <alignment horizontal="left"/>
    </xf>
    <xf numFmtId="0" fontId="52" fillId="0" borderId="1" xfId="0" applyFont="1" applyBorder="1" applyAlignment="1">
      <alignment horizontal="left"/>
    </xf>
    <xf numFmtId="0" fontId="33" fillId="0" borderId="1" xfId="0" applyFont="1" applyBorder="1" applyAlignment="1">
      <alignment horizontal="left"/>
    </xf>
    <xf numFmtId="0" fontId="39" fillId="0" borderId="1" xfId="0" applyFont="1" applyBorder="1" applyAlignment="1">
      <alignment horizontal="left"/>
    </xf>
    <xf numFmtId="0" fontId="40" fillId="0" borderId="0" xfId="0" applyFont="1" applyAlignment="1">
      <alignment wrapText="1"/>
    </xf>
    <xf numFmtId="0" fontId="39" fillId="0" borderId="1" xfId="0" applyFont="1" applyBorder="1" applyAlignment="1">
      <alignment horizontal="left" vertical="center"/>
    </xf>
    <xf numFmtId="172" fontId="33" fillId="0" borderId="0" xfId="0" applyNumberFormat="1" applyFont="1"/>
    <xf numFmtId="0" fontId="54" fillId="0" borderId="0" xfId="0" applyFont="1"/>
    <xf numFmtId="43" fontId="54" fillId="0" borderId="0" xfId="65" applyFont="1"/>
    <xf numFmtId="0" fontId="52" fillId="0" borderId="0" xfId="0" applyFont="1"/>
    <xf numFmtId="9" fontId="54" fillId="0" borderId="0" xfId="69" applyFont="1"/>
    <xf numFmtId="43" fontId="54" fillId="0" borderId="1" xfId="65" applyFont="1" applyBorder="1" applyAlignment="1">
      <alignment horizontal="center"/>
    </xf>
    <xf numFmtId="170" fontId="54" fillId="0" borderId="1" xfId="0" applyNumberFormat="1" applyFont="1" applyBorder="1"/>
    <xf numFmtId="0" fontId="52" fillId="0" borderId="0" xfId="0" applyFont="1" applyAlignment="1">
      <alignment horizontal="center" vertical="center" wrapText="1"/>
    </xf>
    <xf numFmtId="165" fontId="54" fillId="0" borderId="0" xfId="0" applyNumberFormat="1" applyFont="1"/>
    <xf numFmtId="0" fontId="54" fillId="0" borderId="1" xfId="0" applyFont="1" applyBorder="1"/>
    <xf numFmtId="165" fontId="54" fillId="0" borderId="1" xfId="65" applyNumberFormat="1" applyFont="1" applyBorder="1" applyAlignment="1">
      <alignment horizontal="center" vertical="center"/>
    </xf>
    <xf numFmtId="165" fontId="54" fillId="0" borderId="1" xfId="0" applyNumberFormat="1" applyFont="1" applyBorder="1" applyAlignment="1">
      <alignment horizontal="center" vertical="center"/>
    </xf>
    <xf numFmtId="165" fontId="52" fillId="0" borderId="1" xfId="65" applyNumberFormat="1" applyFont="1" applyBorder="1" applyAlignment="1">
      <alignment horizontal="center" vertical="center"/>
    </xf>
    <xf numFmtId="165" fontId="52" fillId="0" borderId="1" xfId="65" applyNumberFormat="1" applyFont="1" applyBorder="1"/>
    <xf numFmtId="165" fontId="54" fillId="0" borderId="1" xfId="65" applyNumberFormat="1" applyFont="1" applyBorder="1"/>
    <xf numFmtId="0" fontId="54" fillId="0" borderId="1" xfId="0" applyFont="1" applyBorder="1" applyAlignment="1">
      <alignment horizontal="center"/>
    </xf>
    <xf numFmtId="9" fontId="54" fillId="0" borderId="1" xfId="69" applyFont="1" applyBorder="1"/>
    <xf numFmtId="9" fontId="54" fillId="0" borderId="1" xfId="0" applyNumberFormat="1" applyFont="1" applyBorder="1"/>
    <xf numFmtId="165" fontId="54" fillId="3" borderId="1" xfId="65" applyNumberFormat="1" applyFont="1" applyFill="1" applyBorder="1"/>
    <xf numFmtId="165" fontId="52" fillId="3" borderId="1" xfId="65" applyNumberFormat="1" applyFont="1" applyFill="1" applyBorder="1"/>
    <xf numFmtId="0" fontId="54" fillId="3" borderId="1" xfId="0" applyFont="1" applyFill="1" applyBorder="1" applyAlignment="1">
      <alignment horizontal="center"/>
    </xf>
    <xf numFmtId="0" fontId="52" fillId="3" borderId="1" xfId="0" applyFont="1" applyFill="1" applyBorder="1"/>
    <xf numFmtId="165" fontId="54" fillId="3" borderId="1" xfId="0" applyNumberFormat="1" applyFont="1" applyFill="1" applyBorder="1"/>
    <xf numFmtId="0" fontId="52" fillId="4" borderId="1" xfId="0" applyFont="1" applyFill="1" applyBorder="1" applyAlignment="1">
      <alignment horizontal="center" vertical="center"/>
    </xf>
    <xf numFmtId="43" fontId="52" fillId="4" borderId="1" xfId="65" applyFont="1" applyFill="1" applyBorder="1" applyAlignment="1">
      <alignment horizontal="center" vertical="center" wrapText="1"/>
    </xf>
    <xf numFmtId="165" fontId="52" fillId="6" borderId="1" xfId="65" applyNumberFormat="1" applyFont="1" applyFill="1" applyBorder="1"/>
    <xf numFmtId="0" fontId="41" fillId="0" borderId="1" xfId="0" applyFont="1" applyBorder="1" applyAlignment="1">
      <alignment vertical="center"/>
    </xf>
    <xf numFmtId="0" fontId="38" fillId="0" borderId="1" xfId="0" applyFont="1" applyBorder="1" applyAlignment="1">
      <alignment horizontal="right" vertical="center"/>
    </xf>
    <xf numFmtId="0" fontId="38" fillId="4" borderId="1" xfId="0" applyFont="1" applyFill="1" applyBorder="1" applyAlignment="1">
      <alignment vertical="center"/>
    </xf>
    <xf numFmtId="0" fontId="38" fillId="4" borderId="1" xfId="0" applyFont="1" applyFill="1" applyBorder="1" applyAlignment="1">
      <alignment horizontal="center" vertical="center"/>
    </xf>
    <xf numFmtId="0" fontId="41" fillId="0" borderId="1" xfId="0" applyFont="1" applyBorder="1" applyAlignment="1">
      <alignment horizontal="center" vertical="center"/>
    </xf>
    <xf numFmtId="0" fontId="38" fillId="6" borderId="1" xfId="0" applyFont="1" applyFill="1" applyBorder="1" applyAlignment="1">
      <alignment horizontal="center" vertical="center"/>
    </xf>
    <xf numFmtId="1" fontId="39" fillId="0" borderId="1" xfId="0" applyNumberFormat="1" applyFont="1" applyBorder="1" applyAlignment="1">
      <alignment horizontal="center" vertical="center"/>
    </xf>
    <xf numFmtId="165" fontId="52" fillId="6" borderId="6" xfId="47" applyNumberFormat="1" applyFont="1" applyFill="1" applyBorder="1" applyAlignment="1">
      <alignment horizontal="center" vertical="center" wrapText="1"/>
    </xf>
    <xf numFmtId="0" fontId="58" fillId="3" borderId="6" xfId="0" applyFont="1" applyFill="1" applyBorder="1" applyAlignment="1">
      <alignment horizontal="center" vertical="center" wrapText="1"/>
    </xf>
    <xf numFmtId="2" fontId="32" fillId="3" borderId="1" xfId="0" applyNumberFormat="1" applyFont="1" applyFill="1" applyBorder="1" applyAlignment="1">
      <alignment horizontal="center" vertical="center" wrapText="1"/>
    </xf>
    <xf numFmtId="9" fontId="72" fillId="3" borderId="1" xfId="2" applyFont="1" applyFill="1" applyBorder="1" applyAlignment="1">
      <alignment horizontal="center" vertical="center" wrapText="1"/>
    </xf>
    <xf numFmtId="3" fontId="58" fillId="3" borderId="1" xfId="0" applyNumberFormat="1" applyFont="1" applyFill="1" applyBorder="1" applyAlignment="1">
      <alignment horizontal="center" vertical="center" wrapText="1"/>
    </xf>
    <xf numFmtId="3" fontId="58" fillId="3" borderId="1" xfId="0" applyNumberFormat="1" applyFont="1" applyFill="1" applyBorder="1" applyAlignment="1">
      <alignment horizontal="left" vertical="center" wrapText="1"/>
    </xf>
    <xf numFmtId="0" fontId="54" fillId="0" borderId="1" xfId="4" applyFont="1" applyBorder="1" applyAlignment="1">
      <alignment horizontal="center" vertical="center"/>
    </xf>
    <xf numFmtId="0" fontId="58" fillId="0" borderId="1" xfId="0" applyFont="1" applyBorder="1" applyAlignment="1">
      <alignment horizontal="center" vertical="center"/>
    </xf>
    <xf numFmtId="0" fontId="54" fillId="3" borderId="1" xfId="0" applyFont="1" applyFill="1" applyBorder="1" applyAlignment="1">
      <alignment horizontal="left" vertical="center" wrapText="1"/>
    </xf>
    <xf numFmtId="0" fontId="54" fillId="0" borderId="1" xfId="4" applyFont="1" applyBorder="1" applyAlignment="1">
      <alignment horizontal="left" vertical="center" wrapText="1"/>
    </xf>
    <xf numFmtId="9" fontId="52" fillId="3" borderId="1" xfId="2" applyFont="1" applyFill="1" applyBorder="1" applyAlignment="1">
      <alignment horizontal="center" vertical="center" wrapText="1"/>
    </xf>
    <xf numFmtId="0" fontId="54" fillId="3" borderId="6" xfId="0" applyFont="1" applyFill="1" applyBorder="1" applyAlignment="1">
      <alignment horizontal="center" vertical="center" wrapText="1"/>
    </xf>
    <xf numFmtId="0" fontId="54" fillId="0" borderId="1" xfId="8" applyFont="1" applyBorder="1" applyAlignment="1">
      <alignment horizontal="center" vertical="center"/>
    </xf>
    <xf numFmtId="2" fontId="54" fillId="3" borderId="17" xfId="0" applyNumberFormat="1" applyFont="1" applyFill="1" applyBorder="1" applyAlignment="1">
      <alignment horizontal="center" vertical="center" wrapText="1"/>
    </xf>
    <xf numFmtId="2" fontId="54" fillId="3" borderId="6" xfId="0" applyNumberFormat="1" applyFont="1" applyFill="1" applyBorder="1" applyAlignment="1">
      <alignment horizontal="center" vertical="center" wrapText="1"/>
    </xf>
    <xf numFmtId="43" fontId="52" fillId="3" borderId="1" xfId="47" applyFont="1" applyFill="1" applyBorder="1" applyAlignment="1">
      <alignment horizontal="center" vertical="center" wrapText="1"/>
    </xf>
    <xf numFmtId="3" fontId="54" fillId="3" borderId="1" xfId="0" applyNumberFormat="1" applyFont="1" applyFill="1" applyBorder="1" applyAlignment="1">
      <alignment horizontal="left" vertical="center" wrapText="1"/>
    </xf>
    <xf numFmtId="2" fontId="52" fillId="3" borderId="1" xfId="0" applyNumberFormat="1" applyFont="1" applyFill="1" applyBorder="1" applyAlignment="1">
      <alignment horizontal="center" vertical="center" wrapText="1"/>
    </xf>
    <xf numFmtId="9" fontId="54" fillId="0" borderId="1" xfId="0" applyNumberFormat="1" applyFont="1" applyBorder="1" applyAlignment="1">
      <alignment horizontal="center" vertical="center"/>
    </xf>
    <xf numFmtId="0" fontId="54" fillId="0" borderId="1" xfId="0" applyFont="1" applyBorder="1" applyAlignment="1">
      <alignment horizontal="center" vertical="center"/>
    </xf>
    <xf numFmtId="173" fontId="54" fillId="0" borderId="0" xfId="0" applyNumberFormat="1" applyFont="1"/>
    <xf numFmtId="165" fontId="54" fillId="3" borderId="1" xfId="47" applyNumberFormat="1" applyFont="1" applyFill="1" applyBorder="1" applyAlignment="1">
      <alignment vertical="center" wrapText="1"/>
    </xf>
    <xf numFmtId="165" fontId="52" fillId="3" borderId="1" xfId="47" applyNumberFormat="1" applyFont="1" applyFill="1" applyBorder="1" applyAlignment="1">
      <alignment vertical="center" wrapText="1"/>
    </xf>
    <xf numFmtId="0" fontId="52" fillId="0" borderId="1" xfId="71" applyFont="1" applyBorder="1" applyAlignment="1">
      <alignment horizontal="left" vertical="center"/>
    </xf>
    <xf numFmtId="0" fontId="54" fillId="0" borderId="1" xfId="71" applyFont="1" applyBorder="1" applyAlignment="1">
      <alignment horizontal="center" vertical="center"/>
    </xf>
    <xf numFmtId="0" fontId="52" fillId="0" borderId="1" xfId="0" applyFont="1" applyBorder="1" applyAlignment="1">
      <alignment horizontal="left" vertical="center" wrapText="1"/>
    </xf>
    <xf numFmtId="0" fontId="52" fillId="0" borderId="1" xfId="71" applyFont="1" applyBorder="1" applyAlignment="1">
      <alignment horizontal="left" vertical="center" wrapText="1"/>
    </xf>
    <xf numFmtId="0" fontId="52" fillId="0" borderId="1" xfId="0" applyFont="1" applyBorder="1" applyAlignment="1">
      <alignment horizontal="left" vertical="center"/>
    </xf>
    <xf numFmtId="1" fontId="39" fillId="0" borderId="0" xfId="0" applyNumberFormat="1" applyFont="1" applyAlignment="1">
      <alignment horizontal="center" vertical="center"/>
    </xf>
    <xf numFmtId="0" fontId="33" fillId="4" borderId="1" xfId="0" applyFont="1" applyFill="1" applyBorder="1" applyAlignment="1">
      <alignment horizontal="center" vertical="center"/>
    </xf>
    <xf numFmtId="9" fontId="33" fillId="0" borderId="0" xfId="0" applyNumberFormat="1" applyFont="1"/>
    <xf numFmtId="0" fontId="39" fillId="0" borderId="1" xfId="0" applyFont="1" applyBorder="1"/>
    <xf numFmtId="1" fontId="39" fillId="0" borderId="1" xfId="0" applyNumberFormat="1" applyFont="1" applyBorder="1"/>
    <xf numFmtId="0" fontId="65" fillId="4" borderId="1" xfId="0" applyFont="1" applyFill="1" applyBorder="1" applyAlignment="1">
      <alignment vertical="center" wrapText="1"/>
    </xf>
    <xf numFmtId="172" fontId="65" fillId="4" borderId="1" xfId="69" applyNumberFormat="1" applyFont="1" applyFill="1" applyBorder="1" applyAlignment="1">
      <alignment vertical="center" wrapText="1"/>
    </xf>
    <xf numFmtId="0" fontId="31" fillId="4" borderId="1" xfId="0" applyFont="1" applyFill="1" applyBorder="1" applyAlignment="1">
      <alignment vertical="center" wrapText="1"/>
    </xf>
    <xf numFmtId="0" fontId="31" fillId="4" borderId="1" xfId="0" applyFont="1" applyFill="1" applyBorder="1" applyAlignment="1">
      <alignment horizontal="center" vertical="center" wrapText="1"/>
    </xf>
    <xf numFmtId="0" fontId="63" fillId="0" borderId="1" xfId="0" applyFont="1" applyBorder="1" applyAlignment="1">
      <alignment vertical="center"/>
    </xf>
    <xf numFmtId="165" fontId="63" fillId="0" borderId="1" xfId="65" applyNumberFormat="1" applyFont="1" applyBorder="1" applyAlignment="1">
      <alignment vertical="center"/>
    </xf>
    <xf numFmtId="43" fontId="63" fillId="0" borderId="1" xfId="65" applyFont="1" applyBorder="1" applyAlignment="1">
      <alignment vertical="center"/>
    </xf>
    <xf numFmtId="172" fontId="63" fillId="0" borderId="1" xfId="69" applyNumberFormat="1" applyFont="1" applyBorder="1" applyAlignment="1">
      <alignment vertical="center"/>
    </xf>
    <xf numFmtId="1" fontId="63" fillId="0" borderId="1" xfId="0" applyNumberFormat="1" applyFont="1" applyBorder="1"/>
    <xf numFmtId="43" fontId="63" fillId="0" borderId="1" xfId="65" applyFont="1" applyBorder="1"/>
    <xf numFmtId="165" fontId="72" fillId="0" borderId="1" xfId="65" applyNumberFormat="1" applyFont="1" applyBorder="1"/>
    <xf numFmtId="3" fontId="67" fillId="0" borderId="1" xfId="0" applyNumberFormat="1" applyFont="1" applyBorder="1" applyAlignment="1">
      <alignment vertical="center"/>
    </xf>
    <xf numFmtId="1" fontId="63" fillId="0" borderId="1" xfId="69" applyNumberFormat="1" applyFont="1" applyBorder="1"/>
    <xf numFmtId="0" fontId="65" fillId="0" borderId="1" xfId="0" applyFont="1" applyBorder="1" applyAlignment="1">
      <alignment vertical="center"/>
    </xf>
    <xf numFmtId="165" fontId="65" fillId="0" borderId="1" xfId="65" applyNumberFormat="1" applyFont="1" applyBorder="1" applyAlignment="1">
      <alignment vertical="center"/>
    </xf>
    <xf numFmtId="43" fontId="65" fillId="0" borderId="1" xfId="65" applyFont="1" applyBorder="1" applyAlignment="1">
      <alignment vertical="center"/>
    </xf>
    <xf numFmtId="172" fontId="65" fillId="0" borderId="1" xfId="69" applyNumberFormat="1" applyFont="1" applyBorder="1" applyAlignment="1">
      <alignment vertical="center"/>
    </xf>
    <xf numFmtId="1" fontId="65" fillId="0" borderId="1" xfId="0" applyNumberFormat="1" applyFont="1" applyBorder="1"/>
    <xf numFmtId="43" fontId="65" fillId="0" borderId="1" xfId="65" applyFont="1" applyBorder="1"/>
    <xf numFmtId="165" fontId="31" fillId="0" borderId="1" xfId="65" applyNumberFormat="1" applyFont="1" applyBorder="1"/>
    <xf numFmtId="165" fontId="31" fillId="4" borderId="1" xfId="65" applyNumberFormat="1" applyFont="1" applyFill="1" applyBorder="1"/>
    <xf numFmtId="0" fontId="54" fillId="4" borderId="1" xfId="0" applyFont="1" applyFill="1" applyBorder="1" applyAlignment="1">
      <alignment horizontal="center" vertical="center"/>
    </xf>
    <xf numFmtId="165" fontId="39" fillId="0" borderId="1" xfId="0" applyNumberFormat="1" applyFont="1" applyBorder="1" applyAlignment="1">
      <alignment horizontal="center" vertical="center"/>
    </xf>
    <xf numFmtId="0" fontId="58" fillId="0" borderId="1" xfId="0" applyFont="1" applyBorder="1" applyAlignment="1">
      <alignment horizontal="left" vertical="center" wrapText="1"/>
    </xf>
    <xf numFmtId="2" fontId="58" fillId="3" borderId="1" xfId="0" applyNumberFormat="1" applyFont="1" applyFill="1" applyBorder="1" applyAlignment="1">
      <alignment horizontal="center" vertical="center"/>
    </xf>
    <xf numFmtId="2" fontId="58" fillId="3" borderId="1" xfId="0" applyNumberFormat="1" applyFont="1" applyFill="1" applyBorder="1" applyAlignment="1">
      <alignment horizontal="center" vertical="center" wrapText="1"/>
    </xf>
    <xf numFmtId="0" fontId="58" fillId="3" borderId="1" xfId="0" applyFont="1" applyFill="1" applyBorder="1" applyAlignment="1">
      <alignment horizontal="center" vertical="center" wrapText="1"/>
    </xf>
    <xf numFmtId="1" fontId="58" fillId="3" borderId="1" xfId="0" applyNumberFormat="1" applyFont="1" applyFill="1" applyBorder="1" applyAlignment="1">
      <alignment horizontal="center" vertical="center" wrapText="1"/>
    </xf>
    <xf numFmtId="1" fontId="54" fillId="0" borderId="1" xfId="9" applyNumberFormat="1" applyFont="1" applyBorder="1" applyAlignment="1">
      <alignment horizontal="center" vertical="center" wrapText="1"/>
    </xf>
    <xf numFmtId="169" fontId="54" fillId="0" borderId="1" xfId="0" applyNumberFormat="1" applyFont="1" applyBorder="1" applyAlignment="1">
      <alignment horizontal="center" vertical="center"/>
    </xf>
    <xf numFmtId="2" fontId="54" fillId="0" borderId="1" xfId="10" applyNumberFormat="1" applyFont="1" applyBorder="1" applyAlignment="1">
      <alignment horizontal="center" vertical="center"/>
    </xf>
    <xf numFmtId="0" fontId="58" fillId="3" borderId="0" xfId="0" applyFont="1" applyFill="1"/>
    <xf numFmtId="0" fontId="28" fillId="0" borderId="0" xfId="0" applyFont="1" applyAlignment="1">
      <alignment horizontal="center"/>
    </xf>
    <xf numFmtId="0" fontId="33" fillId="0" borderId="63" xfId="0" applyFont="1" applyBorder="1" applyAlignment="1">
      <alignment vertical="center"/>
    </xf>
    <xf numFmtId="0" fontId="52" fillId="0" borderId="64" xfId="0" applyFont="1" applyBorder="1" applyAlignment="1">
      <alignment horizontal="center" vertical="center"/>
    </xf>
    <xf numFmtId="4" fontId="52" fillId="6" borderId="1" xfId="0" applyNumberFormat="1" applyFont="1" applyFill="1" applyBorder="1" applyAlignment="1">
      <alignment horizontal="center"/>
    </xf>
    <xf numFmtId="0" fontId="33" fillId="3" borderId="0" xfId="0" applyFont="1" applyFill="1" applyAlignment="1">
      <alignment horizontal="center" vertical="center" wrapText="1"/>
    </xf>
    <xf numFmtId="0" fontId="33" fillId="3" borderId="5" xfId="0" applyFont="1" applyFill="1" applyBorder="1" applyAlignment="1">
      <alignment horizontal="center" vertical="center"/>
    </xf>
    <xf numFmtId="0" fontId="54" fillId="3" borderId="5" xfId="0" applyFont="1" applyFill="1" applyBorder="1" applyAlignment="1">
      <alignment horizontal="left" vertical="center"/>
    </xf>
    <xf numFmtId="0" fontId="33" fillId="3" borderId="0" xfId="0" applyFont="1" applyFill="1" applyAlignment="1">
      <alignment horizontal="center" vertical="center"/>
    </xf>
    <xf numFmtId="0" fontId="33" fillId="3" borderId="24" xfId="0" applyFont="1" applyFill="1" applyBorder="1" applyAlignment="1">
      <alignment horizontal="center" vertical="center"/>
    </xf>
    <xf numFmtId="0" fontId="54" fillId="3" borderId="24" xfId="0" applyFont="1" applyFill="1" applyBorder="1" applyAlignment="1">
      <alignment horizontal="left" vertical="center"/>
    </xf>
    <xf numFmtId="0" fontId="58" fillId="0" borderId="0" xfId="0" applyFont="1" applyAlignment="1">
      <alignment horizontal="center" vertical="center"/>
    </xf>
    <xf numFmtId="0" fontId="33" fillId="3" borderId="24" xfId="0" applyFont="1" applyFill="1" applyBorder="1" applyAlignment="1">
      <alignment horizontal="left" vertical="center"/>
    </xf>
    <xf numFmtId="0" fontId="33" fillId="3" borderId="6" xfId="0" applyFont="1" applyFill="1" applyBorder="1" applyAlignment="1">
      <alignment horizontal="center" vertical="center"/>
    </xf>
    <xf numFmtId="0" fontId="33" fillId="3" borderId="6" xfId="0" applyFont="1" applyFill="1" applyBorder="1" applyAlignment="1">
      <alignment horizontal="left" vertical="center"/>
    </xf>
    <xf numFmtId="0" fontId="33" fillId="3" borderId="1" xfId="0" applyFont="1" applyFill="1" applyBorder="1" applyAlignment="1">
      <alignment horizontal="left" vertical="center"/>
    </xf>
    <xf numFmtId="0" fontId="58" fillId="0" borderId="6" xfId="0" applyFont="1" applyBorder="1" applyAlignment="1">
      <alignment horizontal="center" vertical="center"/>
    </xf>
    <xf numFmtId="0" fontId="58" fillId="3" borderId="6" xfId="0" applyFont="1" applyFill="1" applyBorder="1" applyAlignment="1">
      <alignment horizontal="center" vertical="center"/>
    </xf>
    <xf numFmtId="0" fontId="58" fillId="3" borderId="0" xfId="0" applyFont="1" applyFill="1" applyAlignment="1">
      <alignment horizontal="center" vertical="center"/>
    </xf>
    <xf numFmtId="0" fontId="54" fillId="3" borderId="1" xfId="0" applyFont="1" applyFill="1" applyBorder="1" applyAlignment="1">
      <alignment vertical="center" wrapText="1"/>
    </xf>
    <xf numFmtId="0" fontId="54" fillId="3" borderId="1" xfId="0" applyFont="1" applyFill="1" applyBorder="1" applyAlignment="1">
      <alignment horizontal="center" vertical="center" wrapText="1"/>
    </xf>
    <xf numFmtId="0" fontId="54" fillId="3" borderId="0" xfId="0" applyFont="1" applyFill="1" applyAlignment="1">
      <alignment horizontal="center" vertical="center" wrapText="1"/>
    </xf>
    <xf numFmtId="0" fontId="33" fillId="3" borderId="1" xfId="0" applyFont="1" applyFill="1" applyBorder="1" applyAlignment="1">
      <alignment vertical="center"/>
    </xf>
    <xf numFmtId="174" fontId="33" fillId="3" borderId="6" xfId="0" applyNumberFormat="1" applyFont="1" applyFill="1" applyBorder="1" applyAlignment="1">
      <alignment horizontal="center" vertical="center"/>
    </xf>
    <xf numFmtId="0" fontId="33" fillId="3" borderId="1" xfId="0" applyFont="1" applyFill="1" applyBorder="1" applyAlignment="1">
      <alignment horizontal="left" vertical="center" wrapText="1"/>
    </xf>
    <xf numFmtId="0" fontId="33" fillId="3" borderId="5" xfId="0" applyFont="1" applyFill="1" applyBorder="1" applyAlignment="1">
      <alignment horizontal="center" vertical="center" wrapText="1"/>
    </xf>
    <xf numFmtId="0" fontId="33" fillId="3" borderId="0" xfId="0" applyFont="1" applyFill="1" applyAlignment="1">
      <alignment vertical="center"/>
    </xf>
    <xf numFmtId="0" fontId="58" fillId="3" borderId="0" xfId="0" applyFont="1" applyFill="1" applyAlignment="1">
      <alignment horizontal="center" vertical="center" wrapText="1"/>
    </xf>
    <xf numFmtId="174" fontId="58" fillId="0" borderId="1" xfId="0" applyNumberFormat="1" applyFont="1" applyBorder="1" applyAlignment="1">
      <alignment horizontal="center" vertical="center"/>
    </xf>
    <xf numFmtId="0" fontId="39" fillId="0" borderId="0" xfId="0" applyFont="1" applyAlignment="1">
      <alignment horizontal="right" vertical="center"/>
    </xf>
    <xf numFmtId="3" fontId="39" fillId="0" borderId="1" xfId="0" applyNumberFormat="1" applyFont="1" applyBorder="1" applyAlignment="1">
      <alignment horizontal="center" vertical="center"/>
    </xf>
    <xf numFmtId="3" fontId="39" fillId="3" borderId="0" xfId="0" applyNumberFormat="1" applyFont="1" applyFill="1" applyAlignment="1">
      <alignment horizontal="center" vertical="center"/>
    </xf>
    <xf numFmtId="0" fontId="33" fillId="0" borderId="0" xfId="0" applyFont="1" applyAlignment="1">
      <alignment horizontal="right" vertical="center"/>
    </xf>
    <xf numFmtId="4" fontId="33" fillId="3" borderId="1" xfId="0" applyNumberFormat="1" applyFont="1" applyFill="1" applyBorder="1" applyAlignment="1">
      <alignment horizontal="center" vertical="center"/>
    </xf>
    <xf numFmtId="0" fontId="58" fillId="0" borderId="0" xfId="3" applyFont="1" applyAlignment="1">
      <alignment horizontal="left" vertical="center" wrapText="1"/>
    </xf>
    <xf numFmtId="0" fontId="28" fillId="0" borderId="0" xfId="3" applyFont="1" applyAlignment="1">
      <alignment horizontal="right" vertical="center"/>
    </xf>
    <xf numFmtId="3" fontId="28" fillId="4" borderId="1" xfId="3" applyNumberFormat="1" applyFont="1" applyFill="1" applyBorder="1" applyAlignment="1">
      <alignment horizontal="center" vertical="center" wrapText="1"/>
    </xf>
    <xf numFmtId="174" fontId="28" fillId="4" borderId="1" xfId="3" applyNumberFormat="1" applyFont="1" applyFill="1" applyBorder="1" applyAlignment="1">
      <alignment horizontal="center" vertical="center" wrapText="1"/>
    </xf>
    <xf numFmtId="3" fontId="28" fillId="3" borderId="0" xfId="3" applyNumberFormat="1" applyFont="1" applyFill="1" applyAlignment="1">
      <alignment horizontal="center" vertical="center" wrapText="1"/>
    </xf>
    <xf numFmtId="0" fontId="28" fillId="4" borderId="0" xfId="3" applyFont="1" applyFill="1" applyAlignment="1">
      <alignment horizontal="left" vertical="center" wrapText="1"/>
    </xf>
    <xf numFmtId="3" fontId="28" fillId="4" borderId="0" xfId="3" applyNumberFormat="1" applyFont="1" applyFill="1" applyAlignment="1">
      <alignment horizontal="left" vertical="center" wrapText="1"/>
    </xf>
    <xf numFmtId="0" fontId="58" fillId="0" borderId="0" xfId="3" applyFont="1" applyAlignment="1">
      <alignment horizontal="center" vertical="center" wrapText="1"/>
    </xf>
    <xf numFmtId="0" fontId="58" fillId="3" borderId="0" xfId="3" applyFont="1" applyFill="1" applyAlignment="1">
      <alignment horizontal="center" vertical="center" wrapText="1"/>
    </xf>
    <xf numFmtId="0" fontId="33" fillId="0" borderId="1" xfId="0" applyFont="1" applyBorder="1" applyAlignment="1">
      <alignment vertical="top"/>
    </xf>
    <xf numFmtId="0" fontId="33" fillId="0" borderId="0" xfId="0" applyFont="1" applyAlignment="1">
      <alignment horizontal="left" vertical="center" indent="5"/>
    </xf>
    <xf numFmtId="0" fontId="54" fillId="3" borderId="0" xfId="0" applyFont="1" applyFill="1" applyAlignment="1">
      <alignment vertical="center"/>
    </xf>
    <xf numFmtId="0" fontId="54" fillId="3" borderId="0" xfId="0" applyFont="1" applyFill="1" applyAlignment="1">
      <alignment horizontal="center" vertical="center"/>
    </xf>
    <xf numFmtId="0" fontId="52" fillId="3" borderId="0" xfId="0" applyFont="1" applyFill="1" applyAlignment="1">
      <alignment horizontal="center" vertical="center"/>
    </xf>
    <xf numFmtId="0" fontId="54" fillId="3" borderId="1" xfId="0" applyFont="1" applyFill="1" applyBorder="1" applyAlignment="1">
      <alignment horizontal="center" vertical="center"/>
    </xf>
    <xf numFmtId="0" fontId="54" fillId="3" borderId="5" xfId="0" applyFont="1" applyFill="1" applyBorder="1" applyAlignment="1">
      <alignment horizontal="center" vertical="center"/>
    </xf>
    <xf numFmtId="0" fontId="54" fillId="3" borderId="24" xfId="0" applyFont="1" applyFill="1" applyBorder="1" applyAlignment="1">
      <alignment horizontal="center" vertical="center"/>
    </xf>
    <xf numFmtId="0" fontId="72" fillId="3" borderId="0" xfId="0" applyFont="1" applyFill="1" applyAlignment="1">
      <alignment horizontal="center" vertical="center"/>
    </xf>
    <xf numFmtId="0" fontId="54" fillId="3" borderId="6" xfId="0" applyFont="1" applyFill="1" applyBorder="1" applyAlignment="1">
      <alignment horizontal="center" vertical="center"/>
    </xf>
    <xf numFmtId="0" fontId="54" fillId="3" borderId="6" xfId="0" applyFont="1" applyFill="1" applyBorder="1" applyAlignment="1">
      <alignment horizontal="left" vertical="center"/>
    </xf>
    <xf numFmtId="0" fontId="54" fillId="3" borderId="0" xfId="0" applyFont="1" applyFill="1" applyAlignment="1">
      <alignment horizontal="left" vertical="center"/>
    </xf>
    <xf numFmtId="0" fontId="54" fillId="3" borderId="0" xfId="0" applyFont="1" applyFill="1" applyAlignment="1">
      <alignment horizontal="right" vertical="center"/>
    </xf>
    <xf numFmtId="174" fontId="54" fillId="3" borderId="0" xfId="0" applyNumberFormat="1" applyFont="1" applyFill="1" applyAlignment="1">
      <alignment horizontal="center" vertical="center"/>
    </xf>
    <xf numFmtId="174" fontId="72" fillId="3" borderId="0" xfId="0" applyNumberFormat="1" applyFont="1" applyFill="1" applyAlignment="1">
      <alignment horizontal="center" vertical="center"/>
    </xf>
    <xf numFmtId="0" fontId="54" fillId="3" borderId="60" xfId="0" applyFont="1" applyFill="1" applyBorder="1" applyAlignment="1">
      <alignment horizontal="center" vertical="center"/>
    </xf>
    <xf numFmtId="4" fontId="54" fillId="3" borderId="60" xfId="0" applyNumberFormat="1" applyFont="1" applyFill="1" applyBorder="1" applyAlignment="1">
      <alignment horizontal="center" vertical="center"/>
    </xf>
    <xf numFmtId="0" fontId="72" fillId="3" borderId="60" xfId="0" applyFont="1" applyFill="1" applyBorder="1" applyAlignment="1">
      <alignment horizontal="center" vertical="center"/>
    </xf>
    <xf numFmtId="3" fontId="52" fillId="3" borderId="0" xfId="0" applyNumberFormat="1" applyFont="1" applyFill="1" applyAlignment="1">
      <alignment horizontal="center" vertical="center"/>
    </xf>
    <xf numFmtId="174" fontId="52" fillId="3" borderId="0" xfId="0" applyNumberFormat="1" applyFont="1" applyFill="1" applyAlignment="1">
      <alignment horizontal="center" vertical="center"/>
    </xf>
    <xf numFmtId="0" fontId="54" fillId="3" borderId="60" xfId="0" applyFont="1" applyFill="1" applyBorder="1" applyAlignment="1">
      <alignment horizontal="left" vertical="center"/>
    </xf>
    <xf numFmtId="0" fontId="54" fillId="3" borderId="1" xfId="0" applyFont="1" applyFill="1" applyBorder="1" applyAlignment="1">
      <alignment horizontal="left" vertical="center"/>
    </xf>
    <xf numFmtId="0" fontId="72" fillId="3" borderId="6" xfId="0" applyFont="1" applyFill="1" applyBorder="1" applyAlignment="1">
      <alignment horizontal="center" vertical="center"/>
    </xf>
    <xf numFmtId="0" fontId="54" fillId="3" borderId="1" xfId="0" applyFont="1" applyFill="1" applyBorder="1" applyAlignment="1">
      <alignment vertical="center"/>
    </xf>
    <xf numFmtId="174" fontId="54" fillId="3" borderId="6" xfId="0" applyNumberFormat="1" applyFont="1" applyFill="1" applyBorder="1" applyAlignment="1">
      <alignment horizontal="center" vertical="center"/>
    </xf>
    <xf numFmtId="0" fontId="54" fillId="3" borderId="5" xfId="0" applyFont="1" applyFill="1" applyBorder="1" applyAlignment="1">
      <alignment horizontal="center" vertical="center" wrapText="1"/>
    </xf>
    <xf numFmtId="0" fontId="72" fillId="3" borderId="6" xfId="0" applyFont="1" applyFill="1" applyBorder="1" applyAlignment="1">
      <alignment horizontal="center" vertical="center" wrapText="1"/>
    </xf>
    <xf numFmtId="0" fontId="72" fillId="3" borderId="0" xfId="0" applyFont="1" applyFill="1" applyAlignment="1">
      <alignment horizontal="center" vertical="center" wrapText="1"/>
    </xf>
    <xf numFmtId="174" fontId="72" fillId="3" borderId="1" xfId="0" applyNumberFormat="1" applyFont="1" applyFill="1" applyBorder="1" applyAlignment="1">
      <alignment horizontal="center" vertical="center"/>
    </xf>
    <xf numFmtId="0" fontId="72" fillId="3" borderId="1" xfId="0" applyFont="1" applyFill="1" applyBorder="1" applyAlignment="1">
      <alignment horizontal="center" vertical="center"/>
    </xf>
    <xf numFmtId="0" fontId="52" fillId="3" borderId="0" xfId="0" applyFont="1" applyFill="1" applyAlignment="1">
      <alignment horizontal="right" vertical="center"/>
    </xf>
    <xf numFmtId="3" fontId="52" fillId="3" borderId="1" xfId="0" applyNumberFormat="1" applyFont="1" applyFill="1" applyBorder="1" applyAlignment="1">
      <alignment horizontal="center" vertical="center"/>
    </xf>
    <xf numFmtId="4" fontId="54" fillId="3" borderId="1" xfId="0" applyNumberFormat="1" applyFont="1" applyFill="1" applyBorder="1" applyAlignment="1">
      <alignment horizontal="center" vertical="center"/>
    </xf>
    <xf numFmtId="0" fontId="72" fillId="3" borderId="0" xfId="67" applyFont="1" applyFill="1" applyAlignment="1">
      <alignment horizontal="left" vertical="center" wrapText="1"/>
    </xf>
    <xf numFmtId="0" fontId="31" fillId="3" borderId="0" xfId="67" applyFont="1" applyFill="1" applyAlignment="1">
      <alignment horizontal="right" vertical="center"/>
    </xf>
    <xf numFmtId="3" fontId="31" fillId="3" borderId="1" xfId="67" applyNumberFormat="1" applyFont="1" applyFill="1" applyBorder="1" applyAlignment="1">
      <alignment horizontal="center" vertical="center" wrapText="1"/>
    </xf>
    <xf numFmtId="174" fontId="31" fillId="3" borderId="1" xfId="67" applyNumberFormat="1" applyFont="1" applyFill="1" applyBorder="1" applyAlignment="1">
      <alignment horizontal="center" vertical="center" wrapText="1"/>
    </xf>
    <xf numFmtId="3" fontId="31" fillId="3" borderId="0" xfId="67" applyNumberFormat="1" applyFont="1" applyFill="1" applyAlignment="1">
      <alignment horizontal="center" vertical="center" wrapText="1"/>
    </xf>
    <xf numFmtId="3" fontId="72" fillId="3" borderId="1" xfId="67" applyNumberFormat="1" applyFont="1" applyFill="1" applyBorder="1" applyAlignment="1">
      <alignment horizontal="left" vertical="center" wrapText="1"/>
    </xf>
    <xf numFmtId="0" fontId="72" fillId="3" borderId="0" xfId="67" applyFont="1" applyFill="1" applyAlignment="1">
      <alignment horizontal="center" vertical="center" wrapText="1"/>
    </xf>
    <xf numFmtId="0" fontId="11" fillId="3" borderId="1" xfId="0" applyFont="1" applyFill="1" applyBorder="1" applyAlignment="1">
      <alignment vertical="center"/>
    </xf>
    <xf numFmtId="0" fontId="5"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33" fillId="0" borderId="1" xfId="0" applyFont="1" applyBorder="1" applyAlignment="1">
      <alignment horizontal="left" vertical="center" wrapText="1"/>
    </xf>
    <xf numFmtId="3" fontId="33" fillId="4" borderId="3" xfId="0" applyNumberFormat="1" applyFont="1" applyFill="1" applyBorder="1" applyAlignment="1">
      <alignment horizontal="center" vertical="center" wrapText="1"/>
    </xf>
    <xf numFmtId="0" fontId="54" fillId="4" borderId="1" xfId="0" applyFont="1" applyFill="1" applyBorder="1" applyAlignment="1">
      <alignment horizontal="center" vertical="center" wrapText="1"/>
    </xf>
    <xf numFmtId="3" fontId="33" fillId="4" borderId="1" xfId="0" applyNumberFormat="1" applyFont="1" applyFill="1" applyBorder="1" applyAlignment="1">
      <alignment horizontal="center" vertical="center" wrapText="1"/>
    </xf>
    <xf numFmtId="0" fontId="39" fillId="4"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47" fillId="3" borderId="0" xfId="12" applyFont="1" applyFill="1"/>
    <xf numFmtId="0" fontId="50" fillId="3" borderId="0" xfId="12" applyFont="1" applyFill="1"/>
    <xf numFmtId="0" fontId="47" fillId="3" borderId="0" xfId="0" applyFont="1" applyFill="1"/>
    <xf numFmtId="1" fontId="47" fillId="3" borderId="1" xfId="0" applyNumberFormat="1" applyFont="1" applyFill="1" applyBorder="1" applyAlignment="1">
      <alignment horizontal="center" vertical="center"/>
    </xf>
    <xf numFmtId="49" fontId="47" fillId="3" borderId="1" xfId="0" applyNumberFormat="1" applyFont="1" applyFill="1" applyBorder="1" applyAlignment="1">
      <alignment wrapText="1"/>
    </xf>
    <xf numFmtId="2" fontId="47" fillId="3" borderId="1" xfId="10" applyNumberFormat="1" applyFont="1" applyFill="1" applyBorder="1" applyAlignment="1">
      <alignment horizontal="center"/>
    </xf>
    <xf numFmtId="0" fontId="47" fillId="3" borderId="1" xfId="0" applyFont="1" applyFill="1" applyBorder="1" applyAlignment="1">
      <alignment horizontal="center"/>
    </xf>
    <xf numFmtId="4" fontId="47" fillId="3" borderId="1" xfId="0" applyNumberFormat="1" applyFont="1" applyFill="1" applyBorder="1" applyAlignment="1">
      <alignment horizontal="center"/>
    </xf>
    <xf numFmtId="2" fontId="47" fillId="3" borderId="1" xfId="0" applyNumberFormat="1" applyFont="1" applyFill="1" applyBorder="1" applyAlignment="1">
      <alignment horizontal="center"/>
    </xf>
    <xf numFmtId="1" fontId="47" fillId="3" borderId="0" xfId="0" applyNumberFormat="1" applyFont="1" applyFill="1"/>
    <xf numFmtId="167" fontId="48" fillId="6" borderId="1" xfId="0" applyNumberFormat="1" applyFont="1" applyFill="1" applyBorder="1" applyAlignment="1">
      <alignment horizontal="center"/>
    </xf>
    <xf numFmtId="165" fontId="33" fillId="0" borderId="1" xfId="65" applyNumberFormat="1" applyFont="1" applyFill="1" applyBorder="1"/>
    <xf numFmtId="3" fontId="33" fillId="0" borderId="1" xfId="0" applyNumberFormat="1" applyFont="1" applyBorder="1"/>
    <xf numFmtId="3" fontId="54" fillId="0" borderId="0" xfId="65" applyNumberFormat="1" applyFont="1" applyBorder="1"/>
    <xf numFmtId="165" fontId="33" fillId="0" borderId="1" xfId="0" applyNumberFormat="1" applyFont="1" applyBorder="1"/>
    <xf numFmtId="3" fontId="54" fillId="0" borderId="1" xfId="65" applyNumberFormat="1" applyFont="1" applyBorder="1"/>
    <xf numFmtId="165" fontId="39" fillId="0" borderId="1" xfId="0" applyNumberFormat="1" applyFont="1" applyBorder="1"/>
    <xf numFmtId="165" fontId="39" fillId="0" borderId="1" xfId="65" applyNumberFormat="1" applyFont="1" applyBorder="1"/>
    <xf numFmtId="3" fontId="39" fillId="0" borderId="1" xfId="0" applyNumberFormat="1" applyFont="1" applyBorder="1"/>
    <xf numFmtId="3" fontId="39" fillId="6" borderId="1" xfId="0" applyNumberFormat="1" applyFont="1" applyFill="1" applyBorder="1"/>
    <xf numFmtId="3" fontId="39" fillId="6" borderId="1" xfId="0" applyNumberFormat="1" applyFont="1" applyFill="1" applyBorder="1" applyAlignment="1">
      <alignment vertical="center"/>
    </xf>
    <xf numFmtId="0" fontId="6" fillId="0" borderId="6" xfId="0" applyFont="1" applyBorder="1" applyAlignment="1">
      <alignment horizontal="center" vertical="center" wrapText="1"/>
    </xf>
    <xf numFmtId="0" fontId="6" fillId="2" borderId="31" xfId="0" applyFont="1" applyFill="1" applyBorder="1" applyAlignment="1">
      <alignment horizontal="justify" vertical="top" wrapText="1"/>
    </xf>
    <xf numFmtId="0" fontId="54" fillId="0" borderId="1" xfId="63" applyFont="1" applyBorder="1" applyAlignment="1">
      <alignment wrapText="1"/>
    </xf>
    <xf numFmtId="0" fontId="54" fillId="0" borderId="0" xfId="63" applyFont="1"/>
    <xf numFmtId="0" fontId="54" fillId="4" borderId="1" xfId="63" applyFont="1" applyFill="1" applyBorder="1"/>
    <xf numFmtId="0" fontId="54" fillId="0" borderId="1" xfId="63" applyFont="1" applyBorder="1"/>
    <xf numFmtId="0" fontId="54" fillId="4" borderId="1" xfId="63" applyFont="1" applyFill="1" applyBorder="1" applyAlignment="1">
      <alignment horizontal="center" vertical="center" wrapText="1"/>
    </xf>
    <xf numFmtId="0" fontId="54" fillId="3" borderId="1" xfId="63" applyFont="1" applyFill="1" applyBorder="1"/>
    <xf numFmtId="0" fontId="54" fillId="0" borderId="0" xfId="63" applyFont="1" applyAlignment="1">
      <alignment wrapText="1"/>
    </xf>
    <xf numFmtId="165" fontId="67" fillId="0" borderId="1" xfId="47" applyNumberFormat="1" applyFont="1" applyBorder="1" applyAlignment="1">
      <alignment horizontal="center" vertical="center"/>
    </xf>
    <xf numFmtId="0" fontId="54" fillId="3" borderId="1" xfId="63" applyFont="1" applyFill="1" applyBorder="1" applyAlignment="1">
      <alignment wrapText="1"/>
    </xf>
    <xf numFmtId="0" fontId="54" fillId="0" borderId="1" xfId="63" applyFont="1" applyBorder="1" applyAlignment="1">
      <alignment vertical="center" wrapText="1"/>
    </xf>
    <xf numFmtId="0" fontId="63" fillId="0" borderId="1" xfId="46" applyFont="1" applyBorder="1" applyAlignment="1">
      <alignment horizontal="center" vertical="center" wrapText="1"/>
    </xf>
    <xf numFmtId="0" fontId="63" fillId="0" borderId="1" xfId="46" applyFont="1" applyBorder="1" applyAlignment="1">
      <alignment horizontal="left" vertical="center"/>
    </xf>
    <xf numFmtId="0" fontId="54" fillId="6" borderId="1" xfId="63" applyFont="1" applyFill="1" applyBorder="1" applyAlignment="1">
      <alignment wrapText="1"/>
    </xf>
    <xf numFmtId="0" fontId="63" fillId="0" borderId="0" xfId="46" applyFont="1"/>
    <xf numFmtId="0" fontId="63" fillId="0" borderId="1" xfId="46" applyFont="1" applyBorder="1" applyAlignment="1">
      <alignment horizontal="center" vertical="center"/>
    </xf>
    <xf numFmtId="0" fontId="63" fillId="0" borderId="0" xfId="46" applyFont="1" applyAlignment="1">
      <alignment vertical="center" wrapText="1"/>
    </xf>
    <xf numFmtId="0" fontId="63" fillId="0" borderId="1" xfId="46" applyFont="1" applyBorder="1"/>
    <xf numFmtId="0" fontId="63" fillId="0" borderId="0" xfId="46" applyFont="1" applyAlignment="1">
      <alignment horizontal="right"/>
    </xf>
    <xf numFmtId="0" fontId="63" fillId="0" borderId="0" xfId="4" applyFont="1" applyAlignment="1">
      <alignment horizontal="right"/>
    </xf>
    <xf numFmtId="165" fontId="63" fillId="0" borderId="1" xfId="47" applyNumberFormat="1" applyFont="1" applyFill="1" applyBorder="1" applyAlignment="1">
      <alignment horizontal="center" vertical="center"/>
    </xf>
    <xf numFmtId="171" fontId="63" fillId="0" borderId="1" xfId="0" applyNumberFormat="1" applyFont="1" applyBorder="1"/>
    <xf numFmtId="165" fontId="63" fillId="3" borderId="1" xfId="47" applyNumberFormat="1" applyFont="1" applyFill="1" applyBorder="1" applyAlignment="1">
      <alignment horizontal="center" vertical="center"/>
    </xf>
    <xf numFmtId="0" fontId="67" fillId="0" borderId="0" xfId="4" applyFont="1"/>
    <xf numFmtId="0" fontId="67" fillId="3" borderId="0" xfId="4" applyFont="1" applyFill="1"/>
    <xf numFmtId="0" fontId="63" fillId="3" borderId="0" xfId="46" applyFont="1" applyFill="1"/>
    <xf numFmtId="2" fontId="67" fillId="0" borderId="0" xfId="4" applyNumberFormat="1" applyFont="1"/>
    <xf numFmtId="0" fontId="3" fillId="0" borderId="0" xfId="4" applyFont="1"/>
    <xf numFmtId="0" fontId="63" fillId="6" borderId="5" xfId="46" applyFont="1" applyFill="1" applyBorder="1" applyAlignment="1">
      <alignment horizontal="center" vertical="center" wrapText="1"/>
    </xf>
    <xf numFmtId="0" fontId="63" fillId="6" borderId="1" xfId="46" applyFont="1" applyFill="1" applyBorder="1" applyAlignment="1">
      <alignment horizontal="center" vertical="center" wrapText="1"/>
    </xf>
    <xf numFmtId="0" fontId="63" fillId="6" borderId="1" xfId="6" applyFont="1" applyFill="1" applyBorder="1" applyAlignment="1">
      <alignment horizontal="center" vertical="center" wrapText="1"/>
    </xf>
    <xf numFmtId="0" fontId="67" fillId="6" borderId="0" xfId="4" applyFont="1" applyFill="1"/>
    <xf numFmtId="0" fontId="63" fillId="6" borderId="1" xfId="46" applyFont="1" applyFill="1" applyBorder="1" applyAlignment="1">
      <alignment horizontal="center" vertical="center"/>
    </xf>
    <xf numFmtId="0" fontId="63" fillId="3" borderId="1" xfId="46" applyFont="1" applyFill="1" applyBorder="1" applyAlignment="1">
      <alignment horizontal="center" vertical="center"/>
    </xf>
    <xf numFmtId="169" fontId="67" fillId="3" borderId="1" xfId="70" applyNumberFormat="1" applyFont="1" applyFill="1" applyBorder="1" applyAlignment="1" applyProtection="1">
      <alignment horizontal="center" vertical="center" wrapText="1"/>
      <protection locked="0"/>
    </xf>
    <xf numFmtId="0" fontId="67" fillId="3" borderId="1" xfId="70" applyFont="1" applyFill="1" applyBorder="1" applyAlignment="1" applyProtection="1">
      <alignment horizontal="left" vertical="center" wrapText="1"/>
      <protection locked="0"/>
    </xf>
    <xf numFmtId="0" fontId="67" fillId="3" borderId="1" xfId="46" applyFont="1" applyFill="1" applyBorder="1" applyAlignment="1" applyProtection="1">
      <alignment horizontal="center" vertical="center" wrapText="1"/>
      <protection locked="0"/>
    </xf>
    <xf numFmtId="2" fontId="67" fillId="3" borderId="1" xfId="46" applyNumberFormat="1" applyFont="1" applyFill="1" applyBorder="1" applyAlignment="1" applyProtection="1">
      <alignment horizontal="center" vertical="center" wrapText="1"/>
      <protection locked="0"/>
    </xf>
    <xf numFmtId="2" fontId="63" fillId="3" borderId="1" xfId="46" applyNumberFormat="1" applyFont="1" applyFill="1" applyBorder="1" applyAlignment="1">
      <alignment horizontal="center" vertical="center"/>
    </xf>
    <xf numFmtId="2" fontId="63" fillId="3" borderId="1" xfId="6" applyNumberFormat="1" applyFont="1" applyFill="1" applyBorder="1" applyAlignment="1">
      <alignment horizontal="center" vertical="center"/>
    </xf>
    <xf numFmtId="1" fontId="63" fillId="3" borderId="1" xfId="46" applyNumberFormat="1" applyFont="1" applyFill="1" applyBorder="1" applyAlignment="1">
      <alignment horizontal="center" vertical="center"/>
    </xf>
    <xf numFmtId="0" fontId="67" fillId="3" borderId="0" xfId="4" applyFont="1" applyFill="1" applyAlignment="1">
      <alignment vertical="center"/>
    </xf>
    <xf numFmtId="49" fontId="67" fillId="3" borderId="62" xfId="10" applyNumberFormat="1" applyFont="1" applyFill="1" applyBorder="1" applyAlignment="1">
      <alignment horizontal="left" vertical="center" wrapText="1"/>
    </xf>
    <xf numFmtId="0" fontId="67" fillId="3" borderId="1" xfId="38" applyFont="1" applyFill="1" applyBorder="1" applyAlignment="1">
      <alignment horizontal="left" vertical="center" wrapText="1"/>
    </xf>
    <xf numFmtId="0" fontId="63" fillId="3" borderId="5" xfId="4" applyFont="1" applyFill="1" applyBorder="1" applyAlignment="1">
      <alignment horizontal="left" vertical="center" wrapText="1"/>
    </xf>
    <xf numFmtId="0" fontId="67" fillId="0" borderId="0" xfId="4" applyFont="1" applyAlignment="1">
      <alignment horizontal="center" vertical="center"/>
    </xf>
    <xf numFmtId="3" fontId="68" fillId="0" borderId="6" xfId="4" applyNumberFormat="1" applyFont="1" applyBorder="1"/>
    <xf numFmtId="0" fontId="68" fillId="0" borderId="0" xfId="4" applyFont="1"/>
    <xf numFmtId="0" fontId="68" fillId="6" borderId="1" xfId="4" applyFont="1" applyFill="1" applyBorder="1" applyAlignment="1">
      <alignment horizontal="center" vertical="center"/>
    </xf>
    <xf numFmtId="165" fontId="67" fillId="3" borderId="1" xfId="47" applyNumberFormat="1" applyFont="1" applyFill="1" applyBorder="1" applyAlignment="1">
      <alignment horizontal="center" vertical="center"/>
    </xf>
    <xf numFmtId="165" fontId="68" fillId="0" borderId="1" xfId="47" applyNumberFormat="1" applyFont="1" applyBorder="1" applyAlignment="1">
      <alignment horizontal="center" vertical="center"/>
    </xf>
    <xf numFmtId="0" fontId="6" fillId="2" borderId="5" xfId="0" applyFont="1" applyFill="1" applyBorder="1" applyAlignment="1">
      <alignment horizontal="justify" vertical="top" wrapText="1"/>
    </xf>
    <xf numFmtId="0" fontId="11" fillId="3" borderId="16" xfId="0" applyFont="1" applyFill="1" applyBorder="1" applyAlignment="1">
      <alignment horizontal="center" vertical="center" wrapText="1"/>
    </xf>
    <xf numFmtId="0" fontId="11" fillId="3" borderId="3" xfId="0" applyFont="1" applyFill="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0" fontId="9" fillId="3" borderId="41" xfId="0" applyFont="1" applyFill="1" applyBorder="1" applyAlignment="1">
      <alignment horizontal="center" vertical="top"/>
    </xf>
    <xf numFmtId="0" fontId="6" fillId="3" borderId="6" xfId="0" applyFont="1" applyFill="1" applyBorder="1" applyAlignment="1">
      <alignment horizontal="justify" vertical="top"/>
    </xf>
    <xf numFmtId="0" fontId="9" fillId="3" borderId="12" xfId="0" applyFont="1" applyFill="1" applyBorder="1" applyAlignment="1">
      <alignment horizontal="center" vertical="top"/>
    </xf>
    <xf numFmtId="0" fontId="6" fillId="3" borderId="7" xfId="0" applyFont="1" applyFill="1" applyBorder="1" applyAlignment="1">
      <alignment vertical="top" wrapText="1"/>
    </xf>
    <xf numFmtId="0" fontId="7" fillId="3" borderId="5" xfId="0" applyFont="1" applyFill="1" applyBorder="1" applyAlignment="1">
      <alignment vertical="top" wrapText="1"/>
    </xf>
    <xf numFmtId="0" fontId="6" fillId="3" borderId="5" xfId="0" applyFont="1" applyFill="1" applyBorder="1" applyAlignment="1">
      <alignment vertical="top" wrapText="1"/>
    </xf>
    <xf numFmtId="0" fontId="20" fillId="0" borderId="5"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3" fillId="0" borderId="0" xfId="9" applyFont="1"/>
    <xf numFmtId="0" fontId="39" fillId="0" borderId="0" xfId="9" applyFont="1"/>
    <xf numFmtId="0" fontId="41" fillId="2" borderId="6" xfId="9" applyFont="1" applyFill="1" applyBorder="1" applyAlignment="1">
      <alignment horizontal="center" vertical="center" wrapText="1"/>
    </xf>
    <xf numFmtId="0" fontId="41" fillId="2" borderId="17" xfId="9" applyFont="1" applyFill="1" applyBorder="1" applyAlignment="1">
      <alignment horizontal="left" vertical="center" wrapText="1"/>
    </xf>
    <xf numFmtId="0" fontId="41" fillId="2" borderId="17" xfId="9" applyFont="1" applyFill="1" applyBorder="1" applyAlignment="1">
      <alignment horizontal="center" vertical="center" wrapText="1"/>
    </xf>
    <xf numFmtId="0" fontId="38" fillId="2" borderId="17" xfId="9" applyFont="1" applyFill="1" applyBorder="1" applyAlignment="1">
      <alignment horizontal="center" vertical="center" wrapText="1"/>
    </xf>
    <xf numFmtId="0" fontId="38" fillId="4" borderId="1" xfId="9" applyFont="1" applyFill="1" applyBorder="1" applyAlignment="1">
      <alignment horizontal="center" vertical="center" wrapText="1"/>
    </xf>
    <xf numFmtId="0" fontId="38" fillId="4" borderId="3" xfId="9"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0" fontId="6" fillId="0" borderId="5" xfId="0" applyFont="1" applyFill="1" applyBorder="1" applyAlignment="1">
      <alignment horizontal="left" vertical="top" wrapText="1"/>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6" fillId="0" borderId="1" xfId="0" applyFont="1" applyFill="1" applyBorder="1" applyAlignment="1">
      <alignment horizontal="left" vertical="top" wrapText="1"/>
    </xf>
    <xf numFmtId="0" fontId="9" fillId="0" borderId="13" xfId="0" applyFont="1" applyBorder="1" applyAlignment="1">
      <alignment horizontal="center" vertical="center" wrapText="1"/>
    </xf>
    <xf numFmtId="0" fontId="6" fillId="0" borderId="1" xfId="0" applyFont="1" applyBorder="1" applyAlignment="1">
      <alignment vertical="top" wrapText="1"/>
    </xf>
    <xf numFmtId="0" fontId="5" fillId="2" borderId="20" xfId="0" applyFont="1" applyFill="1" applyBorder="1" applyAlignment="1">
      <alignment horizontal="center" vertical="center" wrapText="1"/>
    </xf>
    <xf numFmtId="0" fontId="6" fillId="0" borderId="31" xfId="0" applyFont="1" applyBorder="1" applyAlignment="1">
      <alignment horizontal="left" vertical="center" wrapText="1"/>
    </xf>
    <xf numFmtId="0" fontId="6" fillId="0" borderId="5" xfId="0" applyFont="1" applyBorder="1" applyAlignment="1">
      <alignment horizontal="center" vertical="center"/>
    </xf>
    <xf numFmtId="0" fontId="5" fillId="0" borderId="1" xfId="0" applyFont="1" applyBorder="1" applyAlignment="1">
      <alignment horizontal="center" vertical="center" wrapText="1"/>
    </xf>
    <xf numFmtId="0" fontId="6" fillId="0" borderId="9" xfId="0" applyFont="1" applyBorder="1" applyAlignment="1">
      <alignment horizontal="center" vertical="center" wrapText="1"/>
    </xf>
    <xf numFmtId="0" fontId="9" fillId="0" borderId="13" xfId="0" applyFont="1" applyBorder="1" applyAlignment="1">
      <alignment horizontal="center" vertical="center"/>
    </xf>
    <xf numFmtId="0" fontId="6" fillId="0" borderId="1" xfId="0" applyFont="1" applyBorder="1" applyAlignment="1">
      <alignment vertical="top"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31" xfId="0" applyFont="1" applyBorder="1" applyAlignment="1">
      <alignment horizontal="center" vertical="center"/>
    </xf>
    <xf numFmtId="0" fontId="6" fillId="0" borderId="5" xfId="0" applyFont="1" applyBorder="1" applyAlignment="1">
      <alignment horizontal="center" vertical="center" wrapText="1"/>
    </xf>
    <xf numFmtId="0" fontId="6"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9" fillId="0" borderId="13" xfId="0" applyFont="1" applyFill="1" applyBorder="1" applyAlignment="1">
      <alignment horizontal="center" vertical="center" wrapText="1"/>
    </xf>
    <xf numFmtId="0" fontId="5" fillId="3" borderId="1" xfId="0" applyFont="1" applyFill="1" applyBorder="1" applyAlignment="1">
      <alignment horizontal="left" vertical="top" wrapText="1"/>
    </xf>
    <xf numFmtId="0" fontId="11" fillId="3" borderId="17" xfId="0" applyFont="1" applyFill="1" applyBorder="1" applyAlignment="1">
      <alignment horizontal="center" vertical="center" wrapText="1"/>
    </xf>
    <xf numFmtId="0" fontId="5" fillId="3" borderId="6" xfId="0" applyFont="1" applyFill="1" applyBorder="1" applyAlignment="1">
      <alignment vertical="center" wrapText="1"/>
    </xf>
    <xf numFmtId="0" fontId="5" fillId="2" borderId="6" xfId="0" applyFont="1" applyFill="1" applyBorder="1" applyAlignment="1">
      <alignment vertical="top" wrapText="1"/>
    </xf>
    <xf numFmtId="0" fontId="5" fillId="2" borderId="17"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3" borderId="7" xfId="0" applyFont="1" applyFill="1" applyBorder="1" applyAlignment="1">
      <alignment horizontal="justify" vertical="top" wrapText="1"/>
    </xf>
    <xf numFmtId="0" fontId="5" fillId="3" borderId="22" xfId="0" applyFont="1" applyFill="1" applyBorder="1" applyAlignment="1">
      <alignment vertical="top" wrapText="1"/>
    </xf>
    <xf numFmtId="0" fontId="5" fillId="3" borderId="7" xfId="0" applyFont="1" applyFill="1" applyBorder="1" applyAlignment="1">
      <alignment horizontal="left" vertical="top" wrapText="1"/>
    </xf>
    <xf numFmtId="0" fontId="5" fillId="3" borderId="2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56" xfId="0" applyFont="1" applyBorder="1" applyAlignment="1">
      <alignment horizontal="center" vertical="center" wrapText="1"/>
    </xf>
    <xf numFmtId="0" fontId="5" fillId="0" borderId="31" xfId="0" applyFont="1" applyBorder="1" applyAlignment="1">
      <alignment horizontal="center" vertical="center" wrapText="1"/>
    </xf>
    <xf numFmtId="0" fontId="6" fillId="0" borderId="20" xfId="0" applyFont="1" applyBorder="1" applyAlignment="1">
      <alignment horizontal="center" vertical="center"/>
    </xf>
    <xf numFmtId="0" fontId="6" fillId="2" borderId="24" xfId="0" applyFont="1" applyFill="1" applyBorder="1" applyAlignment="1">
      <alignment horizontal="justify" vertical="top" wrapText="1"/>
    </xf>
    <xf numFmtId="0" fontId="10" fillId="3" borderId="5"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5"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3" borderId="5" xfId="0" applyFont="1" applyFill="1" applyBorder="1" applyAlignment="1">
      <alignment horizontal="left" vertical="top" wrapText="1"/>
    </xf>
    <xf numFmtId="0" fontId="9" fillId="3" borderId="21" xfId="0" applyFont="1" applyFill="1" applyBorder="1" applyAlignment="1">
      <alignment horizontal="center" vertical="center"/>
    </xf>
    <xf numFmtId="3" fontId="7" fillId="3" borderId="24" xfId="0" applyNumberFormat="1" applyFont="1" applyFill="1" applyBorder="1" applyAlignment="1">
      <alignment horizontal="center" vertical="center" wrapText="1"/>
    </xf>
    <xf numFmtId="0" fontId="6" fillId="3" borderId="1" xfId="0" applyFont="1" applyFill="1" applyBorder="1" applyAlignment="1">
      <alignment horizontal="left" vertical="top" wrapText="1"/>
    </xf>
    <xf numFmtId="0" fontId="5" fillId="0" borderId="31" xfId="0" applyFont="1" applyBorder="1" applyAlignment="1">
      <alignment horizontal="center" vertical="top" wrapText="1"/>
    </xf>
    <xf numFmtId="0" fontId="7" fillId="0" borderId="31" xfId="0" applyFont="1" applyBorder="1" applyAlignment="1">
      <alignment horizontal="center" vertical="center" wrapText="1"/>
    </xf>
    <xf numFmtId="0" fontId="5" fillId="3" borderId="1" xfId="0" applyFont="1" applyFill="1" applyBorder="1" applyAlignment="1">
      <alignment horizontal="justify" vertical="top"/>
    </xf>
    <xf numFmtId="0" fontId="5" fillId="0" borderId="6" xfId="0" applyFont="1" applyBorder="1" applyAlignment="1">
      <alignment horizontal="justify" vertical="top"/>
    </xf>
    <xf numFmtId="0" fontId="0" fillId="0" borderId="0" xfId="0"/>
    <xf numFmtId="0" fontId="7" fillId="2" borderId="1" xfId="0" applyFont="1" applyFill="1" applyBorder="1" applyAlignment="1">
      <alignment horizontal="justify" vertical="top" wrapText="1"/>
    </xf>
    <xf numFmtId="3" fontId="5" fillId="3" borderId="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0" fontId="0" fillId="3" borderId="0" xfId="0" applyFill="1"/>
    <xf numFmtId="0" fontId="33" fillId="0" borderId="0" xfId="0" applyFont="1"/>
    <xf numFmtId="0" fontId="39" fillId="4" borderId="1" xfId="0" applyFont="1" applyFill="1" applyBorder="1" applyAlignment="1">
      <alignment horizontal="center" vertical="center" wrapText="1"/>
    </xf>
    <xf numFmtId="0" fontId="33" fillId="0" borderId="0" xfId="0" applyFont="1" applyAlignment="1">
      <alignment wrapText="1"/>
    </xf>
    <xf numFmtId="0" fontId="58" fillId="0" borderId="0" xfId="0" applyFont="1"/>
    <xf numFmtId="0" fontId="39" fillId="3" borderId="1" xfId="0" applyFont="1" applyFill="1" applyBorder="1" applyAlignment="1">
      <alignment horizontal="center" vertical="center"/>
    </xf>
    <xf numFmtId="0" fontId="33" fillId="3" borderId="1" xfId="0" applyFont="1" applyFill="1" applyBorder="1" applyAlignment="1">
      <alignment horizontal="center" vertical="center"/>
    </xf>
    <xf numFmtId="0" fontId="33" fillId="3" borderId="1" xfId="0" applyFont="1" applyFill="1" applyBorder="1"/>
    <xf numFmtId="0" fontId="63" fillId="3" borderId="1" xfId="0" applyFont="1" applyFill="1" applyBorder="1" applyAlignment="1">
      <alignment horizontal="center" vertical="center" wrapText="1"/>
    </xf>
    <xf numFmtId="0" fontId="54" fillId="0" borderId="0" xfId="4" applyFont="1"/>
    <xf numFmtId="2" fontId="33" fillId="3" borderId="6" xfId="0" applyNumberFormat="1" applyFont="1" applyFill="1" applyBorder="1" applyAlignment="1">
      <alignment horizontal="center" vertical="center" wrapText="1"/>
    </xf>
    <xf numFmtId="2" fontId="33" fillId="3" borderId="1" xfId="0" applyNumberFormat="1" applyFont="1" applyFill="1" applyBorder="1" applyAlignment="1">
      <alignment horizontal="center" vertical="center" wrapText="1"/>
    </xf>
    <xf numFmtId="3" fontId="63" fillId="4" borderId="1" xfId="0" applyNumberFormat="1" applyFont="1" applyFill="1" applyBorder="1" applyAlignment="1">
      <alignment horizontal="center" vertical="center" wrapText="1"/>
    </xf>
    <xf numFmtId="0" fontId="58" fillId="3" borderId="6" xfId="0" applyFont="1" applyFill="1" applyBorder="1" applyAlignment="1">
      <alignment horizontal="center" vertical="center" wrapText="1"/>
    </xf>
    <xf numFmtId="0" fontId="58" fillId="3" borderId="1" xfId="0" applyFont="1" applyFill="1" applyBorder="1" applyAlignment="1">
      <alignment horizontal="center" vertical="center" wrapText="1"/>
    </xf>
    <xf numFmtId="0" fontId="67" fillId="0" borderId="0" xfId="4" applyFont="1"/>
    <xf numFmtId="2" fontId="44" fillId="3" borderId="6" xfId="0" applyNumberFormat="1" applyFont="1" applyFill="1" applyBorder="1" applyAlignment="1">
      <alignment horizontal="center" vertical="center" wrapText="1"/>
    </xf>
    <xf numFmtId="2" fontId="63" fillId="3" borderId="6" xfId="0" applyNumberFormat="1" applyFont="1" applyFill="1" applyBorder="1" applyAlignment="1">
      <alignment horizontal="center" vertical="center" wrapText="1"/>
    </xf>
    <xf numFmtId="2" fontId="63" fillId="3" borderId="17" xfId="0" applyNumberFormat="1" applyFont="1" applyFill="1" applyBorder="1" applyAlignment="1">
      <alignment horizontal="center" vertical="center" wrapText="1"/>
    </xf>
    <xf numFmtId="0" fontId="63" fillId="3" borderId="6" xfId="0" applyFont="1" applyFill="1" applyBorder="1" applyAlignment="1">
      <alignment horizontal="center" vertical="center" wrapText="1"/>
    </xf>
    <xf numFmtId="49" fontId="58" fillId="3" borderId="1" xfId="0" applyNumberFormat="1" applyFont="1" applyFill="1" applyBorder="1" applyAlignment="1">
      <alignment horizontal="left" vertical="center" wrapText="1"/>
    </xf>
    <xf numFmtId="1" fontId="39" fillId="3" borderId="5" xfId="0" applyNumberFormat="1" applyFont="1" applyFill="1" applyBorder="1" applyAlignment="1">
      <alignment horizontal="center" vertical="center"/>
    </xf>
    <xf numFmtId="0" fontId="39" fillId="3" borderId="24" xfId="0" applyFont="1" applyFill="1" applyBorder="1" applyAlignment="1">
      <alignment wrapText="1"/>
    </xf>
    <xf numFmtId="0" fontId="63" fillId="3" borderId="1" xfId="7" applyFont="1" applyFill="1" applyBorder="1"/>
    <xf numFmtId="2" fontId="68" fillId="3" borderId="1" xfId="7" applyNumberFormat="1" applyFont="1" applyFill="1" applyBorder="1" applyAlignment="1">
      <alignment horizontal="center" vertical="center"/>
    </xf>
    <xf numFmtId="0" fontId="33" fillId="3" borderId="0" xfId="0" applyFont="1" applyFill="1"/>
    <xf numFmtId="0" fontId="52" fillId="3" borderId="91" xfId="0" applyFont="1" applyFill="1" applyBorder="1"/>
    <xf numFmtId="3" fontId="33" fillId="0" borderId="0" xfId="0" applyNumberFormat="1" applyFont="1" applyBorder="1" applyAlignment="1">
      <alignment horizontal="right" wrapText="1"/>
    </xf>
    <xf numFmtId="0" fontId="63" fillId="3" borderId="21" xfId="7" applyFont="1" applyFill="1" applyBorder="1" applyAlignment="1">
      <alignment horizontal="center" vertical="center"/>
    </xf>
    <xf numFmtId="0" fontId="63" fillId="0" borderId="0" xfId="7" applyFont="1" applyAlignment="1">
      <alignment horizontal="center" vertical="center" wrapText="1"/>
    </xf>
    <xf numFmtId="0" fontId="54" fillId="3" borderId="2" xfId="0" applyFont="1" applyFill="1" applyBorder="1"/>
    <xf numFmtId="0" fontId="63" fillId="0" borderId="0" xfId="7" applyFont="1"/>
    <xf numFmtId="49" fontId="33" fillId="3" borderId="0" xfId="0" applyNumberFormat="1" applyFont="1" applyFill="1" applyAlignment="1">
      <alignment horizontal="center" vertical="center" wrapText="1"/>
    </xf>
    <xf numFmtId="1" fontId="33" fillId="3" borderId="1" xfId="0" applyNumberFormat="1" applyFont="1" applyFill="1" applyBorder="1" applyAlignment="1">
      <alignment horizontal="center" vertical="center" wrapText="1"/>
    </xf>
    <xf numFmtId="0" fontId="63" fillId="3" borderId="1" xfId="0" applyFont="1" applyFill="1" applyBorder="1" applyAlignment="1">
      <alignment horizontal="left" vertical="center" wrapText="1"/>
    </xf>
    <xf numFmtId="0" fontId="39" fillId="3" borderId="5" xfId="0" applyFont="1" applyFill="1" applyBorder="1" applyAlignment="1">
      <alignment wrapText="1"/>
    </xf>
    <xf numFmtId="3" fontId="63" fillId="4" borderId="3" xfId="0" applyNumberFormat="1" applyFont="1" applyFill="1" applyBorder="1" applyAlignment="1">
      <alignment horizontal="center" vertical="center" wrapText="1"/>
    </xf>
    <xf numFmtId="2" fontId="58" fillId="3" borderId="6" xfId="0" applyNumberFormat="1" applyFont="1" applyFill="1" applyBorder="1" applyAlignment="1">
      <alignment horizontal="center" vertical="center" wrapText="1"/>
    </xf>
    <xf numFmtId="0" fontId="54" fillId="3" borderId="2" xfId="0" applyFont="1" applyFill="1" applyBorder="1" applyAlignment="1">
      <alignment wrapText="1"/>
    </xf>
    <xf numFmtId="1" fontId="33" fillId="3" borderId="5" xfId="0" applyNumberFormat="1" applyFont="1" applyFill="1" applyBorder="1" applyAlignment="1">
      <alignment horizontal="center" vertical="center"/>
    </xf>
    <xf numFmtId="0" fontId="39" fillId="3" borderId="1" xfId="0" applyFont="1" applyFill="1" applyBorder="1" applyAlignment="1">
      <alignment wrapText="1"/>
    </xf>
    <xf numFmtId="2" fontId="58" fillId="3" borderId="17" xfId="0" applyNumberFormat="1" applyFont="1" applyFill="1" applyBorder="1" applyAlignment="1">
      <alignment horizontal="center" vertical="center" wrapText="1"/>
    </xf>
    <xf numFmtId="1" fontId="33" fillId="3" borderId="1" xfId="0" applyNumberFormat="1" applyFont="1" applyFill="1" applyBorder="1" applyAlignment="1">
      <alignment wrapText="1"/>
    </xf>
    <xf numFmtId="0" fontId="63" fillId="0" borderId="0" xfId="7" applyFont="1" applyAlignment="1">
      <alignment vertical="center" wrapText="1"/>
    </xf>
    <xf numFmtId="1" fontId="39" fillId="3" borderId="59" xfId="0" applyNumberFormat="1" applyFont="1" applyFill="1" applyBorder="1" applyAlignment="1">
      <alignment horizontal="center" vertical="center"/>
    </xf>
    <xf numFmtId="43" fontId="31" fillId="3" borderId="6" xfId="47" applyFont="1" applyFill="1" applyBorder="1" applyAlignment="1">
      <alignment horizontal="center" vertical="center" wrapText="1"/>
    </xf>
    <xf numFmtId="0" fontId="141" fillId="3" borderId="17" xfId="0" applyFont="1" applyFill="1" applyBorder="1" applyAlignment="1">
      <alignment horizontal="center" vertical="center" wrapText="1"/>
    </xf>
    <xf numFmtId="169" fontId="33" fillId="3" borderId="1" xfId="0" applyNumberFormat="1" applyFont="1" applyFill="1" applyBorder="1" applyAlignment="1">
      <alignment horizontal="center" vertical="center" wrapText="1"/>
    </xf>
    <xf numFmtId="0" fontId="33" fillId="3" borderId="1" xfId="0" applyFont="1" applyFill="1" applyBorder="1" applyAlignment="1">
      <alignment wrapText="1"/>
    </xf>
    <xf numFmtId="0" fontId="63" fillId="0" borderId="1" xfId="7" applyFont="1" applyBorder="1" applyAlignment="1">
      <alignment horizontal="center" vertical="center" wrapText="1"/>
    </xf>
    <xf numFmtId="0" fontId="63" fillId="0" borderId="0" xfId="7" applyFont="1" applyAlignment="1">
      <alignment horizontal="right"/>
    </xf>
    <xf numFmtId="0" fontId="39" fillId="3" borderId="0" xfId="0" applyFont="1" applyFill="1" applyAlignment="1">
      <alignment wrapText="1"/>
    </xf>
    <xf numFmtId="0" fontId="140" fillId="0" borderId="0" xfId="4" applyFont="1"/>
    <xf numFmtId="2" fontId="67" fillId="3" borderId="1" xfId="7" applyNumberFormat="1" applyFont="1" applyFill="1" applyBorder="1" applyAlignment="1" applyProtection="1">
      <alignment horizontal="center" vertical="center" wrapText="1"/>
      <protection locked="0"/>
    </xf>
    <xf numFmtId="0" fontId="33" fillId="3" borderId="2" xfId="0" applyFont="1" applyFill="1" applyBorder="1"/>
    <xf numFmtId="0" fontId="33" fillId="0" borderId="0" xfId="0" applyFont="1" applyBorder="1" applyAlignment="1">
      <alignment horizontal="left" wrapText="1"/>
    </xf>
    <xf numFmtId="1" fontId="33" fillId="3" borderId="1" xfId="0" applyNumberFormat="1" applyFont="1" applyFill="1" applyBorder="1" applyAlignment="1">
      <alignment horizontal="center" vertical="center"/>
    </xf>
    <xf numFmtId="2" fontId="63" fillId="3" borderId="1" xfId="7" applyNumberFormat="1" applyFont="1" applyFill="1" applyBorder="1" applyAlignment="1">
      <alignment horizontal="center" vertical="center"/>
    </xf>
    <xf numFmtId="0" fontId="52" fillId="3" borderId="90" xfId="0" applyFont="1" applyFill="1" applyBorder="1" applyAlignment="1">
      <alignment wrapText="1"/>
    </xf>
    <xf numFmtId="3" fontId="58" fillId="4" borderId="1" xfId="0" applyNumberFormat="1" applyFont="1" applyFill="1" applyBorder="1" applyAlignment="1">
      <alignment horizontal="center" vertical="center" wrapText="1"/>
    </xf>
    <xf numFmtId="0" fontId="5" fillId="3" borderId="1" xfId="0" applyFont="1" applyFill="1" applyBorder="1" applyAlignment="1">
      <alignment horizontal="justify" vertical="center" wrapText="1"/>
    </xf>
    <xf numFmtId="0" fontId="67" fillId="3" borderId="1" xfId="7" applyFont="1" applyFill="1" applyBorder="1" applyAlignment="1">
      <alignment horizontal="center" vertical="center" wrapText="1"/>
    </xf>
    <xf numFmtId="2" fontId="67" fillId="3" borderId="1" xfId="7" applyNumberFormat="1" applyFont="1" applyFill="1" applyBorder="1" applyAlignment="1">
      <alignment horizontal="center" vertical="center"/>
    </xf>
    <xf numFmtId="0" fontId="39" fillId="3" borderId="2" xfId="0" applyFont="1" applyFill="1" applyBorder="1" applyAlignment="1">
      <alignment wrapText="1"/>
    </xf>
    <xf numFmtId="3" fontId="58" fillId="4" borderId="3" xfId="0" applyNumberFormat="1" applyFont="1" applyFill="1" applyBorder="1" applyAlignment="1">
      <alignment horizontal="center" vertical="center" wrapText="1"/>
    </xf>
    <xf numFmtId="3" fontId="142" fillId="3" borderId="6" xfId="0" applyNumberFormat="1" applyFont="1" applyFill="1" applyBorder="1" applyAlignment="1">
      <alignment horizontal="left" vertical="center" wrapText="1"/>
    </xf>
    <xf numFmtId="0" fontId="67" fillId="3" borderId="1" xfId="8" applyFont="1" applyFill="1" applyBorder="1" applyAlignment="1">
      <alignment horizontal="center" vertical="center" wrapText="1"/>
    </xf>
    <xf numFmtId="0" fontId="63" fillId="3" borderId="1" xfId="7" applyFont="1" applyFill="1" applyBorder="1" applyAlignment="1">
      <alignment horizontal="center" vertical="center"/>
    </xf>
    <xf numFmtId="0" fontId="52" fillId="3" borderId="1" xfId="0" applyFont="1" applyFill="1" applyBorder="1" applyAlignment="1">
      <alignment wrapText="1"/>
    </xf>
    <xf numFmtId="3" fontId="67" fillId="3" borderId="6" xfId="0" applyNumberFormat="1" applyFont="1" applyFill="1" applyBorder="1" applyAlignment="1">
      <alignment horizontal="left" vertical="center" wrapText="1"/>
    </xf>
    <xf numFmtId="1" fontId="52" fillId="4" borderId="91" xfId="0" applyNumberFormat="1" applyFont="1" applyFill="1" applyBorder="1"/>
    <xf numFmtId="0" fontId="65" fillId="3" borderId="1" xfId="7" applyFont="1" applyFill="1" applyBorder="1" applyAlignment="1">
      <alignment horizontal="center" vertical="center"/>
    </xf>
    <xf numFmtId="1" fontId="39" fillId="3" borderId="0" xfId="0" applyNumberFormat="1" applyFont="1" applyFill="1" applyAlignment="1">
      <alignment horizontal="center" vertical="center"/>
    </xf>
    <xf numFmtId="3" fontId="63" fillId="3" borderId="6" xfId="0" applyNumberFormat="1" applyFont="1" applyFill="1" applyBorder="1" applyAlignment="1">
      <alignment horizontal="left" vertical="center" wrapText="1"/>
    </xf>
    <xf numFmtId="0" fontId="52" fillId="4" borderId="90" xfId="0" applyFont="1" applyFill="1" applyBorder="1" applyAlignment="1">
      <alignment wrapText="1"/>
    </xf>
    <xf numFmtId="0" fontId="65" fillId="3" borderId="5" xfId="7" applyFont="1" applyFill="1" applyBorder="1" applyAlignment="1">
      <alignment horizontal="center" vertical="center"/>
    </xf>
    <xf numFmtId="0" fontId="39" fillId="3" borderId="0" xfId="0" applyFont="1" applyFill="1" applyAlignment="1">
      <alignment horizontal="center" wrapText="1"/>
    </xf>
    <xf numFmtId="3" fontId="63" fillId="3" borderId="6" xfId="0" applyNumberFormat="1" applyFont="1" applyFill="1" applyBorder="1" applyAlignment="1">
      <alignment horizontal="center" vertical="center" wrapText="1"/>
    </xf>
    <xf numFmtId="0" fontId="39" fillId="4" borderId="1" xfId="0" applyFont="1" applyFill="1" applyBorder="1" applyAlignment="1">
      <alignment wrapText="1"/>
    </xf>
    <xf numFmtId="0" fontId="63" fillId="3" borderId="5" xfId="7" applyFont="1" applyFill="1" applyBorder="1" applyAlignment="1">
      <alignment horizontal="center" vertical="center"/>
    </xf>
    <xf numFmtId="0" fontId="67" fillId="3" borderId="1" xfId="7" applyFont="1" applyFill="1" applyBorder="1" applyAlignment="1">
      <alignment vertical="center" wrapText="1"/>
    </xf>
    <xf numFmtId="3" fontId="67" fillId="3" borderId="6" xfId="0" applyNumberFormat="1" applyFont="1" applyFill="1" applyBorder="1" applyAlignment="1">
      <alignment horizontal="center" vertical="center" wrapText="1"/>
    </xf>
    <xf numFmtId="49" fontId="33" fillId="3" borderId="1" xfId="0" applyNumberFormat="1" applyFont="1" applyFill="1" applyBorder="1" applyAlignment="1">
      <alignment vertical="center" wrapText="1"/>
    </xf>
    <xf numFmtId="0" fontId="63" fillId="3" borderId="0" xfId="7" applyFont="1" applyFill="1"/>
    <xf numFmtId="0" fontId="63" fillId="3" borderId="0" xfId="7" applyFont="1" applyFill="1" applyAlignment="1">
      <alignment horizontal="right"/>
    </xf>
    <xf numFmtId="0" fontId="63" fillId="3" borderId="1" xfId="7" applyFont="1" applyFill="1" applyBorder="1" applyAlignment="1">
      <alignment horizontal="center" vertical="center" wrapText="1"/>
    </xf>
    <xf numFmtId="0" fontId="47" fillId="0" borderId="0" xfId="4" applyFont="1"/>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3" borderId="1" xfId="0" applyFont="1" applyFill="1" applyBorder="1" applyAlignment="1">
      <alignment horizontal="left" vertical="center" wrapText="1"/>
    </xf>
    <xf numFmtId="0" fontId="6" fillId="0" borderId="1" xfId="0" applyFont="1" applyBorder="1" applyAlignment="1">
      <alignment vertical="top" wrapText="1"/>
    </xf>
    <xf numFmtId="0" fontId="5" fillId="2" borderId="19" xfId="0" applyFont="1" applyFill="1" applyBorder="1" applyAlignment="1">
      <alignment horizontal="center" vertical="center" wrapText="1"/>
    </xf>
    <xf numFmtId="0" fontId="5" fillId="0" borderId="1" xfId="0" applyFont="1" applyBorder="1" applyAlignment="1">
      <alignment horizontal="center" vertical="center" wrapText="1"/>
    </xf>
    <xf numFmtId="0" fontId="63" fillId="3" borderId="1" xfId="7" applyFont="1" applyFill="1" applyBorder="1" applyAlignment="1">
      <alignment horizontal="center" vertical="center" wrapText="1"/>
    </xf>
    <xf numFmtId="0" fontId="11" fillId="3" borderId="14" xfId="0" applyFont="1" applyFill="1" applyBorder="1" applyAlignment="1">
      <alignment horizontal="center" vertical="center" wrapText="1"/>
    </xf>
    <xf numFmtId="0" fontId="5" fillId="3" borderId="10" xfId="0" applyFont="1" applyFill="1" applyBorder="1" applyAlignment="1">
      <alignment vertical="top" wrapText="1"/>
    </xf>
    <xf numFmtId="0" fontId="5" fillId="3" borderId="10" xfId="0" applyFont="1" applyFill="1" applyBorder="1" applyAlignment="1">
      <alignment horizontal="justify" vertical="top"/>
    </xf>
    <xf numFmtId="0" fontId="9" fillId="3" borderId="10" xfId="0" applyFont="1" applyFill="1" applyBorder="1" applyAlignment="1">
      <alignment horizontal="center" vertical="center" wrapText="1"/>
    </xf>
    <xf numFmtId="0" fontId="3" fillId="3" borderId="6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5" fillId="3" borderId="29" xfId="0" applyFont="1" applyFill="1" applyBorder="1" applyAlignment="1">
      <alignment horizontal="left" vertical="top" wrapText="1"/>
    </xf>
    <xf numFmtId="0" fontId="6" fillId="3" borderId="10" xfId="0" applyFont="1" applyFill="1" applyBorder="1"/>
    <xf numFmtId="0" fontId="11" fillId="3" borderId="69" xfId="0" applyFont="1" applyFill="1" applyBorder="1" applyAlignment="1">
      <alignment horizontal="center" vertical="center" wrapText="1"/>
    </xf>
    <xf numFmtId="0" fontId="5" fillId="3" borderId="29" xfId="0" applyFont="1" applyFill="1" applyBorder="1" applyAlignment="1">
      <alignment horizontal="justify" vertical="top" wrapText="1"/>
    </xf>
    <xf numFmtId="0" fontId="3" fillId="3" borderId="29" xfId="0" applyFont="1" applyFill="1" applyBorder="1" applyAlignment="1">
      <alignment horizontal="left" vertical="top" wrapText="1"/>
    </xf>
    <xf numFmtId="0" fontId="6" fillId="3" borderId="69" xfId="0" applyFont="1" applyFill="1" applyBorder="1" applyAlignment="1">
      <alignment horizontal="left" vertical="center" wrapText="1"/>
    </xf>
    <xf numFmtId="0" fontId="5" fillId="3" borderId="29" xfId="0" applyFont="1" applyFill="1" applyBorder="1" applyAlignment="1">
      <alignment horizontal="center" vertical="center" wrapText="1"/>
    </xf>
    <xf numFmtId="3" fontId="5" fillId="3" borderId="29" xfId="0" applyNumberFormat="1" applyFont="1" applyFill="1" applyBorder="1" applyAlignment="1">
      <alignment horizontal="center" vertical="center" wrapText="1"/>
    </xf>
    <xf numFmtId="0" fontId="5" fillId="3" borderId="35" xfId="0" applyFont="1" applyFill="1" applyBorder="1" applyAlignment="1">
      <alignment horizontal="center" vertical="center" wrapText="1"/>
    </xf>
    <xf numFmtId="0" fontId="6" fillId="3" borderId="1" xfId="0" applyFont="1" applyFill="1" applyBorder="1" applyAlignment="1">
      <alignment vertical="top" wrapText="1"/>
    </xf>
    <xf numFmtId="0" fontId="9" fillId="3" borderId="53" xfId="0" applyFont="1" applyFill="1" applyBorder="1" applyAlignment="1">
      <alignment horizontal="center" vertical="center" wrapText="1"/>
    </xf>
    <xf numFmtId="0" fontId="6" fillId="3" borderId="24" xfId="0" applyFont="1" applyFill="1" applyBorder="1" applyAlignment="1">
      <alignment horizontal="justify" vertical="top" wrapText="1"/>
    </xf>
    <xf numFmtId="0" fontId="6" fillId="3" borderId="25" xfId="0" applyFont="1" applyFill="1" applyBorder="1" applyAlignment="1">
      <alignment horizontal="center" vertical="center" wrapText="1"/>
    </xf>
    <xf numFmtId="3" fontId="6" fillId="3" borderId="25" xfId="0" applyNumberFormat="1"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23" xfId="0" applyFont="1" applyFill="1" applyBorder="1" applyAlignment="1">
      <alignment horizontal="center" vertical="center" wrapText="1"/>
    </xf>
    <xf numFmtId="0" fontId="6" fillId="3" borderId="32" xfId="0" applyFont="1" applyFill="1" applyBorder="1" applyAlignment="1">
      <alignment horizontal="center" vertical="center"/>
    </xf>
    <xf numFmtId="0" fontId="6" fillId="3" borderId="5" xfId="0" applyFont="1" applyFill="1" applyBorder="1" applyAlignment="1">
      <alignment horizontal="left" vertical="center" wrapText="1"/>
    </xf>
    <xf numFmtId="0" fontId="6" fillId="0" borderId="6" xfId="0" applyFont="1" applyFill="1" applyBorder="1" applyAlignment="1">
      <alignment vertical="top" wrapText="1"/>
    </xf>
    <xf numFmtId="0" fontId="6" fillId="3" borderId="6" xfId="0" applyFont="1" applyFill="1" applyBorder="1" applyAlignment="1">
      <alignment horizontal="center" vertical="center"/>
    </xf>
    <xf numFmtId="0" fontId="6" fillId="3" borderId="20" xfId="0" applyFont="1" applyFill="1" applyBorder="1" applyAlignment="1">
      <alignment horizontal="center" vertical="center" wrapText="1"/>
    </xf>
    <xf numFmtId="0" fontId="9" fillId="3" borderId="12" xfId="0" applyFont="1" applyFill="1" applyBorder="1" applyAlignment="1">
      <alignment horizontal="center" vertical="center"/>
    </xf>
    <xf numFmtId="0" fontId="5" fillId="3" borderId="7" xfId="0" applyFont="1" applyFill="1" applyBorder="1" applyAlignment="1">
      <alignment vertical="top" wrapText="1"/>
    </xf>
    <xf numFmtId="0" fontId="6" fillId="3" borderId="8" xfId="0" applyFont="1" applyFill="1" applyBorder="1" applyAlignment="1">
      <alignment horizontal="center" vertical="center"/>
    </xf>
    <xf numFmtId="0" fontId="9" fillId="3" borderId="14" xfId="0" applyFont="1" applyFill="1" applyBorder="1" applyAlignment="1">
      <alignment horizontal="center" vertical="center"/>
    </xf>
    <xf numFmtId="0" fontId="7" fillId="3" borderId="10" xfId="0" applyFont="1" applyFill="1" applyBorder="1" applyAlignment="1">
      <alignment horizontal="left" vertical="top" wrapText="1"/>
    </xf>
    <xf numFmtId="0" fontId="5" fillId="3" borderId="29" xfId="0" applyFont="1" applyFill="1" applyBorder="1" applyAlignment="1">
      <alignment vertical="top" wrapText="1"/>
    </xf>
    <xf numFmtId="0" fontId="6" fillId="3" borderId="15" xfId="0" applyFont="1" applyFill="1" applyBorder="1" applyAlignment="1">
      <alignment horizontal="center" vertical="center" wrapText="1"/>
    </xf>
    <xf numFmtId="0" fontId="6" fillId="0" borderId="92" xfId="0" applyFont="1" applyBorder="1" applyAlignment="1">
      <alignment horizontal="center" vertical="center" wrapText="1"/>
    </xf>
    <xf numFmtId="0" fontId="31" fillId="0" borderId="1" xfId="0" applyFont="1" applyBorder="1"/>
    <xf numFmtId="0" fontId="31" fillId="0" borderId="1" xfId="0" applyFont="1" applyBorder="1" applyAlignment="1">
      <alignment horizontal="center"/>
    </xf>
    <xf numFmtId="0" fontId="31" fillId="0" borderId="1" xfId="0" applyFont="1" applyBorder="1" applyAlignment="1">
      <alignment horizontal="center" wrapText="1"/>
    </xf>
    <xf numFmtId="1" fontId="72" fillId="0" borderId="1" xfId="9" applyNumberFormat="1" applyFont="1" applyBorder="1" applyAlignment="1">
      <alignment horizontal="left" vertical="center" wrapText="1"/>
    </xf>
    <xf numFmtId="49" fontId="72" fillId="0" borderId="1" xfId="9" applyNumberFormat="1" applyFont="1" applyBorder="1" applyAlignment="1">
      <alignment horizontal="center" vertical="center"/>
    </xf>
    <xf numFmtId="49" fontId="72" fillId="0" borderId="1" xfId="9" applyNumberFormat="1" applyFont="1" applyBorder="1" applyAlignment="1">
      <alignment vertical="center" wrapText="1"/>
    </xf>
    <xf numFmtId="2" fontId="72" fillId="0" borderId="1" xfId="10" applyNumberFormat="1" applyFont="1" applyBorder="1" applyAlignment="1">
      <alignment horizontal="center" vertical="center"/>
    </xf>
    <xf numFmtId="1" fontId="72" fillId="0" borderId="2" xfId="10" applyNumberFormat="1" applyFont="1" applyBorder="1" applyAlignment="1">
      <alignment horizontal="center" vertical="center"/>
    </xf>
    <xf numFmtId="43" fontId="72" fillId="0" borderId="1" xfId="65" applyFont="1" applyBorder="1"/>
    <xf numFmtId="43" fontId="72" fillId="0" borderId="1" xfId="65" applyFont="1" applyFill="1" applyBorder="1" applyAlignment="1">
      <alignment horizontal="center" vertical="center"/>
    </xf>
    <xf numFmtId="0" fontId="72" fillId="0" borderId="0" xfId="0" applyFont="1"/>
    <xf numFmtId="0" fontId="52" fillId="0" borderId="0" xfId="4" applyFont="1"/>
    <xf numFmtId="165" fontId="68" fillId="6" borderId="6" xfId="47" applyNumberFormat="1" applyFont="1" applyFill="1" applyBorder="1" applyAlignment="1">
      <alignment horizontal="center" vertical="center" wrapText="1"/>
    </xf>
    <xf numFmtId="0" fontId="63" fillId="3" borderId="0" xfId="7" applyFont="1" applyFill="1" applyAlignment="1">
      <alignment vertical="center" wrapText="1"/>
    </xf>
    <xf numFmtId="0" fontId="67" fillId="3" borderId="93" xfId="7" applyFont="1" applyFill="1" applyBorder="1" applyAlignment="1" applyProtection="1">
      <alignment horizontal="center" vertical="center" wrapText="1"/>
      <protection locked="0"/>
    </xf>
    <xf numFmtId="2" fontId="67" fillId="3" borderId="93" xfId="7" applyNumberFormat="1" applyFont="1" applyFill="1" applyBorder="1" applyAlignment="1" applyProtection="1">
      <alignment horizontal="center" vertical="center" wrapText="1"/>
      <protection locked="0"/>
    </xf>
    <xf numFmtId="2" fontId="63" fillId="3" borderId="93" xfId="7" applyNumberFormat="1" applyFont="1" applyFill="1" applyBorder="1" applyAlignment="1">
      <alignment horizontal="center" vertical="center"/>
    </xf>
    <xf numFmtId="1" fontId="63" fillId="3" borderId="93" xfId="7" applyNumberFormat="1" applyFont="1" applyFill="1" applyBorder="1" applyAlignment="1">
      <alignment horizontal="center" vertical="center"/>
    </xf>
    <xf numFmtId="165" fontId="63" fillId="3" borderId="93" xfId="47" applyNumberFormat="1" applyFont="1" applyFill="1" applyBorder="1" applyAlignment="1">
      <alignment horizontal="center" vertical="center"/>
    </xf>
    <xf numFmtId="0" fontId="63" fillId="3" borderId="0" xfId="7" applyFont="1" applyFill="1" applyAlignment="1">
      <alignment horizontal="left"/>
    </xf>
    <xf numFmtId="0" fontId="145" fillId="3" borderId="0" xfId="7" applyFont="1" applyFill="1" applyAlignment="1">
      <alignment vertical="center"/>
    </xf>
    <xf numFmtId="43" fontId="63" fillId="4" borderId="94" xfId="47" applyFont="1" applyFill="1" applyBorder="1" applyAlignment="1">
      <alignment horizontal="center" vertical="center" wrapText="1"/>
    </xf>
    <xf numFmtId="0" fontId="63" fillId="4" borderId="94" xfId="7" applyFont="1" applyFill="1" applyBorder="1" applyAlignment="1">
      <alignment horizontal="center" vertical="center" wrapText="1"/>
    </xf>
    <xf numFmtId="0" fontId="63" fillId="4" borderId="93" xfId="7" applyFont="1" applyFill="1" applyBorder="1" applyAlignment="1">
      <alignment horizontal="center" vertical="center" wrapText="1"/>
    </xf>
    <xf numFmtId="0" fontId="63" fillId="4" borderId="93" xfId="8" applyFont="1" applyFill="1" applyBorder="1" applyAlignment="1">
      <alignment horizontal="center" vertical="center" wrapText="1"/>
    </xf>
    <xf numFmtId="49" fontId="63" fillId="3" borderId="62" xfId="7" applyNumberFormat="1" applyFont="1" applyFill="1" applyBorder="1" applyAlignment="1">
      <alignment vertical="center" wrapText="1"/>
    </xf>
    <xf numFmtId="2" fontId="65" fillId="3" borderId="93" xfId="7" applyNumberFormat="1" applyFont="1" applyFill="1" applyBorder="1" applyAlignment="1">
      <alignment horizontal="center" vertical="center"/>
    </xf>
    <xf numFmtId="165" fontId="31" fillId="6" borderId="93" xfId="47" applyNumberFormat="1" applyFont="1" applyFill="1" applyBorder="1" applyAlignment="1">
      <alignment horizontal="center" vertical="center"/>
    </xf>
    <xf numFmtId="165" fontId="65" fillId="6" borderId="93" xfId="47" applyNumberFormat="1" applyFont="1" applyFill="1" applyBorder="1" applyAlignment="1">
      <alignment horizontal="center" vertical="center"/>
    </xf>
    <xf numFmtId="49" fontId="3" fillId="4" borderId="1" xfId="48" applyNumberFormat="1" applyFont="1" applyFill="1" applyBorder="1" applyAlignment="1">
      <alignment horizontal="center" vertical="center" wrapText="1"/>
    </xf>
    <xf numFmtId="49" fontId="67" fillId="4" borderId="1" xfId="48" applyNumberFormat="1" applyFont="1" applyFill="1" applyBorder="1" applyAlignment="1">
      <alignment horizontal="left" vertical="center" wrapText="1"/>
    </xf>
    <xf numFmtId="0" fontId="67" fillId="3" borderId="1" xfId="7" applyFont="1" applyFill="1" applyBorder="1" applyAlignment="1" applyProtection="1">
      <alignment horizontal="center" vertical="center" wrapText="1"/>
      <protection locked="0"/>
    </xf>
    <xf numFmtId="43" fontId="65" fillId="4" borderId="1" xfId="47" applyFont="1" applyFill="1" applyBorder="1" applyAlignment="1">
      <alignment horizontal="center" vertical="center"/>
    </xf>
    <xf numFmtId="1" fontId="63" fillId="3" borderId="1" xfId="7" applyNumberFormat="1" applyFont="1" applyFill="1" applyBorder="1" applyAlignment="1">
      <alignment horizontal="center" vertical="center"/>
    </xf>
    <xf numFmtId="0" fontId="63" fillId="4" borderId="1" xfId="7" applyFont="1" applyFill="1" applyBorder="1" applyAlignment="1">
      <alignment horizontal="center" vertical="center" wrapText="1"/>
    </xf>
    <xf numFmtId="0" fontId="63" fillId="4" borderId="1" xfId="8" applyFont="1" applyFill="1" applyBorder="1" applyAlignment="1">
      <alignment horizontal="center" vertical="center" wrapText="1"/>
    </xf>
    <xf numFmtId="43" fontId="65" fillId="6" borderId="1" xfId="47" applyFont="1" applyFill="1" applyBorder="1" applyAlignment="1">
      <alignment horizontal="center" vertical="center"/>
    </xf>
    <xf numFmtId="0" fontId="6" fillId="4" borderId="1" xfId="0" applyFont="1" applyFill="1" applyBorder="1" applyAlignment="1">
      <alignment horizontal="left" vertical="center" wrapText="1"/>
    </xf>
    <xf numFmtId="0" fontId="5" fillId="0" borderId="26" xfId="0" applyFont="1" applyBorder="1" applyAlignment="1">
      <alignment horizontal="justify" vertical="top"/>
    </xf>
    <xf numFmtId="0" fontId="29" fillId="0" borderId="24" xfId="0" applyFont="1" applyBorder="1" applyAlignment="1">
      <alignment horizontal="center" vertical="center"/>
    </xf>
    <xf numFmtId="0" fontId="29" fillId="0" borderId="25" xfId="0" applyFont="1" applyBorder="1" applyAlignment="1">
      <alignment horizontal="center" vertical="center"/>
    </xf>
    <xf numFmtId="3" fontId="9" fillId="3" borderId="1" xfId="0" applyNumberFormat="1" applyFont="1" applyFill="1" applyBorder="1" applyAlignment="1">
      <alignment horizontal="center" vertical="center"/>
    </xf>
    <xf numFmtId="3" fontId="9" fillId="4" borderId="1" xfId="0" applyNumberFormat="1" applyFont="1" applyFill="1" applyBorder="1" applyAlignment="1">
      <alignment horizontal="center" vertical="center"/>
    </xf>
    <xf numFmtId="3" fontId="1" fillId="3" borderId="0" xfId="0" applyNumberFormat="1" applyFont="1" applyFill="1" applyBorder="1" applyAlignment="1">
      <alignment horizontal="center" vertical="center" wrapText="1"/>
    </xf>
    <xf numFmtId="166" fontId="33" fillId="0" borderId="0" xfId="0" applyNumberFormat="1" applyFont="1"/>
    <xf numFmtId="0" fontId="39" fillId="3" borderId="0" xfId="0" applyFont="1" applyFill="1" applyBorder="1" applyAlignment="1">
      <alignment horizontal="center" vertical="center" wrapText="1"/>
    </xf>
    <xf numFmtId="168" fontId="39" fillId="3" borderId="0" xfId="0" applyNumberFormat="1" applyFont="1" applyFill="1" applyBorder="1"/>
    <xf numFmtId="0" fontId="33" fillId="3" borderId="0" xfId="0" applyFont="1" applyFill="1" applyBorder="1"/>
    <xf numFmtId="166" fontId="33" fillId="3" borderId="0" xfId="0" applyNumberFormat="1" applyFont="1" applyFill="1" applyBorder="1"/>
    <xf numFmtId="0" fontId="33" fillId="0" borderId="0" xfId="0" applyFont="1" applyAlignment="1">
      <alignment horizontal="right"/>
    </xf>
    <xf numFmtId="0" fontId="33" fillId="0" borderId="1" xfId="0" applyFont="1" applyBorder="1" applyAlignment="1">
      <alignment horizontal="left" vertical="center" wrapText="1"/>
    </xf>
    <xf numFmtId="0" fontId="39" fillId="4" borderId="1" xfId="0" applyFont="1" applyFill="1" applyBorder="1" applyAlignment="1">
      <alignment horizontal="center" vertical="center" wrapText="1"/>
    </xf>
    <xf numFmtId="0" fontId="33" fillId="4" borderId="3" xfId="0" applyFont="1" applyFill="1" applyBorder="1" applyAlignment="1">
      <alignment horizontal="center" vertical="center" wrapText="1"/>
    </xf>
    <xf numFmtId="3" fontId="39" fillId="6" borderId="1" xfId="0" applyNumberFormat="1" applyFont="1" applyFill="1" applyBorder="1" applyAlignment="1">
      <alignment horizontal="center"/>
    </xf>
    <xf numFmtId="0" fontId="33" fillId="4" borderId="1" xfId="0" applyFont="1" applyFill="1" applyBorder="1" applyAlignment="1">
      <alignment horizontal="center" vertical="center" wrapText="1"/>
    </xf>
    <xf numFmtId="0" fontId="44" fillId="0" borderId="1" xfId="7" applyFont="1" applyBorder="1" applyAlignment="1">
      <alignment horizontal="center" vertical="center" wrapText="1"/>
    </xf>
    <xf numFmtId="0" fontId="58" fillId="0" borderId="60"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center" wrapText="1"/>
    </xf>
    <xf numFmtId="0" fontId="33" fillId="0" borderId="5" xfId="0" applyFont="1" applyBorder="1" applyAlignment="1">
      <alignment horizontal="left" vertical="center" wrapText="1"/>
    </xf>
    <xf numFmtId="0" fontId="33" fillId="0" borderId="5" xfId="0" applyFont="1" applyBorder="1" applyAlignment="1">
      <alignment horizontal="left" wrapText="1"/>
    </xf>
    <xf numFmtId="0" fontId="33" fillId="0" borderId="0" xfId="0" applyFont="1" applyAlignment="1">
      <alignment horizontal="center" vertical="center"/>
    </xf>
    <xf numFmtId="0" fontId="54" fillId="0" borderId="1" xfId="0" applyFont="1" applyBorder="1" applyAlignment="1">
      <alignment horizontal="left" vertical="center" wrapText="1"/>
    </xf>
    <xf numFmtId="3" fontId="39" fillId="6" borderId="3" xfId="0" applyNumberFormat="1" applyFont="1" applyFill="1" applyBorder="1" applyAlignment="1">
      <alignment horizontal="center"/>
    </xf>
    <xf numFmtId="0" fontId="33" fillId="0" borderId="0" xfId="0" applyFont="1" applyBorder="1"/>
    <xf numFmtId="3" fontId="33" fillId="0" borderId="1" xfId="0" applyNumberFormat="1" applyFont="1" applyBorder="1" applyAlignment="1">
      <alignment horizontal="center" vertical="center"/>
    </xf>
    <xf numFmtId="0" fontId="41" fillId="2" borderId="1" xfId="0" applyFont="1" applyFill="1" applyBorder="1" applyAlignment="1">
      <alignment vertical="center" wrapText="1"/>
    </xf>
    <xf numFmtId="0" fontId="33" fillId="0" borderId="3" xfId="0" applyFont="1" applyBorder="1" applyAlignment="1">
      <alignment horizontal="center" vertical="center"/>
    </xf>
    <xf numFmtId="0" fontId="7" fillId="3" borderId="1" xfId="0" applyFont="1" applyFill="1" applyBorder="1" applyAlignment="1">
      <alignment horizontal="justify" vertical="top" wrapText="1"/>
    </xf>
    <xf numFmtId="0" fontId="33" fillId="0" borderId="1" xfId="0" applyFont="1" applyBorder="1" applyAlignment="1">
      <alignment horizontal="left" vertical="center" wrapText="1" indent="5"/>
    </xf>
    <xf numFmtId="3" fontId="33" fillId="0" borderId="1" xfId="0" applyNumberFormat="1" applyFont="1" applyBorder="1" applyAlignment="1">
      <alignment horizontal="right"/>
    </xf>
    <xf numFmtId="0" fontId="33" fillId="0" borderId="1" xfId="0" applyFont="1" applyBorder="1" applyAlignment="1">
      <alignment horizontal="left" vertical="top"/>
    </xf>
    <xf numFmtId="3" fontId="33" fillId="0" borderId="1" xfId="0" applyNumberFormat="1" applyFont="1" applyBorder="1" applyAlignment="1">
      <alignment vertical="top"/>
    </xf>
    <xf numFmtId="0" fontId="44" fillId="3" borderId="0" xfId="12" applyFont="1" applyFill="1"/>
    <xf numFmtId="0" fontId="45" fillId="3" borderId="0" xfId="12" applyFont="1" applyFill="1"/>
    <xf numFmtId="0" fontId="44" fillId="0" borderId="1" xfId="8" applyFont="1" applyBorder="1" applyAlignment="1">
      <alignment horizontal="center" vertical="center" wrapText="1"/>
    </xf>
    <xf numFmtId="169" fontId="48" fillId="67" borderId="1" xfId="71" applyNumberFormat="1" applyFont="1" applyFill="1" applyBorder="1" applyAlignment="1" applyProtection="1">
      <alignment horizontal="center" vertical="center" wrapText="1"/>
      <protection locked="0"/>
    </xf>
    <xf numFmtId="0" fontId="47" fillId="67" borderId="1" xfId="71" applyFont="1" applyFill="1" applyBorder="1" applyAlignment="1" applyProtection="1">
      <alignment horizontal="left" vertical="center" wrapText="1"/>
      <protection locked="0"/>
    </xf>
    <xf numFmtId="0" fontId="47" fillId="67" borderId="1" xfId="7" applyFont="1" applyFill="1" applyBorder="1" applyAlignment="1" applyProtection="1">
      <alignment horizontal="center" vertical="center" wrapText="1"/>
      <protection locked="0"/>
    </xf>
    <xf numFmtId="2" fontId="47" fillId="67" borderId="1" xfId="7" applyNumberFormat="1" applyFont="1" applyFill="1" applyBorder="1" applyAlignment="1" applyProtection="1">
      <alignment horizontal="center" vertical="center" wrapText="1"/>
      <protection locked="0"/>
    </xf>
    <xf numFmtId="2" fontId="44" fillId="67" borderId="1" xfId="7" applyNumberFormat="1" applyFont="1" applyFill="1" applyBorder="1" applyAlignment="1">
      <alignment horizontal="center" vertical="center"/>
    </xf>
    <xf numFmtId="2" fontId="44" fillId="67" borderId="1" xfId="7" applyNumberFormat="1" applyFont="1" applyFill="1" applyBorder="1" applyAlignment="1">
      <alignment horizontal="center" vertical="center" wrapText="1"/>
    </xf>
    <xf numFmtId="0" fontId="44" fillId="67" borderId="1" xfId="7" applyFont="1" applyFill="1" applyBorder="1" applyAlignment="1">
      <alignment horizontal="center" vertical="center" wrapText="1"/>
    </xf>
    <xf numFmtId="43" fontId="44" fillId="67" borderId="1" xfId="65" applyFont="1" applyFill="1" applyBorder="1" applyAlignment="1">
      <alignment horizontal="center" vertical="center" wrapText="1"/>
    </xf>
    <xf numFmtId="0" fontId="147" fillId="0" borderId="0" xfId="0" applyFont="1" applyAlignment="1">
      <alignment vertical="top"/>
    </xf>
    <xf numFmtId="169" fontId="148" fillId="67" borderId="1" xfId="71" applyNumberFormat="1" applyFont="1" applyFill="1" applyBorder="1" applyAlignment="1" applyProtection="1">
      <alignment horizontal="center" vertical="center" wrapText="1"/>
      <protection locked="0"/>
    </xf>
    <xf numFmtId="169" fontId="48" fillId="0" borderId="0" xfId="71" applyNumberFormat="1" applyFont="1" applyBorder="1" applyAlignment="1" applyProtection="1">
      <alignment horizontal="center" vertical="center" wrapText="1"/>
      <protection locked="0"/>
    </xf>
    <xf numFmtId="0" fontId="47" fillId="0" borderId="0" xfId="71" applyFont="1" applyBorder="1" applyAlignment="1" applyProtection="1">
      <alignment horizontal="center" vertical="center" wrapText="1"/>
      <protection locked="0"/>
    </xf>
    <xf numFmtId="0" fontId="47" fillId="0" borderId="0" xfId="7" applyFont="1" applyAlignment="1" applyProtection="1">
      <alignment horizontal="center" vertical="center" wrapText="1"/>
      <protection locked="0"/>
    </xf>
    <xf numFmtId="2" fontId="47" fillId="0" borderId="0" xfId="7" applyNumberFormat="1" applyFont="1" applyAlignment="1" applyProtection="1">
      <alignment horizontal="center" vertical="center" wrapText="1"/>
      <protection locked="0"/>
    </xf>
    <xf numFmtId="2" fontId="44" fillId="0" borderId="0" xfId="7" applyNumberFormat="1" applyFont="1" applyAlignment="1">
      <alignment horizontal="center" vertical="center"/>
    </xf>
    <xf numFmtId="2" fontId="44" fillId="3" borderId="0" xfId="7" applyNumberFormat="1" applyFont="1" applyFill="1" applyAlignment="1">
      <alignment horizontal="center" vertical="center"/>
    </xf>
    <xf numFmtId="2" fontId="44" fillId="0" borderId="0" xfId="7" applyNumberFormat="1" applyFont="1" applyAlignment="1">
      <alignment horizontal="center" vertical="center" wrapText="1"/>
    </xf>
    <xf numFmtId="1" fontId="44" fillId="0" borderId="0" xfId="7" applyNumberFormat="1" applyFont="1" applyAlignment="1">
      <alignment horizontal="center" vertical="center" wrapText="1"/>
    </xf>
    <xf numFmtId="0" fontId="44" fillId="3" borderId="0" xfId="7" applyFont="1" applyFill="1" applyAlignment="1">
      <alignment horizontal="center" vertical="center" wrapText="1"/>
    </xf>
    <xf numFmtId="1" fontId="44" fillId="3" borderId="0" xfId="12" applyNumberFormat="1" applyFont="1" applyFill="1"/>
    <xf numFmtId="2" fontId="44" fillId="3" borderId="0" xfId="12" applyNumberFormat="1" applyFont="1" applyFill="1"/>
    <xf numFmtId="0" fontId="45" fillId="68" borderId="0" xfId="0" applyFont="1" applyFill="1"/>
    <xf numFmtId="4" fontId="45" fillId="68" borderId="0" xfId="0" applyNumberFormat="1" applyFont="1" applyFill="1"/>
    <xf numFmtId="43" fontId="45" fillId="68" borderId="0" xfId="65" applyFont="1" applyFill="1" applyAlignment="1">
      <alignment horizontal="center" vertical="center"/>
    </xf>
    <xf numFmtId="173" fontId="44" fillId="3" borderId="0" xfId="12" applyNumberFormat="1" applyFont="1" applyFill="1"/>
    <xf numFmtId="0" fontId="44" fillId="3" borderId="0" xfId="12" applyFont="1" applyFill="1" applyAlignment="1">
      <alignment horizontal="left" vertical="top" wrapText="1"/>
    </xf>
    <xf numFmtId="0" fontId="45" fillId="0" borderId="1" xfId="0" applyFont="1" applyBorder="1" applyAlignment="1">
      <alignment wrapText="1"/>
    </xf>
    <xf numFmtId="0" fontId="45" fillId="3" borderId="1" xfId="0" applyFont="1" applyFill="1" applyBorder="1" applyAlignment="1">
      <alignment wrapText="1"/>
    </xf>
    <xf numFmtId="0" fontId="45" fillId="0" borderId="0" xfId="0" applyFont="1" applyBorder="1" applyAlignment="1">
      <alignment wrapText="1"/>
    </xf>
    <xf numFmtId="0" fontId="44" fillId="0" borderId="0" xfId="0" applyFont="1" applyBorder="1"/>
    <xf numFmtId="2" fontId="44" fillId="0" borderId="1" xfId="0" applyNumberFormat="1" applyFont="1" applyBorder="1" applyAlignment="1">
      <alignment vertical="top" wrapText="1"/>
    </xf>
    <xf numFmtId="2" fontId="44" fillId="3" borderId="1" xfId="0" applyNumberFormat="1" applyFont="1" applyFill="1" applyBorder="1" applyAlignment="1">
      <alignment vertical="top" wrapText="1"/>
    </xf>
    <xf numFmtId="0" fontId="44" fillId="0" borderId="0" xfId="0" applyFont="1" applyBorder="1" applyAlignment="1">
      <alignment vertical="top" wrapText="1"/>
    </xf>
    <xf numFmtId="2" fontId="44" fillId="0" borderId="0" xfId="0" applyNumberFormat="1" applyFont="1" applyBorder="1" applyAlignment="1">
      <alignment vertical="top" wrapText="1"/>
    </xf>
    <xf numFmtId="0" fontId="49" fillId="0" borderId="0" xfId="0" applyFont="1" applyBorder="1"/>
    <xf numFmtId="0" fontId="44" fillId="0" borderId="0" xfId="0" applyFont="1" applyAlignment="1">
      <alignment wrapText="1"/>
    </xf>
    <xf numFmtId="0" fontId="44" fillId="0" borderId="0" xfId="0" applyFont="1" applyBorder="1" applyAlignment="1">
      <alignment wrapText="1"/>
    </xf>
    <xf numFmtId="0" fontId="59" fillId="0" borderId="0" xfId="0" applyFont="1" applyBorder="1"/>
    <xf numFmtId="2" fontId="44" fillId="0" borderId="0" xfId="0" applyNumberFormat="1" applyFont="1" applyAlignment="1">
      <alignment wrapText="1"/>
    </xf>
    <xf numFmtId="43" fontId="52" fillId="4" borderId="1" xfId="12" applyNumberFormat="1" applyFont="1" applyFill="1" applyBorder="1" applyAlignment="1">
      <alignment vertical="center"/>
    </xf>
    <xf numFmtId="0" fontId="52" fillId="4" borderId="1" xfId="12" applyFont="1" applyFill="1" applyBorder="1" applyAlignment="1">
      <alignment horizontal="center" vertical="center" wrapText="1"/>
    </xf>
    <xf numFmtId="0" fontId="33" fillId="0" borderId="5" xfId="0" applyFont="1" applyBorder="1" applyAlignment="1">
      <alignment horizontal="left" vertical="top" wrapText="1"/>
    </xf>
    <xf numFmtId="3" fontId="1" fillId="3" borderId="0" xfId="0" applyNumberFormat="1" applyFont="1" applyFill="1" applyBorder="1"/>
    <xf numFmtId="0" fontId="38" fillId="2" borderId="6" xfId="0" applyFont="1" applyFill="1" applyBorder="1" applyAlignment="1">
      <alignment wrapText="1"/>
    </xf>
    <xf numFmtId="0" fontId="41" fillId="4" borderId="1" xfId="0" applyFont="1" applyFill="1" applyBorder="1" applyAlignment="1">
      <alignment wrapText="1"/>
    </xf>
    <xf numFmtId="0" fontId="38" fillId="4" borderId="1" xfId="0" applyFont="1" applyFill="1" applyBorder="1" applyAlignment="1">
      <alignment horizontal="center" wrapText="1"/>
    </xf>
    <xf numFmtId="165" fontId="41" fillId="2" borderId="17" xfId="0" applyNumberFormat="1" applyFont="1" applyFill="1" applyBorder="1" applyAlignment="1">
      <alignment horizontal="center" wrapText="1"/>
    </xf>
    <xf numFmtId="165" fontId="39" fillId="6" borderId="1" xfId="0" applyNumberFormat="1" applyFont="1" applyFill="1" applyBorder="1" applyAlignment="1">
      <alignment horizontal="center"/>
    </xf>
    <xf numFmtId="165" fontId="41" fillId="2" borderId="17" xfId="0" applyNumberFormat="1" applyFont="1" applyFill="1" applyBorder="1" applyAlignment="1">
      <alignment horizontal="center" vertical="center" wrapText="1"/>
    </xf>
    <xf numFmtId="0" fontId="38" fillId="2" borderId="6" xfId="0" applyFont="1" applyFill="1" applyBorder="1" applyAlignment="1">
      <alignment vertical="top" wrapText="1"/>
    </xf>
    <xf numFmtId="0" fontId="33" fillId="0" borderId="1" xfId="0" applyFont="1" applyBorder="1" applyAlignment="1">
      <alignment horizontal="right"/>
    </xf>
    <xf numFmtId="0" fontId="41" fillId="0" borderId="17" xfId="0" applyFont="1" applyBorder="1" applyAlignment="1">
      <alignment horizontal="left" vertical="center" wrapText="1"/>
    </xf>
    <xf numFmtId="0" fontId="41" fillId="0" borderId="17" xfId="0" applyFont="1" applyBorder="1" applyAlignment="1">
      <alignment horizontal="center" vertical="center" wrapText="1"/>
    </xf>
    <xf numFmtId="0" fontId="6" fillId="3" borderId="7" xfId="0" applyFont="1" applyFill="1" applyBorder="1" applyAlignment="1">
      <alignment horizontal="justify" vertical="top"/>
    </xf>
    <xf numFmtId="0" fontId="9" fillId="3" borderId="13" xfId="0" applyFont="1" applyFill="1" applyBorder="1" applyAlignment="1">
      <alignment horizontal="center" vertical="center"/>
    </xf>
    <xf numFmtId="0" fontId="39" fillId="0" borderId="6" xfId="0" applyNumberFormat="1" applyFont="1" applyBorder="1" applyAlignment="1">
      <alignment horizontal="center"/>
    </xf>
    <xf numFmtId="0" fontId="39" fillId="0" borderId="1" xfId="0" applyNumberFormat="1" applyFont="1" applyBorder="1" applyAlignment="1">
      <alignment horizontal="center" vertical="center"/>
    </xf>
    <xf numFmtId="43" fontId="54" fillId="0" borderId="0" xfId="0" applyNumberFormat="1" applyFont="1"/>
    <xf numFmtId="3" fontId="54" fillId="4" borderId="1" xfId="0" applyNumberFormat="1" applyFont="1" applyFill="1" applyBorder="1" applyAlignment="1">
      <alignment horizontal="center" vertical="center" wrapText="1"/>
    </xf>
    <xf numFmtId="0" fontId="58" fillId="0" borderId="60" xfId="0" applyFont="1" applyBorder="1"/>
    <xf numFmtId="0" fontId="58" fillId="0" borderId="0" xfId="0" applyFont="1" applyBorder="1"/>
    <xf numFmtId="4" fontId="58" fillId="0" borderId="0" xfId="0" applyNumberFormat="1" applyFont="1"/>
    <xf numFmtId="4" fontId="58" fillId="0" borderId="0" xfId="0" applyNumberFormat="1" applyFont="1" applyBorder="1"/>
    <xf numFmtId="4" fontId="58" fillId="0" borderId="60" xfId="0" applyNumberFormat="1" applyFont="1" applyBorder="1"/>
    <xf numFmtId="4" fontId="58" fillId="6" borderId="1" xfId="0" applyNumberFormat="1" applyFont="1" applyFill="1" applyBorder="1"/>
    <xf numFmtId="0" fontId="33" fillId="0" borderId="1" xfId="0" applyFont="1" applyBorder="1" applyAlignment="1">
      <alignment vertical="top" wrapText="1"/>
    </xf>
    <xf numFmtId="0" fontId="33" fillId="0" borderId="1" xfId="0" applyFont="1" applyBorder="1" applyAlignment="1">
      <alignment horizontal="left" vertical="top" wrapText="1" indent="5"/>
    </xf>
    <xf numFmtId="0" fontId="66" fillId="0" borderId="1" xfId="0" applyFont="1" applyBorder="1" applyAlignment="1">
      <alignment horizontal="left" vertical="top"/>
    </xf>
    <xf numFmtId="3" fontId="33" fillId="0" borderId="1" xfId="0" applyNumberFormat="1" applyFont="1" applyBorder="1" applyAlignment="1">
      <alignment horizontal="left" vertical="top"/>
    </xf>
    <xf numFmtId="0" fontId="33" fillId="0" borderId="1" xfId="0" applyFont="1" applyBorder="1" applyAlignment="1">
      <alignment horizontal="left" vertical="top" indent="5"/>
    </xf>
    <xf numFmtId="0" fontId="33" fillId="0" borderId="1" xfId="0" applyNumberFormat="1" applyFont="1" applyBorder="1"/>
    <xf numFmtId="3" fontId="10" fillId="2" borderId="1" xfId="0" applyNumberFormat="1" applyFont="1" applyFill="1" applyBorder="1" applyAlignment="1">
      <alignment horizontal="center" vertical="center" wrapText="1"/>
    </xf>
    <xf numFmtId="3" fontId="10" fillId="3" borderId="1" xfId="0" applyNumberFormat="1" applyFont="1" applyFill="1" applyBorder="1" applyAlignment="1">
      <alignment horizontal="center" vertical="center" wrapText="1"/>
    </xf>
    <xf numFmtId="0" fontId="33" fillId="4" borderId="1" xfId="50" applyFont="1" applyFill="1" applyBorder="1" applyAlignment="1">
      <alignment horizontal="center" vertical="center" wrapText="1"/>
    </xf>
    <xf numFmtId="1" fontId="54" fillId="3" borderId="1" xfId="65" applyNumberFormat="1" applyFont="1" applyFill="1" applyBorder="1" applyAlignment="1">
      <alignment horizontal="center" vertical="center"/>
    </xf>
    <xf numFmtId="0" fontId="54" fillId="3" borderId="1" xfId="65" applyNumberFormat="1" applyFont="1" applyFill="1" applyBorder="1" applyAlignment="1">
      <alignment horizontal="center" vertical="center"/>
    </xf>
    <xf numFmtId="0" fontId="54" fillId="3" borderId="1" xfId="0" applyFont="1" applyFill="1" applyBorder="1" applyAlignment="1">
      <alignment wrapText="1"/>
    </xf>
    <xf numFmtId="0" fontId="52" fillId="0" borderId="0" xfId="0" applyFont="1" applyAlignment="1">
      <alignment horizontal="center" vertical="center"/>
    </xf>
    <xf numFmtId="1" fontId="52" fillId="0" borderId="0" xfId="0" applyNumberFormat="1" applyFont="1" applyAlignment="1">
      <alignment horizontal="center" vertical="center"/>
    </xf>
    <xf numFmtId="3" fontId="33" fillId="0" borderId="91" xfId="0" applyNumberFormat="1" applyFont="1" applyBorder="1" applyAlignment="1">
      <alignment horizontal="center" vertical="center"/>
    </xf>
    <xf numFmtId="0" fontId="149" fillId="0" borderId="0" xfId="0" applyFont="1"/>
    <xf numFmtId="0" fontId="54" fillId="0" borderId="0" xfId="22" applyFont="1"/>
    <xf numFmtId="0" fontId="54" fillId="4" borderId="1" xfId="67" applyFont="1" applyFill="1" applyBorder="1" applyAlignment="1">
      <alignment horizontal="left" vertical="center" wrapText="1"/>
    </xf>
    <xf numFmtId="3" fontId="54" fillId="4" borderId="1" xfId="67" applyNumberFormat="1" applyFont="1" applyFill="1" applyBorder="1" applyAlignment="1">
      <alignment horizontal="center" vertical="center" wrapText="1"/>
    </xf>
    <xf numFmtId="3" fontId="5" fillId="3" borderId="25" xfId="0" applyNumberFormat="1" applyFont="1" applyFill="1" applyBorder="1" applyAlignment="1">
      <alignment horizontal="center" vertical="center" wrapText="1"/>
    </xf>
    <xf numFmtId="0" fontId="5" fillId="3" borderId="5" xfId="0" applyFont="1" applyFill="1" applyBorder="1" applyAlignment="1">
      <alignment vertical="top" wrapText="1"/>
    </xf>
    <xf numFmtId="3" fontId="5" fillId="2" borderId="1" xfId="0" applyNumberFormat="1" applyFont="1" applyFill="1" applyBorder="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3" borderId="6" xfId="0" applyFont="1" applyFill="1" applyBorder="1" applyAlignment="1">
      <alignment horizontal="justify" vertical="top" wrapText="1"/>
    </xf>
    <xf numFmtId="0" fontId="6" fillId="0" borderId="9" xfId="0" applyFont="1" applyBorder="1" applyAlignment="1">
      <alignment horizontal="center" vertical="center" wrapText="1"/>
    </xf>
    <xf numFmtId="0" fontId="6" fillId="0" borderId="31" xfId="0" applyFont="1" applyBorder="1" applyAlignment="1">
      <alignment horizontal="center" vertical="center"/>
    </xf>
    <xf numFmtId="0" fontId="9" fillId="5" borderId="46" xfId="0" applyFont="1" applyFill="1" applyBorder="1" applyAlignment="1">
      <alignment horizontal="center" vertical="center" wrapText="1"/>
    </xf>
    <xf numFmtId="0" fontId="9" fillId="5" borderId="98" xfId="0" applyFont="1" applyFill="1" applyBorder="1" applyAlignment="1">
      <alignment vertical="top"/>
    </xf>
    <xf numFmtId="0" fontId="9" fillId="5" borderId="99" xfId="0" applyFont="1" applyFill="1" applyBorder="1" applyAlignment="1">
      <alignment vertical="top"/>
    </xf>
    <xf numFmtId="0" fontId="6" fillId="5" borderId="43" xfId="0" applyFont="1" applyFill="1" applyBorder="1" applyAlignment="1">
      <alignment vertical="top" wrapText="1"/>
    </xf>
    <xf numFmtId="0" fontId="6" fillId="5" borderId="44" xfId="0" applyFont="1" applyFill="1" applyBorder="1" applyAlignment="1">
      <alignment vertical="top" wrapText="1"/>
    </xf>
    <xf numFmtId="0" fontId="6" fillId="0" borderId="44" xfId="0" applyFont="1" applyBorder="1" applyAlignment="1">
      <alignment vertical="top" wrapText="1"/>
    </xf>
    <xf numFmtId="0" fontId="6" fillId="0" borderId="44" xfId="0" applyFont="1" applyBorder="1" applyAlignment="1">
      <alignment horizontal="center" vertical="center" wrapText="1"/>
    </xf>
    <xf numFmtId="0" fontId="6" fillId="3" borderId="44" xfId="0" applyFont="1" applyFill="1" applyBorder="1" applyAlignment="1">
      <alignment horizontal="center" vertical="center" wrapText="1"/>
    </xf>
    <xf numFmtId="0" fontId="6" fillId="0" borderId="44" xfId="0" applyFont="1" applyBorder="1" applyAlignment="1">
      <alignment horizontal="center" vertical="center"/>
    </xf>
    <xf numFmtId="0" fontId="6" fillId="0" borderId="44" xfId="0" applyFont="1" applyBorder="1" applyAlignment="1">
      <alignment vertical="center"/>
    </xf>
    <xf numFmtId="0" fontId="6" fillId="0" borderId="45" xfId="0" applyFont="1" applyBorder="1" applyAlignment="1">
      <alignment horizontal="center" vertical="center"/>
    </xf>
    <xf numFmtId="0" fontId="9" fillId="5" borderId="53" xfId="0" applyFont="1" applyFill="1" applyBorder="1" applyAlignment="1">
      <alignment horizontal="center" vertical="center" wrapText="1"/>
    </xf>
    <xf numFmtId="0" fontId="5" fillId="3" borderId="7" xfId="0" applyFont="1" applyFill="1" applyBorder="1" applyAlignment="1">
      <alignment horizontal="justify" vertical="top"/>
    </xf>
    <xf numFmtId="0" fontId="6" fillId="0" borderId="29" xfId="0" applyFont="1" applyBorder="1" applyAlignment="1">
      <alignment horizontal="center" vertical="center"/>
    </xf>
    <xf numFmtId="0" fontId="5" fillId="3" borderId="31" xfId="0" applyFont="1" applyFill="1" applyBorder="1" applyAlignment="1">
      <alignment horizontal="center" vertical="center" wrapText="1"/>
    </xf>
    <xf numFmtId="0" fontId="5" fillId="3" borderId="31" xfId="0" applyFont="1" applyFill="1" applyBorder="1" applyAlignment="1">
      <alignment horizontal="left" vertical="top" wrapText="1"/>
    </xf>
    <xf numFmtId="0" fontId="11" fillId="2" borderId="21"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6" fillId="0" borderId="1" xfId="0" applyFont="1" applyBorder="1" applyAlignment="1">
      <alignment horizontal="left" vertical="top" wrapText="1"/>
    </xf>
    <xf numFmtId="0" fontId="6" fillId="0" borderId="7" xfId="0" applyFont="1" applyBorder="1" applyAlignment="1">
      <alignment horizontal="left" vertical="top" wrapText="1"/>
    </xf>
    <xf numFmtId="0" fontId="6" fillId="0" borderId="1" xfId="0" applyFont="1" applyBorder="1" applyAlignment="1">
      <alignment vertical="top" wrapText="1"/>
    </xf>
    <xf numFmtId="0" fontId="5" fillId="2" borderId="1" xfId="0" applyFont="1" applyFill="1" applyBorder="1" applyAlignment="1">
      <alignment horizontal="left" vertical="top" wrapText="1"/>
    </xf>
    <xf numFmtId="0" fontId="9" fillId="3" borderId="5" xfId="0" applyFont="1" applyFill="1" applyBorder="1" applyAlignment="1">
      <alignment horizontal="center" vertical="top"/>
    </xf>
    <xf numFmtId="0" fontId="9" fillId="3" borderId="24" xfId="0" applyFont="1" applyFill="1" applyBorder="1" applyAlignment="1">
      <alignment horizontal="center" vertical="top"/>
    </xf>
    <xf numFmtId="0" fontId="9" fillId="0" borderId="22"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97" xfId="0" applyFont="1" applyFill="1" applyBorder="1" applyAlignment="1">
      <alignment horizontal="center" vertical="center" wrapText="1"/>
    </xf>
    <xf numFmtId="0" fontId="9" fillId="0" borderId="13" xfId="0" applyFont="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1" xfId="0" applyFont="1" applyBorder="1" applyAlignment="1">
      <alignment horizontal="center" vertical="center" wrapText="1"/>
    </xf>
    <xf numFmtId="0" fontId="9" fillId="0" borderId="55" xfId="0" applyFont="1" applyBorder="1" applyAlignment="1">
      <alignment horizontal="center" vertical="center" wrapText="1"/>
    </xf>
    <xf numFmtId="0" fontId="6" fillId="0" borderId="7"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5" fillId="0" borderId="1" xfId="0" applyFont="1" applyBorder="1" applyAlignment="1">
      <alignment horizontal="left" vertical="top" wrapText="1"/>
    </xf>
    <xf numFmtId="0" fontId="31" fillId="4" borderId="37" xfId="0" applyFont="1" applyFill="1" applyBorder="1" applyAlignment="1">
      <alignment horizontal="center" vertical="center" wrapText="1"/>
    </xf>
    <xf numFmtId="0" fontId="31" fillId="4" borderId="38" xfId="0" applyFont="1" applyFill="1" applyBorder="1" applyAlignment="1">
      <alignment horizontal="center" vertical="center" wrapText="1"/>
    </xf>
    <xf numFmtId="0" fontId="31" fillId="4" borderId="39"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28" fillId="4" borderId="41"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10" xfId="0" applyFont="1" applyFill="1" applyBorder="1" applyAlignment="1">
      <alignment horizontal="center" vertical="center" wrapText="1"/>
    </xf>
    <xf numFmtId="3" fontId="7" fillId="3" borderId="31" xfId="0" applyNumberFormat="1"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 fillId="3" borderId="30" xfId="0" applyFont="1" applyFill="1" applyBorder="1" applyAlignment="1">
      <alignment horizontal="left" vertical="top" wrapText="1"/>
    </xf>
    <xf numFmtId="0" fontId="6" fillId="3" borderId="23" xfId="0" applyFont="1" applyFill="1" applyBorder="1" applyAlignment="1">
      <alignment horizontal="left" vertical="top"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1" xfId="0" applyFont="1" applyBorder="1" applyAlignment="1">
      <alignment horizontal="left" vertical="center" wrapText="1"/>
    </xf>
    <xf numFmtId="0" fontId="6" fillId="0" borderId="24" xfId="0" applyFont="1" applyBorder="1" applyAlignment="1">
      <alignment horizontal="left" vertical="center" wrapText="1"/>
    </xf>
    <xf numFmtId="0" fontId="6" fillId="0" borderId="6" xfId="0" applyFont="1" applyBorder="1" applyAlignment="1">
      <alignment horizontal="left" vertical="center" wrapText="1"/>
    </xf>
    <xf numFmtId="0" fontId="7" fillId="0" borderId="1" xfId="0" applyFont="1" applyFill="1" applyBorder="1" applyAlignment="1">
      <alignment horizontal="left" vertical="top" wrapText="1"/>
    </xf>
    <xf numFmtId="0" fontId="6" fillId="0" borderId="5"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3" borderId="31" xfId="0" applyFont="1" applyFill="1" applyBorder="1" applyAlignment="1">
      <alignment horizontal="left" vertical="top" wrapText="1"/>
    </xf>
    <xf numFmtId="0" fontId="6" fillId="3" borderId="24" xfId="0" applyFont="1" applyFill="1" applyBorder="1" applyAlignment="1">
      <alignment horizontal="left" vertical="top" wrapText="1"/>
    </xf>
    <xf numFmtId="0" fontId="6" fillId="3" borderId="6" xfId="0" applyFont="1" applyFill="1" applyBorder="1" applyAlignment="1">
      <alignment horizontal="left" vertical="top" wrapText="1"/>
    </xf>
    <xf numFmtId="0" fontId="7" fillId="3" borderId="31" xfId="0" applyFont="1" applyFill="1" applyBorder="1" applyAlignment="1">
      <alignment horizontal="left" vertical="top" wrapText="1"/>
    </xf>
    <xf numFmtId="0" fontId="7" fillId="3" borderId="24" xfId="0" applyFont="1" applyFill="1" applyBorder="1" applyAlignment="1">
      <alignment horizontal="left" vertical="top" wrapText="1"/>
    </xf>
    <xf numFmtId="0" fontId="7" fillId="3" borderId="6" xfId="0" applyFont="1" applyFill="1" applyBorder="1" applyAlignment="1">
      <alignment horizontal="left" vertical="top" wrapText="1"/>
    </xf>
    <xf numFmtId="0" fontId="30" fillId="0" borderId="2" xfId="0" applyFont="1" applyBorder="1" applyAlignment="1">
      <alignment horizontal="center" vertical="top"/>
    </xf>
    <xf numFmtId="0" fontId="30" fillId="0" borderId="36" xfId="0" applyFont="1" applyBorder="1" applyAlignment="1">
      <alignment horizontal="center" vertical="top"/>
    </xf>
    <xf numFmtId="0" fontId="30" fillId="0" borderId="42" xfId="0" applyFont="1" applyBorder="1" applyAlignment="1">
      <alignment horizontal="center" vertical="top"/>
    </xf>
    <xf numFmtId="0" fontId="9" fillId="5" borderId="56"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67" xfId="0" applyFont="1" applyFill="1" applyBorder="1" applyAlignment="1">
      <alignment horizontal="center" vertical="center" wrapText="1"/>
    </xf>
    <xf numFmtId="0" fontId="9" fillId="4" borderId="4" xfId="0" applyFont="1" applyFill="1" applyBorder="1" applyAlignment="1">
      <alignment horizontal="right" vertical="top"/>
    </xf>
    <xf numFmtId="0" fontId="9" fillId="4" borderId="42" xfId="0" applyFont="1" applyFill="1" applyBorder="1" applyAlignment="1">
      <alignment horizontal="right" vertical="top"/>
    </xf>
    <xf numFmtId="0" fontId="9" fillId="4" borderId="18" xfId="0" applyFont="1" applyFill="1" applyBorder="1" applyAlignment="1">
      <alignment horizontal="right" vertical="top"/>
    </xf>
    <xf numFmtId="0" fontId="28" fillId="4" borderId="50" xfId="0" applyFont="1" applyFill="1" applyBorder="1" applyAlignment="1">
      <alignment horizontal="center" vertical="center" wrapText="1"/>
    </xf>
    <xf numFmtId="0" fontId="28" fillId="4" borderId="43" xfId="0" applyFont="1" applyFill="1" applyBorder="1" applyAlignment="1">
      <alignment horizontal="center" vertical="center" wrapText="1"/>
    </xf>
    <xf numFmtId="0" fontId="28" fillId="4" borderId="59"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9" fillId="0" borderId="47" xfId="0" applyFont="1" applyBorder="1" applyAlignment="1">
      <alignment horizontal="center" vertical="center"/>
    </xf>
    <xf numFmtId="0" fontId="9" fillId="0" borderId="53" xfId="0" applyFont="1" applyBorder="1" applyAlignment="1">
      <alignment horizontal="center" vertical="center"/>
    </xf>
    <xf numFmtId="0" fontId="9" fillId="0" borderId="41" xfId="0" applyFont="1" applyBorder="1" applyAlignment="1">
      <alignment horizontal="center" vertical="center"/>
    </xf>
    <xf numFmtId="0" fontId="7" fillId="2" borderId="6" xfId="0" applyFont="1" applyFill="1" applyBorder="1" applyAlignment="1">
      <alignment horizontal="left" vertical="center" wrapText="1"/>
    </xf>
    <xf numFmtId="0" fontId="7" fillId="2" borderId="1" xfId="0" applyFont="1" applyFill="1" applyBorder="1" applyAlignment="1">
      <alignment horizontal="left" vertical="center" wrapText="1"/>
    </xf>
    <xf numFmtId="0" fontId="9" fillId="0" borderId="41" xfId="0" applyFont="1" applyBorder="1" applyAlignment="1">
      <alignment horizontal="center" vertical="center" wrapText="1"/>
    </xf>
    <xf numFmtId="0" fontId="6" fillId="0" borderId="31" xfId="0" applyFont="1" applyFill="1" applyBorder="1" applyAlignment="1">
      <alignment horizontal="left" vertical="top" wrapText="1"/>
    </xf>
    <xf numFmtId="0" fontId="9" fillId="0" borderId="11"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6" fillId="0" borderId="46" xfId="0" applyFont="1" applyBorder="1" applyAlignment="1">
      <alignment horizontal="left" vertical="top" wrapText="1"/>
    </xf>
    <xf numFmtId="0" fontId="6" fillId="0" borderId="44" xfId="0" applyFont="1" applyBorder="1" applyAlignment="1">
      <alignment horizontal="left" vertical="top" wrapText="1"/>
    </xf>
    <xf numFmtId="0" fontId="6" fillId="0" borderId="45" xfId="0" applyFont="1" applyBorder="1" applyAlignment="1">
      <alignment horizontal="left" vertical="top" wrapText="1"/>
    </xf>
    <xf numFmtId="0" fontId="9" fillId="0" borderId="46" xfId="0" applyFont="1" applyBorder="1" applyAlignment="1">
      <alignment horizontal="left" vertical="top" wrapText="1"/>
    </xf>
    <xf numFmtId="0" fontId="6" fillId="2" borderId="3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0" borderId="1" xfId="0" applyFont="1" applyBorder="1" applyAlignment="1">
      <alignment horizontal="left" vertical="top"/>
    </xf>
    <xf numFmtId="0" fontId="25" fillId="0" borderId="0" xfId="0" applyFont="1" applyAlignment="1">
      <alignment horizontal="left"/>
    </xf>
    <xf numFmtId="0" fontId="25" fillId="0" borderId="0" xfId="0" applyFont="1" applyAlignment="1">
      <alignment horizontal="left" vertical="top"/>
    </xf>
    <xf numFmtId="0" fontId="8" fillId="2" borderId="11"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6" fillId="0" borderId="71" xfId="0" applyFont="1" applyBorder="1" applyAlignment="1">
      <alignment horizontal="center" vertical="center" wrapText="1"/>
    </xf>
    <xf numFmtId="0" fontId="9" fillId="0" borderId="70" xfId="0" applyFont="1" applyBorder="1" applyAlignment="1">
      <alignment horizontal="center" vertical="center" wrapText="1"/>
    </xf>
    <xf numFmtId="0" fontId="6" fillId="0" borderId="58" xfId="0" applyFont="1" applyBorder="1" applyAlignment="1">
      <alignment horizontal="center" vertical="center" wrapText="1"/>
    </xf>
    <xf numFmtId="0" fontId="9" fillId="5" borderId="28" xfId="0" applyFont="1" applyFill="1" applyBorder="1" applyAlignment="1">
      <alignment horizontal="left" vertical="top" wrapText="1"/>
    </xf>
    <xf numFmtId="0" fontId="9" fillId="5" borderId="26" xfId="0" applyFont="1" applyFill="1" applyBorder="1" applyAlignment="1">
      <alignment horizontal="left" vertical="top" wrapText="1"/>
    </xf>
    <xf numFmtId="0" fontId="9" fillId="5" borderId="30" xfId="0" applyFont="1" applyFill="1" applyBorder="1" applyAlignment="1">
      <alignment horizontal="left" vertical="top" wrapText="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6" fillId="0" borderId="6" xfId="0" applyFont="1" applyFill="1" applyBorder="1" applyAlignment="1">
      <alignment horizontal="left" vertical="center" wrapText="1"/>
    </xf>
    <xf numFmtId="0" fontId="9" fillId="0" borderId="21" xfId="0" applyFont="1" applyFill="1" applyBorder="1" applyAlignment="1">
      <alignment horizontal="center" vertical="top"/>
    </xf>
    <xf numFmtId="0" fontId="9" fillId="0" borderId="41" xfId="0" applyFont="1" applyFill="1" applyBorder="1" applyAlignment="1">
      <alignment horizontal="center" vertical="top"/>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8" fillId="2" borderId="11"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55" xfId="0" applyFont="1" applyFill="1" applyBorder="1" applyAlignment="1">
      <alignment horizontal="center" vertical="center"/>
    </xf>
    <xf numFmtId="0" fontId="9" fillId="0" borderId="47" xfId="0" applyFont="1" applyBorder="1" applyAlignment="1">
      <alignment horizontal="center" vertical="center" wrapText="1"/>
    </xf>
    <xf numFmtId="0" fontId="9" fillId="0" borderId="53" xfId="0" applyFont="1" applyBorder="1" applyAlignment="1">
      <alignment horizontal="center" vertical="center" wrapText="1"/>
    </xf>
    <xf numFmtId="0" fontId="6" fillId="3" borderId="5" xfId="0" applyFont="1" applyFill="1" applyBorder="1" applyAlignment="1">
      <alignment horizontal="left" vertical="top" wrapText="1"/>
    </xf>
    <xf numFmtId="0" fontId="9" fillId="0" borderId="21" xfId="0" applyFont="1" applyBorder="1" applyAlignment="1">
      <alignment horizontal="center" vertical="center"/>
    </xf>
    <xf numFmtId="0" fontId="11" fillId="3" borderId="3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9" xfId="0" applyFont="1" applyBorder="1" applyAlignment="1">
      <alignment horizontal="center" vertical="center" wrapText="1"/>
    </xf>
    <xf numFmtId="0" fontId="28" fillId="4" borderId="22" xfId="0" applyFont="1" applyFill="1" applyBorder="1" applyAlignment="1">
      <alignment horizontal="center" vertical="center" wrapText="1"/>
    </xf>
    <xf numFmtId="0" fontId="28" fillId="4" borderId="68" xfId="0" applyFont="1" applyFill="1" applyBorder="1" applyAlignment="1">
      <alignment horizontal="center" vertical="center" wrapText="1"/>
    </xf>
    <xf numFmtId="0" fontId="9" fillId="0" borderId="24" xfId="0" applyFont="1" applyBorder="1" applyAlignment="1">
      <alignment horizontal="center" wrapText="1"/>
    </xf>
    <xf numFmtId="0" fontId="9" fillId="4" borderId="7"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7" fillId="2" borderId="5" xfId="0" applyFont="1" applyFill="1" applyBorder="1" applyAlignment="1">
      <alignment horizontal="center" vertical="center" wrapText="1"/>
    </xf>
    <xf numFmtId="0" fontId="6" fillId="0" borderId="31" xfId="0" applyFont="1" applyBorder="1" applyAlignment="1">
      <alignment horizontal="center" vertical="center"/>
    </xf>
    <xf numFmtId="0" fontId="6" fillId="0" borderId="31" xfId="0" applyFont="1" applyBorder="1" applyAlignment="1">
      <alignment horizontal="center" vertical="center" wrapText="1"/>
    </xf>
    <xf numFmtId="0" fontId="5" fillId="2" borderId="34" xfId="0" applyFont="1" applyFill="1" applyBorder="1" applyAlignment="1">
      <alignment horizontal="center" vertical="center" wrapText="1"/>
    </xf>
    <xf numFmtId="0" fontId="6" fillId="0" borderId="24" xfId="0" applyFont="1" applyBorder="1" applyAlignment="1">
      <alignment horizontal="center" vertical="center"/>
    </xf>
    <xf numFmtId="0" fontId="7" fillId="2" borderId="24" xfId="0" applyFont="1" applyFill="1" applyBorder="1" applyAlignment="1">
      <alignment horizontal="center" vertical="center" wrapText="1"/>
    </xf>
    <xf numFmtId="0" fontId="6" fillId="0" borderId="34" xfId="0" applyFont="1" applyBorder="1" applyAlignment="1">
      <alignment horizontal="center" vertical="center"/>
    </xf>
    <xf numFmtId="0" fontId="6" fillId="0" borderId="20" xfId="0" applyFont="1" applyBorder="1" applyAlignment="1">
      <alignment horizontal="center" vertical="center"/>
    </xf>
    <xf numFmtId="0" fontId="6" fillId="3" borderId="7" xfId="0" applyFont="1" applyFill="1" applyBorder="1" applyAlignment="1">
      <alignment horizontal="left" vertical="top" wrapText="1"/>
    </xf>
    <xf numFmtId="0" fontId="6" fillId="3" borderId="1" xfId="0" applyFont="1" applyFill="1" applyBorder="1" applyAlignment="1">
      <alignment horizontal="left" vertical="top" wrapText="1"/>
    </xf>
    <xf numFmtId="0" fontId="33" fillId="0" borderId="60" xfId="0" applyFont="1" applyBorder="1" applyAlignment="1">
      <alignment horizontal="center" vertical="center" wrapText="1"/>
    </xf>
    <xf numFmtId="0" fontId="36" fillId="2" borderId="2" xfId="0" applyFont="1" applyFill="1" applyBorder="1" applyAlignment="1">
      <alignment horizontal="right" wrapText="1"/>
    </xf>
    <xf numFmtId="0" fontId="36" fillId="2" borderId="61" xfId="0" applyFont="1" applyFill="1" applyBorder="1" applyAlignment="1">
      <alignment horizontal="right" wrapText="1"/>
    </xf>
    <xf numFmtId="0" fontId="33" fillId="0" borderId="42" xfId="0" applyFont="1" applyBorder="1" applyAlignment="1">
      <alignment horizontal="left"/>
    </xf>
    <xf numFmtId="0" fontId="33" fillId="0" borderId="0" xfId="0" applyFont="1" applyAlignment="1">
      <alignment horizontal="center"/>
    </xf>
    <xf numFmtId="0" fontId="41" fillId="2" borderId="2" xfId="0" applyFont="1" applyFill="1" applyBorder="1" applyAlignment="1">
      <alignment horizontal="right" wrapText="1"/>
    </xf>
    <xf numFmtId="0" fontId="41" fillId="2" borderId="61" xfId="0" applyFont="1" applyFill="1" applyBorder="1" applyAlignment="1">
      <alignment horizontal="right" wrapText="1"/>
    </xf>
    <xf numFmtId="0" fontId="46" fillId="4" borderId="1" xfId="0" applyFont="1" applyFill="1" applyBorder="1" applyAlignment="1">
      <alignment horizontal="center" vertical="center" wrapText="1"/>
    </xf>
    <xf numFmtId="0" fontId="44" fillId="0" borderId="0" xfId="4" applyFont="1" applyAlignment="1">
      <alignment horizontal="center"/>
    </xf>
    <xf numFmtId="0" fontId="45" fillId="0" borderId="0" xfId="4" applyFont="1" applyAlignment="1">
      <alignment horizontal="center" wrapText="1"/>
    </xf>
    <xf numFmtId="0" fontId="47" fillId="4" borderId="1" xfId="8" applyFont="1" applyFill="1" applyBorder="1" applyAlignment="1">
      <alignment horizontal="center" vertical="center"/>
    </xf>
    <xf numFmtId="0" fontId="47" fillId="4" borderId="1" xfId="8" applyFont="1" applyFill="1" applyBorder="1" applyAlignment="1">
      <alignment horizontal="center" vertical="center" wrapText="1"/>
    </xf>
    <xf numFmtId="0" fontId="39" fillId="0" borderId="60" xfId="0" applyFont="1" applyBorder="1" applyAlignment="1">
      <alignment horizontal="center"/>
    </xf>
    <xf numFmtId="0" fontId="41" fillId="2" borderId="2" xfId="9" applyFont="1" applyFill="1" applyBorder="1" applyAlignment="1">
      <alignment horizontal="right" wrapText="1"/>
    </xf>
    <xf numFmtId="0" fontId="41" fillId="2" borderId="61" xfId="9" applyFont="1" applyFill="1" applyBorder="1" applyAlignment="1">
      <alignment horizontal="right" wrapText="1"/>
    </xf>
    <xf numFmtId="0" fontId="33" fillId="0" borderId="0" xfId="9" applyFont="1" applyBorder="1" applyAlignment="1">
      <alignment horizontal="center"/>
    </xf>
    <xf numFmtId="4" fontId="39" fillId="4" borderId="1" xfId="50" applyNumberFormat="1" applyFont="1" applyFill="1" applyBorder="1" applyAlignment="1">
      <alignment horizontal="center"/>
    </xf>
    <xf numFmtId="0" fontId="39" fillId="4" borderId="1" xfId="50" applyFont="1" applyFill="1" applyBorder="1" applyAlignment="1">
      <alignment horizontal="center"/>
    </xf>
    <xf numFmtId="0" fontId="33" fillId="0" borderId="0" xfId="0" applyFont="1" applyAlignment="1">
      <alignment horizontal="right"/>
    </xf>
    <xf numFmtId="0" fontId="39" fillId="0" borderId="0" xfId="50" applyFont="1" applyAlignment="1">
      <alignment horizontal="center" wrapText="1"/>
    </xf>
    <xf numFmtId="0" fontId="39" fillId="4" borderId="5" xfId="50" applyFont="1" applyFill="1" applyBorder="1" applyAlignment="1">
      <alignment horizontal="center" vertical="center" wrapText="1"/>
    </xf>
    <xf numFmtId="0" fontId="33" fillId="0" borderId="1" xfId="0" applyFont="1" applyBorder="1" applyAlignment="1">
      <alignment horizontal="left" vertical="center" wrapText="1"/>
    </xf>
    <xf numFmtId="0" fontId="39" fillId="4" borderId="1" xfId="0" applyFont="1" applyFill="1" applyBorder="1" applyAlignment="1">
      <alignment horizontal="center" wrapText="1"/>
    </xf>
    <xf numFmtId="0" fontId="41" fillId="2" borderId="1" xfId="0" applyFont="1" applyFill="1" applyBorder="1" applyAlignment="1">
      <alignment horizontal="right" wrapText="1"/>
    </xf>
    <xf numFmtId="0" fontId="33" fillId="0" borderId="60" xfId="0" applyFont="1" applyBorder="1" applyAlignment="1">
      <alignment horizontal="center" vertical="center"/>
    </xf>
    <xf numFmtId="0" fontId="52" fillId="0" borderId="60" xfId="0" applyFont="1" applyBorder="1" applyAlignment="1">
      <alignment horizontal="center"/>
    </xf>
    <xf numFmtId="0" fontId="53" fillId="0" borderId="0" xfId="0" applyFont="1" applyAlignment="1">
      <alignment horizontal="center"/>
    </xf>
    <xf numFmtId="0" fontId="38" fillId="2" borderId="1" xfId="0" applyFont="1" applyFill="1" applyBorder="1" applyAlignment="1">
      <alignment horizontal="right" wrapText="1"/>
    </xf>
    <xf numFmtId="0" fontId="33" fillId="0" borderId="60" xfId="0" applyFont="1" applyBorder="1" applyAlignment="1">
      <alignment horizontal="left" vertical="center" wrapText="1"/>
    </xf>
    <xf numFmtId="0" fontId="33" fillId="0" borderId="0" xfId="0" applyFont="1" applyAlignment="1">
      <alignment horizontal="center" vertical="center" wrapText="1"/>
    </xf>
    <xf numFmtId="0" fontId="47" fillId="0" borderId="2" xfId="0" applyFont="1" applyBorder="1" applyAlignment="1">
      <alignment horizontal="right"/>
    </xf>
    <xf numFmtId="0" fontId="47" fillId="0" borderId="36" xfId="0" applyFont="1" applyBorder="1" applyAlignment="1">
      <alignment horizontal="right"/>
    </xf>
    <xf numFmtId="0" fontId="47" fillId="0" borderId="3" xfId="0" applyFont="1" applyBorder="1" applyAlignment="1">
      <alignment horizontal="right"/>
    </xf>
    <xf numFmtId="0" fontId="48" fillId="6" borderId="2" xfId="0" applyFont="1" applyFill="1" applyBorder="1" applyAlignment="1">
      <alignment horizontal="right"/>
    </xf>
    <xf numFmtId="0" fontId="48" fillId="6" borderId="36" xfId="0" applyFont="1" applyFill="1" applyBorder="1" applyAlignment="1">
      <alignment horizontal="right"/>
    </xf>
    <xf numFmtId="0" fontId="48" fillId="6" borderId="3" xfId="0" applyFont="1" applyFill="1" applyBorder="1" applyAlignment="1">
      <alignment horizontal="right"/>
    </xf>
    <xf numFmtId="0" fontId="47" fillId="0" borderId="0" xfId="0" applyFont="1" applyAlignment="1">
      <alignment horizontal="right"/>
    </xf>
    <xf numFmtId="0" fontId="61" fillId="0" borderId="0" xfId="0" applyFont="1" applyAlignment="1">
      <alignment horizontal="center" vertical="center"/>
    </xf>
    <xf numFmtId="0" fontId="47" fillId="0" borderId="1" xfId="0" applyFont="1" applyBorder="1" applyAlignment="1">
      <alignment horizontal="right" vertical="center" wrapText="1"/>
    </xf>
    <xf numFmtId="0" fontId="47" fillId="0" borderId="2" xfId="0" applyFont="1" applyBorder="1" applyAlignment="1">
      <alignment horizontal="right" wrapText="1"/>
    </xf>
    <xf numFmtId="0" fontId="47" fillId="0" borderId="36" xfId="0" applyFont="1" applyBorder="1" applyAlignment="1">
      <alignment horizontal="right" wrapText="1"/>
    </xf>
    <xf numFmtId="0" fontId="47" fillId="0" borderId="3" xfId="0" applyFont="1" applyBorder="1" applyAlignment="1">
      <alignment horizontal="right" wrapText="1"/>
    </xf>
    <xf numFmtId="0" fontId="47" fillId="0" borderId="2" xfId="0" applyFont="1" applyBorder="1" applyAlignment="1">
      <alignment horizontal="right" vertical="center" wrapText="1"/>
    </xf>
    <xf numFmtId="0" fontId="47" fillId="0" borderId="36" xfId="0" applyFont="1" applyBorder="1" applyAlignment="1">
      <alignment horizontal="right" vertical="center" wrapText="1"/>
    </xf>
    <xf numFmtId="0" fontId="47" fillId="0" borderId="3" xfId="0" applyFont="1" applyBorder="1" applyAlignment="1">
      <alignment horizontal="right" vertical="center" wrapText="1"/>
    </xf>
    <xf numFmtId="0" fontId="47" fillId="0" borderId="2" xfId="0" applyFont="1" applyBorder="1" applyAlignment="1">
      <alignment horizontal="right" vertical="center"/>
    </xf>
    <xf numFmtId="0" fontId="47" fillId="0" borderId="36" xfId="0" applyFont="1" applyBorder="1" applyAlignment="1">
      <alignment horizontal="right" vertical="center"/>
    </xf>
    <xf numFmtId="0" fontId="47" fillId="0" borderId="3" xfId="0" applyFont="1" applyBorder="1" applyAlignment="1">
      <alignment horizontal="right" vertical="center"/>
    </xf>
    <xf numFmtId="0" fontId="54" fillId="3" borderId="5" xfId="0" applyFont="1" applyFill="1" applyBorder="1" applyAlignment="1">
      <alignment horizontal="center" vertical="center" wrapText="1"/>
    </xf>
    <xf numFmtId="0" fontId="54" fillId="3" borderId="6" xfId="0" applyFont="1" applyFill="1" applyBorder="1" applyAlignment="1">
      <alignment horizontal="center" vertical="center" wrapText="1"/>
    </xf>
    <xf numFmtId="0" fontId="54" fillId="3" borderId="0" xfId="0" applyFont="1" applyFill="1" applyAlignment="1">
      <alignment horizontal="center" vertical="center" wrapText="1"/>
    </xf>
    <xf numFmtId="0" fontId="54" fillId="3" borderId="5" xfId="0" applyFont="1" applyFill="1" applyBorder="1" applyAlignment="1">
      <alignment horizontal="left" vertical="center" wrapText="1"/>
    </xf>
    <xf numFmtId="0" fontId="72" fillId="3" borderId="6" xfId="0" applyFont="1" applyFill="1" applyBorder="1" applyAlignment="1">
      <alignment horizontal="left" vertical="center" wrapText="1"/>
    </xf>
    <xf numFmtId="0" fontId="72" fillId="3" borderId="6" xfId="0" applyFont="1" applyFill="1" applyBorder="1" applyAlignment="1">
      <alignment horizontal="center" vertical="center" wrapText="1"/>
    </xf>
    <xf numFmtId="0" fontId="54" fillId="3" borderId="1" xfId="0" applyFont="1" applyFill="1" applyBorder="1" applyAlignment="1">
      <alignment vertical="center"/>
    </xf>
    <xf numFmtId="174" fontId="54" fillId="3" borderId="5" xfId="0" applyNumberFormat="1" applyFont="1" applyFill="1" applyBorder="1" applyAlignment="1">
      <alignment horizontal="center" vertical="center"/>
    </xf>
    <xf numFmtId="174" fontId="72" fillId="3" borderId="6" xfId="0" applyNumberFormat="1" applyFont="1" applyFill="1" applyBorder="1" applyAlignment="1">
      <alignment horizontal="center" vertical="center"/>
    </xf>
    <xf numFmtId="0" fontId="54" fillId="3" borderId="5" xfId="0" applyFont="1" applyFill="1" applyBorder="1" applyAlignment="1">
      <alignment horizontal="center" vertical="center"/>
    </xf>
    <xf numFmtId="0" fontId="72" fillId="3" borderId="6" xfId="0" applyFont="1" applyFill="1" applyBorder="1" applyAlignment="1">
      <alignment horizontal="center" vertical="center"/>
    </xf>
    <xf numFmtId="0" fontId="54" fillId="3" borderId="1" xfId="0" applyFont="1" applyFill="1" applyBorder="1" applyAlignment="1">
      <alignment horizontal="left" vertical="center"/>
    </xf>
    <xf numFmtId="0" fontId="72" fillId="3" borderId="24" xfId="0" applyFont="1" applyFill="1" applyBorder="1" applyAlignment="1">
      <alignment horizontal="center" vertical="center"/>
    </xf>
    <xf numFmtId="0" fontId="54" fillId="3" borderId="5" xfId="0" applyFont="1" applyFill="1" applyBorder="1" applyAlignment="1">
      <alignment horizontal="left" vertical="center"/>
    </xf>
    <xf numFmtId="0" fontId="72" fillId="3" borderId="6" xfId="0" applyFont="1" applyFill="1" applyBorder="1" applyAlignment="1">
      <alignment horizontal="left" vertical="center"/>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33" fillId="0" borderId="0" xfId="0" applyFont="1" applyAlignment="1">
      <alignment horizontal="left" wrapText="1"/>
    </xf>
    <xf numFmtId="0" fontId="33" fillId="0" borderId="0" xfId="0" applyFont="1" applyAlignment="1">
      <alignment horizontal="left"/>
    </xf>
    <xf numFmtId="0" fontId="33" fillId="4" borderId="1" xfId="0" applyFont="1" applyFill="1" applyBorder="1" applyAlignment="1">
      <alignment horizontal="center"/>
    </xf>
    <xf numFmtId="0" fontId="33" fillId="3" borderId="5" xfId="0" applyFont="1" applyFill="1" applyBorder="1" applyAlignment="1">
      <alignment horizontal="left" vertical="center" wrapText="1"/>
    </xf>
    <xf numFmtId="0" fontId="58" fillId="3" borderId="6" xfId="0" applyFont="1" applyFill="1" applyBorder="1" applyAlignment="1">
      <alignment horizontal="left" vertical="center" wrapText="1"/>
    </xf>
    <xf numFmtId="0" fontId="33" fillId="3" borderId="5" xfId="0" applyFont="1" applyFill="1" applyBorder="1" applyAlignment="1">
      <alignment horizontal="center" vertical="center"/>
    </xf>
    <xf numFmtId="0" fontId="33" fillId="3" borderId="6" xfId="0" applyFont="1" applyFill="1" applyBorder="1" applyAlignment="1">
      <alignment horizontal="center" vertical="center"/>
    </xf>
    <xf numFmtId="0" fontId="33" fillId="3" borderId="5" xfId="0" applyFont="1" applyFill="1" applyBorder="1" applyAlignment="1">
      <alignment horizontal="center" vertical="center" wrapText="1"/>
    </xf>
    <xf numFmtId="0" fontId="58" fillId="0" borderId="6" xfId="0" applyFont="1" applyBorder="1" applyAlignment="1">
      <alignment horizontal="center" vertical="center" wrapText="1"/>
    </xf>
    <xf numFmtId="0" fontId="33" fillId="3" borderId="1" xfId="0" applyFont="1" applyFill="1" applyBorder="1" applyAlignment="1">
      <alignment vertical="center"/>
    </xf>
    <xf numFmtId="174" fontId="33" fillId="3" borderId="5" xfId="0" applyNumberFormat="1" applyFont="1" applyFill="1" applyBorder="1" applyAlignment="1">
      <alignment horizontal="center" vertical="center"/>
    </xf>
    <xf numFmtId="174" fontId="58" fillId="0" borderId="6" xfId="0" applyNumberFormat="1" applyFont="1" applyBorder="1" applyAlignment="1">
      <alignment horizontal="center" vertical="center"/>
    </xf>
    <xf numFmtId="0" fontId="58" fillId="0" borderId="6" xfId="0" applyFont="1" applyBorder="1" applyAlignment="1">
      <alignment horizontal="center" vertical="center"/>
    </xf>
    <xf numFmtId="0" fontId="33" fillId="0" borderId="5" xfId="0" applyFont="1" applyBorder="1" applyAlignment="1">
      <alignment horizontal="center" vertical="center"/>
    </xf>
    <xf numFmtId="0" fontId="33" fillId="0" borderId="0" xfId="0" applyFont="1" applyAlignment="1">
      <alignment horizontal="right" vertical="center"/>
    </xf>
    <xf numFmtId="0" fontId="33" fillId="0" borderId="0" xfId="0" applyFont="1" applyAlignment="1">
      <alignment horizontal="center" vertical="center"/>
    </xf>
    <xf numFmtId="0" fontId="33" fillId="3" borderId="1" xfId="0" applyFont="1" applyFill="1" applyBorder="1" applyAlignment="1">
      <alignment horizontal="left" vertical="center"/>
    </xf>
    <xf numFmtId="0" fontId="58" fillId="0" borderId="24" xfId="0" applyFont="1" applyBorder="1" applyAlignment="1">
      <alignment horizontal="center" vertical="center"/>
    </xf>
    <xf numFmtId="0" fontId="33" fillId="3" borderId="5" xfId="0" applyFont="1" applyFill="1" applyBorder="1" applyAlignment="1">
      <alignment horizontal="left" vertical="center"/>
    </xf>
    <xf numFmtId="0" fontId="58" fillId="3" borderId="6" xfId="0" applyFont="1" applyFill="1" applyBorder="1" applyAlignment="1">
      <alignment horizontal="left" vertical="center"/>
    </xf>
    <xf numFmtId="0" fontId="58" fillId="3" borderId="6" xfId="0" applyFont="1" applyFill="1" applyBorder="1" applyAlignment="1">
      <alignment horizontal="center" vertical="center"/>
    </xf>
    <xf numFmtId="0" fontId="33" fillId="0" borderId="64" xfId="0" applyFont="1" applyBorder="1" applyAlignment="1">
      <alignment horizontal="center" vertical="center"/>
    </xf>
    <xf numFmtId="0" fontId="33" fillId="0" borderId="65" xfId="0" applyFont="1" applyBorder="1" applyAlignment="1">
      <alignment horizontal="center" vertical="center"/>
    </xf>
    <xf numFmtId="0" fontId="33" fillId="0" borderId="66" xfId="0" applyFont="1" applyBorder="1" applyAlignment="1">
      <alignment horizontal="center" vertical="center"/>
    </xf>
    <xf numFmtId="1" fontId="58" fillId="3" borderId="1" xfId="0" applyNumberFormat="1" applyFont="1" applyFill="1" applyBorder="1" applyAlignment="1">
      <alignment horizontal="center"/>
    </xf>
    <xf numFmtId="0" fontId="58" fillId="0" borderId="60" xfId="0" applyFont="1" applyBorder="1" applyAlignment="1">
      <alignment horizontal="center"/>
    </xf>
    <xf numFmtId="0" fontId="33" fillId="4" borderId="5" xfId="0" applyFont="1" applyFill="1" applyBorder="1" applyAlignment="1">
      <alignment horizontal="center" vertical="center" wrapText="1"/>
    </xf>
    <xf numFmtId="0" fontId="33" fillId="4" borderId="6" xfId="0" applyFont="1" applyFill="1" applyBorder="1" applyAlignment="1">
      <alignment horizontal="center" vertical="center" wrapText="1"/>
    </xf>
    <xf numFmtId="3" fontId="33" fillId="4" borderId="5" xfId="0" applyNumberFormat="1" applyFont="1" applyFill="1" applyBorder="1" applyAlignment="1">
      <alignment horizontal="center" vertical="center" wrapText="1"/>
    </xf>
    <xf numFmtId="3" fontId="33" fillId="4" borderId="6" xfId="0" applyNumberFormat="1" applyFont="1" applyFill="1" applyBorder="1" applyAlignment="1">
      <alignment horizontal="center" vertical="center" wrapText="1"/>
    </xf>
    <xf numFmtId="3" fontId="33" fillId="4" borderId="2" xfId="0" applyNumberFormat="1" applyFont="1" applyFill="1" applyBorder="1" applyAlignment="1">
      <alignment horizontal="center" vertical="center" wrapText="1"/>
    </xf>
    <xf numFmtId="3" fontId="33" fillId="4" borderId="36" xfId="0" applyNumberFormat="1" applyFont="1" applyFill="1" applyBorder="1" applyAlignment="1">
      <alignment horizontal="center" vertical="center" wrapText="1"/>
    </xf>
    <xf numFmtId="3" fontId="33" fillId="4" borderId="3" xfId="0" applyNumberFormat="1" applyFont="1" applyFill="1" applyBorder="1" applyAlignment="1">
      <alignment horizontal="center" vertical="center" wrapText="1"/>
    </xf>
    <xf numFmtId="0" fontId="58" fillId="3" borderId="1" xfId="0" applyFont="1" applyFill="1" applyBorder="1" applyAlignment="1">
      <alignment horizontal="center" wrapText="1"/>
    </xf>
    <xf numFmtId="0" fontId="33" fillId="4" borderId="5" xfId="0" applyFont="1" applyFill="1" applyBorder="1" applyAlignment="1">
      <alignment horizontal="center" vertical="center"/>
    </xf>
    <xf numFmtId="0" fontId="33" fillId="4" borderId="6" xfId="0" applyFont="1" applyFill="1" applyBorder="1" applyAlignment="1">
      <alignment horizontal="center" vertical="center"/>
    </xf>
    <xf numFmtId="0" fontId="39" fillId="4" borderId="5" xfId="0" applyFont="1" applyFill="1" applyBorder="1" applyAlignment="1">
      <alignment horizontal="center" vertical="center" wrapText="1"/>
    </xf>
    <xf numFmtId="0" fontId="39" fillId="4" borderId="6" xfId="0" applyFont="1" applyFill="1" applyBorder="1" applyAlignment="1">
      <alignment horizontal="center" vertical="center" wrapText="1"/>
    </xf>
    <xf numFmtId="168" fontId="39" fillId="3" borderId="2" xfId="44" applyNumberFormat="1" applyFont="1" applyFill="1" applyBorder="1" applyAlignment="1">
      <alignment horizontal="center" vertical="center" wrapText="1"/>
    </xf>
    <xf numFmtId="168" fontId="39" fillId="3" borderId="3" xfId="44" applyNumberFormat="1" applyFont="1" applyFill="1" applyBorder="1" applyAlignment="1">
      <alignment horizontal="center" vertical="center" wrapText="1"/>
    </xf>
    <xf numFmtId="168" fontId="33" fillId="3" borderId="2" xfId="0" applyNumberFormat="1" applyFont="1" applyFill="1" applyBorder="1" applyAlignment="1">
      <alignment horizontal="center" vertical="center" wrapText="1"/>
    </xf>
    <xf numFmtId="168" fontId="33" fillId="3" borderId="3" xfId="0" applyNumberFormat="1" applyFont="1" applyFill="1" applyBorder="1" applyAlignment="1">
      <alignment horizontal="center" vertical="center" wrapText="1"/>
    </xf>
    <xf numFmtId="0" fontId="33" fillId="4" borderId="0" xfId="0" applyFont="1" applyFill="1" applyAlignment="1">
      <alignment horizontal="right" vertical="center" wrapText="1"/>
    </xf>
    <xf numFmtId="0" fontId="39" fillId="4" borderId="1" xfId="0" applyFont="1" applyFill="1" applyBorder="1" applyAlignment="1">
      <alignment horizontal="center" vertical="center" wrapText="1"/>
    </xf>
    <xf numFmtId="3" fontId="33" fillId="3" borderId="2" xfId="0" applyNumberFormat="1" applyFont="1" applyFill="1" applyBorder="1" applyAlignment="1">
      <alignment horizontal="center" vertical="center" wrapText="1"/>
    </xf>
    <xf numFmtId="3" fontId="33" fillId="3" borderId="3" xfId="0" applyNumberFormat="1" applyFont="1" applyFill="1" applyBorder="1" applyAlignment="1">
      <alignment horizontal="center" vertical="center" wrapText="1"/>
    </xf>
    <xf numFmtId="3" fontId="39" fillId="3" borderId="2" xfId="0" applyNumberFormat="1" applyFont="1" applyFill="1" applyBorder="1" applyAlignment="1">
      <alignment horizontal="center" vertical="center" wrapText="1"/>
    </xf>
    <xf numFmtId="3" fontId="39" fillId="3" borderId="3" xfId="0" applyNumberFormat="1" applyFont="1" applyFill="1" applyBorder="1" applyAlignment="1">
      <alignment horizontal="center" vertical="center" wrapText="1"/>
    </xf>
    <xf numFmtId="0" fontId="33" fillId="4" borderId="2" xfId="0" applyFont="1" applyFill="1" applyBorder="1" applyAlignment="1">
      <alignment horizontal="center" vertical="center" wrapText="1"/>
    </xf>
    <xf numFmtId="0" fontId="33" fillId="4" borderId="3" xfId="0" applyFont="1" applyFill="1" applyBorder="1" applyAlignment="1">
      <alignment horizontal="center" vertical="center" wrapText="1"/>
    </xf>
    <xf numFmtId="0" fontId="65" fillId="4" borderId="1" xfId="0" applyFont="1" applyFill="1" applyBorder="1" applyAlignment="1">
      <alignment horizontal="center" vertical="center"/>
    </xf>
    <xf numFmtId="0" fontId="63" fillId="4" borderId="1" xfId="0" applyFont="1" applyFill="1" applyBorder="1" applyAlignment="1">
      <alignment horizontal="center"/>
    </xf>
    <xf numFmtId="0" fontId="69" fillId="0" borderId="1" xfId="0" applyFont="1" applyBorder="1" applyAlignment="1">
      <alignment horizontal="center" vertical="center" textRotation="90"/>
    </xf>
    <xf numFmtId="0" fontId="33" fillId="0" borderId="0" xfId="0" applyFont="1" applyAlignment="1">
      <alignment horizontal="left" vertical="center" wrapText="1"/>
    </xf>
    <xf numFmtId="0" fontId="33" fillId="0" borderId="0" xfId="0" applyFont="1" applyAlignment="1">
      <alignment horizontal="center" wrapText="1"/>
    </xf>
    <xf numFmtId="0" fontId="54" fillId="4" borderId="1" xfId="0" applyFont="1" applyFill="1" applyBorder="1" applyAlignment="1">
      <alignment horizontal="center" vertical="center"/>
    </xf>
    <xf numFmtId="0" fontId="54" fillId="4" borderId="1" xfId="71" applyFont="1" applyFill="1" applyBorder="1" applyAlignment="1">
      <alignment horizontal="center" vertical="center" wrapText="1"/>
    </xf>
    <xf numFmtId="0" fontId="54" fillId="4" borderId="1" xfId="0" applyFont="1" applyFill="1" applyBorder="1" applyAlignment="1">
      <alignment horizontal="center" vertical="center" wrapText="1"/>
    </xf>
    <xf numFmtId="0" fontId="33" fillId="4" borderId="1" xfId="0" applyFont="1" applyFill="1" applyBorder="1" applyAlignment="1">
      <alignment horizontal="center" wrapText="1"/>
    </xf>
    <xf numFmtId="0" fontId="39" fillId="3" borderId="46" xfId="0" applyFont="1" applyFill="1" applyBorder="1" applyAlignment="1">
      <alignment horizontal="center" wrapText="1"/>
    </xf>
    <xf numFmtId="0" fontId="39" fillId="3" borderId="44" xfId="0" applyFont="1" applyFill="1" applyBorder="1" applyAlignment="1">
      <alignment horizontal="center" wrapText="1"/>
    </xf>
    <xf numFmtId="49" fontId="39" fillId="3" borderId="0" xfId="0" applyNumberFormat="1" applyFont="1" applyFill="1" applyAlignment="1">
      <alignment horizontal="center" vertical="center" wrapText="1"/>
    </xf>
    <xf numFmtId="49" fontId="39" fillId="3" borderId="5" xfId="0" applyNumberFormat="1" applyFont="1" applyFill="1" applyBorder="1" applyAlignment="1">
      <alignment horizontal="center" vertical="center" wrapText="1"/>
    </xf>
    <xf numFmtId="49" fontId="39" fillId="3" borderId="6" xfId="0" applyNumberFormat="1" applyFont="1" applyFill="1" applyBorder="1" applyAlignment="1">
      <alignment horizontal="center" vertical="center" wrapText="1"/>
    </xf>
    <xf numFmtId="0" fontId="33" fillId="3" borderId="0" xfId="0" applyFont="1" applyFill="1" applyAlignment="1">
      <alignment horizontal="left" wrapText="1"/>
    </xf>
    <xf numFmtId="1" fontId="39" fillId="3" borderId="1" xfId="0" applyNumberFormat="1" applyFont="1" applyFill="1" applyBorder="1" applyAlignment="1">
      <alignment horizontal="center" vertical="center" wrapText="1"/>
    </xf>
    <xf numFmtId="0" fontId="44" fillId="0" borderId="1" xfId="7" applyFont="1" applyBorder="1" applyAlignment="1">
      <alignment horizontal="center" vertical="center" wrapText="1"/>
    </xf>
    <xf numFmtId="0" fontId="44" fillId="0" borderId="1" xfId="7" applyFont="1" applyBorder="1" applyAlignment="1">
      <alignment horizontal="center" vertical="center"/>
    </xf>
    <xf numFmtId="0" fontId="44" fillId="0" borderId="5" xfId="7" applyFont="1" applyBorder="1" applyAlignment="1">
      <alignment horizontal="center" vertical="center" wrapText="1"/>
    </xf>
    <xf numFmtId="0" fontId="44" fillId="0" borderId="6" xfId="7" applyFont="1" applyBorder="1" applyAlignment="1">
      <alignment horizontal="center" vertical="center"/>
    </xf>
    <xf numFmtId="0" fontId="44" fillId="0" borderId="24" xfId="7" applyFont="1" applyBorder="1" applyAlignment="1">
      <alignment horizontal="center" vertical="center" wrapText="1"/>
    </xf>
    <xf numFmtId="0" fontId="44" fillId="0" borderId="6" xfId="7" applyFont="1" applyBorder="1" applyAlignment="1">
      <alignment horizontal="center" vertical="center" wrapText="1"/>
    </xf>
    <xf numFmtId="0" fontId="44" fillId="0" borderId="2" xfId="7" applyFont="1" applyBorder="1" applyAlignment="1">
      <alignment horizontal="center" vertical="center" wrapText="1"/>
    </xf>
    <xf numFmtId="0" fontId="44" fillId="0" borderId="36" xfId="7" applyFont="1" applyBorder="1" applyAlignment="1">
      <alignment horizontal="center" vertical="center" wrapText="1"/>
    </xf>
    <xf numFmtId="0" fontId="44" fillId="0" borderId="3" xfId="7" applyFont="1" applyBorder="1" applyAlignment="1">
      <alignment horizontal="center" vertical="center" wrapText="1"/>
    </xf>
    <xf numFmtId="0" fontId="45" fillId="67" borderId="1" xfId="12" applyFont="1" applyFill="1" applyBorder="1" applyAlignment="1">
      <alignment horizontal="left" vertical="top"/>
    </xf>
    <xf numFmtId="0" fontId="44" fillId="0" borderId="1"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44" fillId="3" borderId="1" xfId="0" applyFont="1" applyFill="1" applyBorder="1" applyAlignment="1">
      <alignment horizontal="center" vertical="center" wrapText="1"/>
    </xf>
    <xf numFmtId="0" fontId="44" fillId="67" borderId="5" xfId="12" applyFont="1" applyFill="1" applyBorder="1" applyAlignment="1">
      <alignment horizontal="center" vertical="center" wrapText="1"/>
    </xf>
    <xf numFmtId="0" fontId="44" fillId="67" borderId="24" xfId="12" applyFont="1" applyFill="1" applyBorder="1" applyAlignment="1">
      <alignment horizontal="center" vertical="center" wrapText="1"/>
    </xf>
    <xf numFmtId="0" fontId="44" fillId="67" borderId="6" xfId="12" applyFont="1" applyFill="1" applyBorder="1" applyAlignment="1">
      <alignment horizontal="center" vertical="center" wrapText="1"/>
    </xf>
    <xf numFmtId="0" fontId="44" fillId="0" borderId="2" xfId="0" applyFont="1" applyBorder="1" applyAlignment="1">
      <alignment horizontal="left" vertical="center" wrapText="1"/>
    </xf>
    <xf numFmtId="0" fontId="44" fillId="0" borderId="3" xfId="0" applyFont="1" applyBorder="1" applyAlignment="1">
      <alignment horizontal="left" vertical="center" wrapText="1"/>
    </xf>
    <xf numFmtId="0" fontId="44" fillId="0" borderId="1" xfId="0" applyFont="1" applyBorder="1" applyAlignment="1">
      <alignment horizontal="left" vertical="center" wrapText="1"/>
    </xf>
    <xf numFmtId="2" fontId="44" fillId="0" borderId="1" xfId="0" applyNumberFormat="1" applyFont="1" applyBorder="1" applyAlignment="1">
      <alignment horizontal="left" vertical="center" wrapText="1"/>
    </xf>
    <xf numFmtId="0" fontId="44" fillId="3" borderId="1" xfId="12" applyFont="1" applyFill="1" applyBorder="1" applyAlignment="1">
      <alignment horizontal="left" vertical="top" wrapText="1"/>
    </xf>
    <xf numFmtId="0" fontId="45" fillId="0" borderId="2" xfId="0" applyFont="1" applyBorder="1" applyAlignment="1">
      <alignment horizontal="left" vertical="top" wrapText="1"/>
    </xf>
    <xf numFmtId="0" fontId="45" fillId="0" borderId="3" xfId="0" applyFont="1" applyBorder="1" applyAlignment="1">
      <alignment horizontal="left" vertical="top" wrapText="1"/>
    </xf>
    <xf numFmtId="0" fontId="44" fillId="0" borderId="2" xfId="0" applyFont="1" applyBorder="1" applyAlignment="1">
      <alignment horizontal="left" vertical="top" wrapText="1"/>
    </xf>
    <xf numFmtId="0" fontId="44" fillId="0" borderId="3" xfId="0" applyFont="1" applyBorder="1" applyAlignment="1">
      <alignment horizontal="left" vertical="top" wrapText="1"/>
    </xf>
    <xf numFmtId="0" fontId="45" fillId="0" borderId="2" xfId="0" applyFont="1" applyBorder="1" applyAlignment="1">
      <alignment horizontal="left" vertical="center"/>
    </xf>
    <xf numFmtId="0" fontId="45" fillId="0" borderId="3" xfId="0" applyFont="1" applyBorder="1" applyAlignment="1">
      <alignment horizontal="left" vertical="center"/>
    </xf>
    <xf numFmtId="0" fontId="45" fillId="0" borderId="1" xfId="0" applyFont="1" applyBorder="1" applyAlignment="1">
      <alignment horizontal="left" vertical="center"/>
    </xf>
    <xf numFmtId="0" fontId="44" fillId="3" borderId="0" xfId="12" applyFont="1" applyFill="1" applyAlignment="1">
      <alignment horizontal="center"/>
    </xf>
    <xf numFmtId="0" fontId="47" fillId="3" borderId="60" xfId="12" applyFont="1" applyFill="1" applyBorder="1" applyAlignment="1">
      <alignment horizontal="center"/>
    </xf>
    <xf numFmtId="0" fontId="50" fillId="0" borderId="2"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2" fontId="50" fillId="0" borderId="1" xfId="0" applyNumberFormat="1" applyFont="1" applyBorder="1" applyAlignment="1">
      <alignment horizontal="left" vertical="center" wrapText="1"/>
    </xf>
    <xf numFmtId="0" fontId="33" fillId="0" borderId="0" xfId="0" applyFont="1" applyBorder="1" applyAlignment="1">
      <alignment horizontal="center"/>
    </xf>
    <xf numFmtId="0" fontId="39" fillId="4" borderId="2" xfId="0" applyFont="1" applyFill="1" applyBorder="1" applyAlignment="1">
      <alignment horizontal="left" vertical="center" wrapText="1"/>
    </xf>
    <xf numFmtId="0" fontId="39" fillId="4" borderId="3" xfId="0" applyFont="1" applyFill="1" applyBorder="1" applyAlignment="1">
      <alignment horizontal="left" vertical="center" wrapText="1"/>
    </xf>
    <xf numFmtId="0" fontId="33" fillId="0" borderId="2" xfId="0" applyFont="1" applyBorder="1" applyAlignment="1">
      <alignment horizontal="left"/>
    </xf>
    <xf numFmtId="0" fontId="33" fillId="0" borderId="3" xfId="0" applyFont="1" applyBorder="1" applyAlignment="1">
      <alignment horizontal="left"/>
    </xf>
    <xf numFmtId="0" fontId="33" fillId="0" borderId="2" xfId="0" applyFont="1" applyBorder="1" applyAlignment="1">
      <alignment horizontal="left" wrapText="1"/>
    </xf>
    <xf numFmtId="0" fontId="33" fillId="0" borderId="3" xfId="0" applyFont="1" applyBorder="1" applyAlignment="1">
      <alignment horizontal="left" wrapText="1"/>
    </xf>
    <xf numFmtId="0" fontId="58" fillId="4" borderId="1" xfId="0" applyFont="1" applyFill="1" applyBorder="1" applyAlignment="1">
      <alignment horizontal="center" vertical="center" wrapText="1"/>
    </xf>
    <xf numFmtId="0" fontId="58" fillId="4" borderId="36" xfId="0" applyFont="1" applyFill="1" applyBorder="1" applyAlignment="1">
      <alignment horizontal="center" vertical="center" wrapText="1"/>
    </xf>
    <xf numFmtId="0" fontId="58" fillId="4" borderId="3" xfId="0" applyFont="1" applyFill="1" applyBorder="1" applyAlignment="1">
      <alignment horizontal="center" vertical="center" wrapText="1"/>
    </xf>
    <xf numFmtId="3" fontId="58" fillId="4" borderId="1" xfId="0" applyNumberFormat="1" applyFont="1" applyFill="1" applyBorder="1" applyAlignment="1">
      <alignment horizontal="center" vertical="center" wrapText="1"/>
    </xf>
    <xf numFmtId="0" fontId="54" fillId="0" borderId="1" xfId="63" applyFont="1" applyBorder="1" applyAlignment="1">
      <alignment horizontal="left"/>
    </xf>
    <xf numFmtId="0" fontId="54" fillId="0" borderId="0" xfId="63" applyFont="1" applyAlignment="1">
      <alignment horizontal="center"/>
    </xf>
    <xf numFmtId="0" fontId="54" fillId="0" borderId="60" xfId="63" applyFont="1" applyBorder="1" applyAlignment="1">
      <alignment horizontal="center"/>
    </xf>
    <xf numFmtId="0" fontId="32" fillId="0" borderId="0" xfId="1" applyFont="1" applyAlignment="1">
      <alignment horizontal="center" vertical="center" wrapText="1"/>
    </xf>
    <xf numFmtId="0" fontId="32" fillId="4" borderId="1" xfId="1" applyFont="1" applyFill="1" applyBorder="1" applyAlignment="1">
      <alignment horizontal="center" vertical="center" wrapText="1"/>
    </xf>
    <xf numFmtId="0" fontId="32" fillId="3" borderId="1" xfId="1" applyFont="1" applyFill="1" applyBorder="1" applyAlignment="1">
      <alignment horizontal="center" vertical="center" wrapText="1"/>
    </xf>
    <xf numFmtId="164" fontId="62" fillId="3" borderId="1" xfId="44" applyFont="1" applyFill="1" applyBorder="1" applyAlignment="1">
      <alignment horizontal="center" vertical="center"/>
    </xf>
    <xf numFmtId="0" fontId="33" fillId="0" borderId="60" xfId="0" applyFont="1" applyBorder="1" applyAlignment="1">
      <alignment horizontal="center"/>
    </xf>
    <xf numFmtId="0" fontId="39" fillId="0" borderId="0" xfId="0" applyFont="1" applyAlignment="1">
      <alignment horizontal="right"/>
    </xf>
    <xf numFmtId="2" fontId="39" fillId="0" borderId="0" xfId="0" applyNumberFormat="1" applyFont="1" applyAlignment="1">
      <alignment horizontal="center"/>
    </xf>
    <xf numFmtId="0" fontId="39" fillId="0" borderId="0" xfId="0" applyFont="1" applyAlignment="1">
      <alignment horizontal="center"/>
    </xf>
    <xf numFmtId="0" fontId="52" fillId="4" borderId="1" xfId="0" applyFont="1" applyFill="1" applyBorder="1" applyAlignment="1">
      <alignment horizontal="center" vertical="center" wrapText="1"/>
    </xf>
    <xf numFmtId="0" fontId="39" fillId="0" borderId="0" xfId="0" applyFont="1" applyAlignment="1">
      <alignment horizontal="left"/>
    </xf>
    <xf numFmtId="0" fontId="39" fillId="0" borderId="60" xfId="0" applyFont="1" applyBorder="1" applyAlignment="1">
      <alignment horizontal="left"/>
    </xf>
    <xf numFmtId="0" fontId="39" fillId="4" borderId="2" xfId="0" applyFont="1" applyFill="1" applyBorder="1" applyAlignment="1">
      <alignment horizontal="center" vertical="center"/>
    </xf>
    <xf numFmtId="0" fontId="39" fillId="4" borderId="3" xfId="0" applyFont="1" applyFill="1" applyBorder="1" applyAlignment="1">
      <alignment horizontal="center" vertical="center"/>
    </xf>
    <xf numFmtId="0" fontId="39" fillId="4" borderId="2" xfId="0" applyFont="1" applyFill="1" applyBorder="1" applyAlignment="1">
      <alignment horizontal="center" vertical="center" wrapText="1"/>
    </xf>
    <xf numFmtId="0" fontId="39" fillId="4" borderId="3" xfId="0" applyFont="1" applyFill="1" applyBorder="1" applyAlignment="1">
      <alignment horizontal="center" vertical="center" wrapText="1"/>
    </xf>
    <xf numFmtId="3" fontId="33" fillId="0" borderId="2" xfId="0" applyNumberFormat="1" applyFont="1" applyBorder="1" applyAlignment="1">
      <alignment horizontal="right"/>
    </xf>
    <xf numFmtId="3" fontId="33" fillId="0" borderId="3" xfId="0" applyNumberFormat="1" applyFont="1" applyBorder="1" applyAlignment="1">
      <alignment horizontal="right"/>
    </xf>
    <xf numFmtId="0" fontId="54" fillId="3" borderId="2" xfId="0" applyFont="1" applyFill="1" applyBorder="1" applyAlignment="1">
      <alignment horizontal="center"/>
    </xf>
    <xf numFmtId="0" fontId="54" fillId="3" borderId="3" xfId="0" applyFont="1" applyFill="1" applyBorder="1" applyAlignment="1">
      <alignment horizontal="center"/>
    </xf>
    <xf numFmtId="0" fontId="33" fillId="3" borderId="2" xfId="0" applyFont="1" applyFill="1" applyBorder="1" applyAlignment="1">
      <alignment horizontal="center"/>
    </xf>
    <xf numFmtId="0" fontId="33" fillId="3" borderId="3" xfId="0" applyFont="1" applyFill="1" applyBorder="1" applyAlignment="1">
      <alignment horizontal="center"/>
    </xf>
    <xf numFmtId="0" fontId="33" fillId="0" borderId="42" xfId="0" applyFont="1" applyBorder="1" applyAlignment="1">
      <alignment horizontal="left" wrapText="1"/>
    </xf>
    <xf numFmtId="0" fontId="39" fillId="4" borderId="1" xfId="0" applyFont="1" applyFill="1" applyBorder="1" applyAlignment="1">
      <alignment horizontal="center"/>
    </xf>
    <xf numFmtId="0" fontId="33" fillId="0" borderId="1" xfId="0" applyFont="1" applyBorder="1" applyAlignment="1">
      <alignment horizontal="center"/>
    </xf>
    <xf numFmtId="1" fontId="33" fillId="0" borderId="1" xfId="0" applyNumberFormat="1" applyFont="1" applyBorder="1" applyAlignment="1">
      <alignment horizontal="center"/>
    </xf>
    <xf numFmtId="3" fontId="33" fillId="0" borderId="1" xfId="0" applyNumberFormat="1" applyFont="1" applyBorder="1" applyAlignment="1">
      <alignment horizontal="center"/>
    </xf>
    <xf numFmtId="3" fontId="39" fillId="6" borderId="1" xfId="0" applyNumberFormat="1" applyFont="1" applyFill="1" applyBorder="1" applyAlignment="1">
      <alignment horizontal="center"/>
    </xf>
    <xf numFmtId="3" fontId="52" fillId="0" borderId="4" xfId="0" applyNumberFormat="1" applyFont="1" applyBorder="1" applyAlignment="1">
      <alignment horizontal="center" vertical="center"/>
    </xf>
    <xf numFmtId="3" fontId="52" fillId="0" borderId="18" xfId="0" applyNumberFormat="1" applyFont="1" applyBorder="1" applyAlignment="1">
      <alignment horizontal="center" vertical="center"/>
    </xf>
    <xf numFmtId="3" fontId="52" fillId="0" borderId="25" xfId="0" applyNumberFormat="1" applyFont="1" applyBorder="1" applyAlignment="1">
      <alignment horizontal="center" vertical="center"/>
    </xf>
    <xf numFmtId="3" fontId="52" fillId="0" borderId="23" xfId="0" applyNumberFormat="1" applyFont="1" applyBorder="1" applyAlignment="1">
      <alignment horizontal="center" vertical="center"/>
    </xf>
    <xf numFmtId="3" fontId="52" fillId="0" borderId="40" xfId="0" applyNumberFormat="1" applyFont="1" applyBorder="1" applyAlignment="1">
      <alignment horizontal="center" vertical="center"/>
    </xf>
    <xf numFmtId="3" fontId="52" fillId="0" borderId="17" xfId="0" applyNumberFormat="1" applyFont="1" applyBorder="1" applyAlignment="1">
      <alignment horizontal="center" vertical="center"/>
    </xf>
    <xf numFmtId="3" fontId="52" fillId="6" borderId="4" xfId="0" applyNumberFormat="1" applyFont="1" applyFill="1" applyBorder="1" applyAlignment="1">
      <alignment horizontal="center" vertical="center"/>
    </xf>
    <xf numFmtId="3" fontId="52" fillId="6" borderId="18" xfId="0" applyNumberFormat="1" applyFont="1" applyFill="1" applyBorder="1" applyAlignment="1">
      <alignment horizontal="center" vertical="center"/>
    </xf>
    <xf numFmtId="3" fontId="52" fillId="6" borderId="25" xfId="0" applyNumberFormat="1" applyFont="1" applyFill="1" applyBorder="1" applyAlignment="1">
      <alignment horizontal="center" vertical="center"/>
    </xf>
    <xf numFmtId="3" fontId="52" fillId="6" borderId="23" xfId="0" applyNumberFormat="1" applyFont="1" applyFill="1" applyBorder="1" applyAlignment="1">
      <alignment horizontal="center" vertical="center"/>
    </xf>
    <xf numFmtId="3" fontId="52" fillId="6" borderId="40" xfId="0" applyNumberFormat="1" applyFont="1" applyFill="1" applyBorder="1" applyAlignment="1">
      <alignment horizontal="center" vertical="center"/>
    </xf>
    <xf numFmtId="3" fontId="52" fillId="6" borderId="17" xfId="0" applyNumberFormat="1" applyFont="1" applyFill="1" applyBorder="1" applyAlignment="1">
      <alignment horizontal="center" vertical="center"/>
    </xf>
    <xf numFmtId="0" fontId="52" fillId="0" borderId="0" xfId="0" applyFont="1" applyAlignment="1">
      <alignment horizontal="center" wrapText="1"/>
    </xf>
    <xf numFmtId="0" fontId="39" fillId="0" borderId="60" xfId="0" applyFont="1" applyBorder="1" applyAlignment="1">
      <alignment horizontal="left" wrapText="1"/>
    </xf>
    <xf numFmtId="0" fontId="39" fillId="4" borderId="1" xfId="0" applyFont="1" applyFill="1" applyBorder="1" applyAlignment="1">
      <alignment horizontal="center" vertical="center"/>
    </xf>
    <xf numFmtId="0" fontId="52" fillId="4" borderId="5" xfId="0" applyFont="1" applyFill="1" applyBorder="1" applyAlignment="1">
      <alignment horizontal="center" vertical="center" wrapText="1"/>
    </xf>
    <xf numFmtId="0" fontId="52" fillId="4" borderId="6" xfId="0" applyFont="1" applyFill="1" applyBorder="1" applyAlignment="1">
      <alignment horizontal="center" vertical="center" wrapText="1"/>
    </xf>
    <xf numFmtId="0" fontId="39" fillId="4" borderId="2" xfId="0" applyFont="1" applyFill="1" applyBorder="1" applyAlignment="1">
      <alignment horizontal="center" wrapText="1"/>
    </xf>
    <xf numFmtId="0" fontId="39" fillId="4" borderId="36" xfId="0" applyFont="1" applyFill="1" applyBorder="1" applyAlignment="1">
      <alignment horizontal="center" wrapText="1"/>
    </xf>
    <xf numFmtId="0" fontId="39" fillId="4" borderId="3" xfId="0" applyFont="1" applyFill="1" applyBorder="1" applyAlignment="1">
      <alignment horizontal="center" wrapText="1"/>
    </xf>
    <xf numFmtId="0" fontId="39" fillId="4" borderId="5" xfId="0" applyFont="1" applyFill="1" applyBorder="1" applyAlignment="1">
      <alignment horizontal="center" wrapText="1"/>
    </xf>
    <xf numFmtId="0" fontId="54" fillId="0" borderId="0" xfId="0" applyFont="1" applyAlignment="1">
      <alignment horizontal="center"/>
    </xf>
    <xf numFmtId="0" fontId="54" fillId="0" borderId="60" xfId="0" applyFont="1" applyBorder="1" applyAlignment="1">
      <alignment horizontal="center"/>
    </xf>
    <xf numFmtId="0" fontId="33" fillId="4" borderId="1" xfId="0" applyFont="1" applyFill="1" applyBorder="1" applyAlignment="1">
      <alignment horizontal="center" vertical="center" wrapText="1"/>
    </xf>
    <xf numFmtId="3" fontId="33" fillId="4" borderId="1" xfId="0" applyNumberFormat="1" applyFont="1" applyFill="1" applyBorder="1" applyAlignment="1">
      <alignment horizontal="center" vertical="center" wrapText="1"/>
    </xf>
    <xf numFmtId="3" fontId="54" fillId="4" borderId="1" xfId="0" applyNumberFormat="1" applyFont="1" applyFill="1" applyBorder="1" applyAlignment="1">
      <alignment horizontal="center" vertical="center" wrapText="1"/>
    </xf>
    <xf numFmtId="0" fontId="63" fillId="4" borderId="93" xfId="7" applyFont="1" applyFill="1" applyBorder="1" applyAlignment="1">
      <alignment horizontal="center" vertical="center" wrapText="1"/>
    </xf>
    <xf numFmtId="43" fontId="63" fillId="4" borderId="94" xfId="47" applyFont="1" applyFill="1" applyBorder="1" applyAlignment="1">
      <alignment horizontal="center" vertical="center" wrapText="1"/>
    </xf>
    <xf numFmtId="43" fontId="63" fillId="4" borderId="95" xfId="47" applyFont="1" applyFill="1" applyBorder="1" applyAlignment="1">
      <alignment horizontal="center" vertical="center" wrapText="1"/>
    </xf>
    <xf numFmtId="43" fontId="63" fillId="4" borderId="96" xfId="47" applyFont="1" applyFill="1" applyBorder="1" applyAlignment="1">
      <alignment horizontal="center" vertical="center" wrapText="1"/>
    </xf>
    <xf numFmtId="0" fontId="63" fillId="4" borderId="94" xfId="7" applyFont="1" applyFill="1" applyBorder="1" applyAlignment="1">
      <alignment horizontal="center" vertical="center" wrapText="1"/>
    </xf>
    <xf numFmtId="0" fontId="63" fillId="4" borderId="95" xfId="7" applyFont="1" applyFill="1" applyBorder="1" applyAlignment="1">
      <alignment horizontal="center" vertical="center" wrapText="1"/>
    </xf>
    <xf numFmtId="0" fontId="63" fillId="4" borderId="96" xfId="7" applyFont="1" applyFill="1" applyBorder="1" applyAlignment="1">
      <alignment horizontal="center" vertical="center" wrapText="1"/>
    </xf>
    <xf numFmtId="9" fontId="67" fillId="4" borderId="94" xfId="2" applyFont="1" applyFill="1" applyBorder="1" applyAlignment="1">
      <alignment horizontal="center" vertical="center" wrapText="1"/>
    </xf>
    <xf numFmtId="9" fontId="67" fillId="4" borderId="95" xfId="2" applyFont="1" applyFill="1" applyBorder="1" applyAlignment="1">
      <alignment horizontal="center" vertical="center" wrapText="1"/>
    </xf>
    <xf numFmtId="9" fontId="67" fillId="4" borderId="96" xfId="2" applyFont="1" applyFill="1" applyBorder="1" applyAlignment="1">
      <alignment horizontal="center" vertical="center" wrapText="1"/>
    </xf>
    <xf numFmtId="0" fontId="63" fillId="3" borderId="93" xfId="7" applyFont="1" applyFill="1" applyBorder="1" applyAlignment="1">
      <alignment horizontal="center" vertical="center" wrapText="1"/>
    </xf>
    <xf numFmtId="0" fontId="63" fillId="3" borderId="93" xfId="7" applyFont="1" applyFill="1" applyBorder="1" applyAlignment="1">
      <alignment horizontal="center" vertical="center"/>
    </xf>
    <xf numFmtId="0" fontId="44" fillId="4" borderId="5" xfId="7" applyFont="1" applyFill="1" applyBorder="1" applyAlignment="1">
      <alignment horizontal="center" vertical="center" wrapText="1"/>
    </xf>
    <xf numFmtId="0" fontId="44" fillId="4" borderId="24" xfId="7" applyFont="1" applyFill="1" applyBorder="1" applyAlignment="1">
      <alignment horizontal="center" vertical="center" wrapText="1"/>
    </xf>
    <xf numFmtId="0" fontId="44" fillId="4" borderId="6" xfId="7" applyFont="1" applyFill="1" applyBorder="1" applyAlignment="1">
      <alignment horizontal="center" vertical="center" wrapText="1"/>
    </xf>
    <xf numFmtId="0" fontId="44" fillId="4" borderId="1" xfId="7" applyFont="1" applyFill="1" applyBorder="1" applyAlignment="1">
      <alignment horizontal="center" vertical="center" wrapText="1"/>
    </xf>
    <xf numFmtId="0" fontId="44" fillId="4" borderId="2" xfId="7" applyFont="1" applyFill="1" applyBorder="1" applyAlignment="1">
      <alignment horizontal="center" vertical="center" wrapText="1"/>
    </xf>
    <xf numFmtId="0" fontId="44" fillId="4" borderId="36" xfId="7" applyFont="1" applyFill="1" applyBorder="1" applyAlignment="1">
      <alignment horizontal="center" vertical="center" wrapText="1"/>
    </xf>
    <xf numFmtId="0" fontId="44" fillId="4" borderId="3" xfId="7" applyFont="1" applyFill="1" applyBorder="1" applyAlignment="1">
      <alignment horizontal="center" vertical="center" wrapText="1"/>
    </xf>
    <xf numFmtId="0" fontId="44" fillId="0" borderId="0" xfId="7" applyFont="1" applyAlignment="1">
      <alignment horizontal="left"/>
    </xf>
    <xf numFmtId="0" fontId="54" fillId="0" borderId="0" xfId="3" applyFont="1" applyAlignment="1">
      <alignment horizontal="center"/>
    </xf>
    <xf numFmtId="0" fontId="54" fillId="4" borderId="0" xfId="3" applyFont="1" applyFill="1" applyAlignment="1">
      <alignment horizontal="left"/>
    </xf>
    <xf numFmtId="0" fontId="54" fillId="4" borderId="1" xfId="3" applyFont="1" applyFill="1" applyBorder="1" applyAlignment="1">
      <alignment horizontal="left"/>
    </xf>
    <xf numFmtId="0" fontId="54" fillId="4" borderId="1" xfId="3" applyFont="1" applyFill="1" applyBorder="1" applyAlignment="1">
      <alignment horizontal="center"/>
    </xf>
    <xf numFmtId="0" fontId="54" fillId="0" borderId="2" xfId="3" applyFont="1" applyBorder="1" applyAlignment="1">
      <alignment horizontal="left"/>
    </xf>
    <xf numFmtId="0" fontId="54" fillId="0" borderId="3" xfId="3" applyFont="1" applyBorder="1" applyAlignment="1">
      <alignment horizontal="left"/>
    </xf>
    <xf numFmtId="0" fontId="65" fillId="3" borderId="1" xfId="7" applyFont="1" applyFill="1" applyBorder="1" applyAlignment="1">
      <alignment horizontal="center" vertical="center" wrapText="1"/>
    </xf>
    <xf numFmtId="0" fontId="65" fillId="3" borderId="5" xfId="7" applyFont="1" applyFill="1" applyBorder="1" applyAlignment="1">
      <alignment horizontal="center" vertical="center" wrapText="1"/>
    </xf>
    <xf numFmtId="0" fontId="65" fillId="3" borderId="6" xfId="7" applyFont="1" applyFill="1" applyBorder="1" applyAlignment="1">
      <alignment horizontal="center" vertical="center" wrapText="1"/>
    </xf>
    <xf numFmtId="0" fontId="63" fillId="4" borderId="1" xfId="0" applyFont="1" applyFill="1" applyBorder="1" applyAlignment="1">
      <alignment horizontal="center" vertical="center" wrapText="1"/>
    </xf>
    <xf numFmtId="0" fontId="63" fillId="4" borderId="36" xfId="0" applyFont="1" applyFill="1" applyBorder="1" applyAlignment="1">
      <alignment horizontal="center" vertical="center" wrapText="1"/>
    </xf>
    <xf numFmtId="0" fontId="63" fillId="4" borderId="3" xfId="0" applyFont="1" applyFill="1" applyBorder="1" applyAlignment="1">
      <alignment horizontal="center" vertical="center" wrapText="1"/>
    </xf>
    <xf numFmtId="3" fontId="63" fillId="4" borderId="1" xfId="0" applyNumberFormat="1" applyFont="1" applyFill="1" applyBorder="1" applyAlignment="1">
      <alignment horizontal="center" vertical="center" wrapText="1"/>
    </xf>
    <xf numFmtId="3" fontId="63" fillId="4" borderId="2" xfId="0" applyNumberFormat="1" applyFont="1" applyFill="1" applyBorder="1" applyAlignment="1">
      <alignment horizontal="center" vertical="center" wrapText="1"/>
    </xf>
    <xf numFmtId="3" fontId="63" fillId="4" borderId="36" xfId="0" applyNumberFormat="1" applyFont="1" applyFill="1" applyBorder="1" applyAlignment="1">
      <alignment horizontal="center" vertical="center" wrapText="1"/>
    </xf>
    <xf numFmtId="3" fontId="63" fillId="4" borderId="3" xfId="0" applyNumberFormat="1" applyFont="1" applyFill="1" applyBorder="1" applyAlignment="1">
      <alignment horizontal="center" vertical="center" wrapText="1"/>
    </xf>
    <xf numFmtId="3" fontId="63" fillId="4" borderId="5" xfId="0" applyNumberFormat="1" applyFont="1" applyFill="1" applyBorder="1" applyAlignment="1">
      <alignment horizontal="center" vertical="center" wrapText="1"/>
    </xf>
    <xf numFmtId="3" fontId="63" fillId="4" borderId="6" xfId="0" applyNumberFormat="1" applyFont="1" applyFill="1" applyBorder="1" applyAlignment="1">
      <alignment horizontal="center" vertical="center" wrapText="1"/>
    </xf>
    <xf numFmtId="0" fontId="63" fillId="0" borderId="5" xfId="7" applyFont="1" applyBorder="1" applyAlignment="1">
      <alignment horizontal="center" vertical="center" wrapText="1"/>
    </xf>
    <xf numFmtId="0" fontId="63" fillId="0" borderId="6" xfId="7" applyFont="1" applyBorder="1" applyAlignment="1">
      <alignment horizontal="center" vertical="center" wrapText="1"/>
    </xf>
    <xf numFmtId="0" fontId="63" fillId="3" borderId="1" xfId="7" applyFont="1" applyFill="1" applyBorder="1" applyAlignment="1">
      <alignment horizontal="center" vertical="center" wrapText="1"/>
    </xf>
    <xf numFmtId="0" fontId="63" fillId="3" borderId="5" xfId="7" applyFont="1" applyFill="1" applyBorder="1" applyAlignment="1">
      <alignment horizontal="center" vertical="center" wrapText="1"/>
    </xf>
    <xf numFmtId="0" fontId="63" fillId="3" borderId="6" xfId="7" applyFont="1" applyFill="1" applyBorder="1" applyAlignment="1">
      <alignment horizontal="center" vertical="center" wrapText="1"/>
    </xf>
    <xf numFmtId="0" fontId="33" fillId="0" borderId="1" xfId="0" applyFont="1" applyBorder="1" applyAlignment="1">
      <alignment horizontal="left" wrapText="1"/>
    </xf>
    <xf numFmtId="0" fontId="67" fillId="0" borderId="0" xfId="4" applyFont="1" applyAlignment="1">
      <alignment horizontal="center"/>
    </xf>
    <xf numFmtId="0" fontId="33" fillId="4" borderId="36" xfId="0" applyFont="1" applyFill="1" applyBorder="1" applyAlignment="1">
      <alignment horizontal="center" vertical="center" wrapText="1"/>
    </xf>
    <xf numFmtId="0" fontId="52" fillId="3" borderId="2" xfId="4" applyFont="1" applyFill="1" applyBorder="1" applyAlignment="1">
      <alignment horizontal="right"/>
    </xf>
    <xf numFmtId="0" fontId="52" fillId="3" borderId="36" xfId="4" applyFont="1" applyFill="1" applyBorder="1" applyAlignment="1">
      <alignment horizontal="right"/>
    </xf>
    <xf numFmtId="0" fontId="52" fillId="3" borderId="3" xfId="4" applyFont="1" applyFill="1" applyBorder="1" applyAlignment="1">
      <alignment horizontal="right"/>
    </xf>
    <xf numFmtId="0" fontId="54" fillId="0" borderId="60" xfId="4" applyFont="1" applyBorder="1" applyAlignment="1">
      <alignment horizontal="center"/>
    </xf>
    <xf numFmtId="0" fontId="63" fillId="6" borderId="5" xfId="46" applyFont="1" applyFill="1" applyBorder="1" applyAlignment="1">
      <alignment horizontal="center" vertical="center" wrapText="1"/>
    </xf>
    <xf numFmtId="0" fontId="63" fillId="6" borderId="24" xfId="46" applyFont="1" applyFill="1" applyBorder="1" applyAlignment="1">
      <alignment horizontal="center" vertical="center" wrapText="1"/>
    </xf>
    <xf numFmtId="0" fontId="63" fillId="6" borderId="6" xfId="46" applyFont="1" applyFill="1" applyBorder="1" applyAlignment="1">
      <alignment horizontal="center" vertical="center" wrapText="1"/>
    </xf>
    <xf numFmtId="0" fontId="63" fillId="6" borderId="2" xfId="46" applyFont="1" applyFill="1" applyBorder="1" applyAlignment="1">
      <alignment horizontal="center" vertical="center" wrapText="1"/>
    </xf>
    <xf numFmtId="0" fontId="63" fillId="6" borderId="36" xfId="46" applyFont="1" applyFill="1" applyBorder="1" applyAlignment="1">
      <alignment horizontal="center" vertical="center" wrapText="1"/>
    </xf>
    <xf numFmtId="0" fontId="63" fillId="6" borderId="3" xfId="46" applyFont="1" applyFill="1" applyBorder="1" applyAlignment="1">
      <alignment horizontal="center" vertical="center" wrapText="1"/>
    </xf>
    <xf numFmtId="0" fontId="63" fillId="0" borderId="5" xfId="46" applyFont="1" applyBorder="1" applyAlignment="1">
      <alignment horizontal="center" vertical="center" wrapText="1"/>
    </xf>
    <xf numFmtId="0" fontId="63" fillId="0" borderId="6" xfId="46" applyFont="1" applyBorder="1" applyAlignment="1">
      <alignment horizontal="center" vertical="center" wrapText="1"/>
    </xf>
    <xf numFmtId="0" fontId="63" fillId="4" borderId="1" xfId="7" applyFont="1" applyFill="1" applyBorder="1" applyAlignment="1">
      <alignment horizontal="center" vertical="center" wrapText="1"/>
    </xf>
    <xf numFmtId="180" fontId="39" fillId="5" borderId="1" xfId="0" applyNumberFormat="1" applyFont="1" applyFill="1" applyBorder="1" applyAlignment="1">
      <alignment horizontal="center" vertical="center" wrapText="1"/>
    </xf>
    <xf numFmtId="3" fontId="33" fillId="4" borderId="1" xfId="9" applyNumberFormat="1" applyFont="1" applyFill="1" applyBorder="1" applyAlignment="1">
      <alignment horizontal="center" vertical="center" wrapText="1"/>
    </xf>
    <xf numFmtId="0" fontId="33" fillId="4" borderId="1" xfId="9" applyFont="1" applyFill="1" applyBorder="1" applyAlignment="1">
      <alignment horizontal="center" vertical="center" wrapText="1"/>
    </xf>
    <xf numFmtId="0" fontId="39" fillId="3" borderId="2" xfId="0" applyFont="1" applyFill="1" applyBorder="1" applyAlignment="1">
      <alignment horizontal="right"/>
    </xf>
    <xf numFmtId="0" fontId="39" fillId="3" borderId="36" xfId="0" applyFont="1" applyFill="1" applyBorder="1" applyAlignment="1">
      <alignment horizontal="right"/>
    </xf>
    <xf numFmtId="0" fontId="39" fillId="3" borderId="3" xfId="0" applyFont="1" applyFill="1" applyBorder="1" applyAlignment="1">
      <alignment horizontal="right"/>
    </xf>
    <xf numFmtId="0" fontId="33" fillId="4" borderId="1" xfId="9" applyFont="1" applyFill="1" applyBorder="1" applyAlignment="1">
      <alignment horizontal="center" vertical="center"/>
    </xf>
    <xf numFmtId="0" fontId="65" fillId="4" borderId="5" xfId="58" applyFont="1" applyFill="1" applyBorder="1" applyAlignment="1">
      <alignment horizontal="center" vertical="center" wrapText="1"/>
    </xf>
    <xf numFmtId="0" fontId="65" fillId="4" borderId="6" xfId="58" applyFont="1" applyFill="1" applyBorder="1" applyAlignment="1">
      <alignment horizontal="center" vertical="center" wrapText="1"/>
    </xf>
    <xf numFmtId="0" fontId="69" fillId="0" borderId="0" xfId="0" applyFont="1" applyAlignment="1">
      <alignment horizontal="center"/>
    </xf>
    <xf numFmtId="0" fontId="65" fillId="0" borderId="0" xfId="0" applyFont="1" applyAlignment="1">
      <alignment horizontal="center" vertical="center" wrapText="1"/>
    </xf>
    <xf numFmtId="43" fontId="68" fillId="5" borderId="1" xfId="65" applyFont="1" applyFill="1" applyBorder="1" applyAlignment="1">
      <alignment horizontal="center" vertical="center"/>
    </xf>
    <xf numFmtId="0" fontId="12" fillId="0" borderId="0" xfId="0" applyFont="1" applyAlignment="1">
      <alignment horizontal="center"/>
    </xf>
    <xf numFmtId="0" fontId="9" fillId="0" borderId="0" xfId="0" applyFont="1" applyAlignment="1">
      <alignment horizontal="left" vertical="center"/>
    </xf>
    <xf numFmtId="0" fontId="63" fillId="4" borderId="1" xfId="58" applyFont="1" applyFill="1" applyBorder="1" applyAlignment="1">
      <alignment horizontal="center" vertical="center" wrapText="1"/>
    </xf>
    <xf numFmtId="0" fontId="65" fillId="4" borderId="1" xfId="58" applyFont="1" applyFill="1" applyBorder="1" applyAlignment="1">
      <alignment horizontal="center" vertical="center" wrapText="1"/>
    </xf>
    <xf numFmtId="0" fontId="3" fillId="3" borderId="5" xfId="58" applyFont="1" applyFill="1" applyBorder="1" applyAlignment="1">
      <alignment horizontal="center" vertical="center" wrapText="1"/>
    </xf>
    <xf numFmtId="0" fontId="3" fillId="3" borderId="6" xfId="58" applyFont="1" applyFill="1" applyBorder="1" applyAlignment="1">
      <alignment horizontal="center" vertical="center" wrapText="1"/>
    </xf>
    <xf numFmtId="0" fontId="12" fillId="0" borderId="5" xfId="58" applyFont="1" applyBorder="1" applyAlignment="1">
      <alignment horizontal="center" vertical="center" wrapText="1"/>
    </xf>
    <xf numFmtId="0" fontId="12" fillId="0" borderId="6" xfId="58" applyFont="1" applyBorder="1" applyAlignment="1">
      <alignment horizontal="center" vertical="center" wrapText="1"/>
    </xf>
    <xf numFmtId="0" fontId="63" fillId="4" borderId="5" xfId="58" applyFont="1" applyFill="1" applyBorder="1" applyAlignment="1">
      <alignment horizontal="center" vertical="center" wrapText="1"/>
    </xf>
    <xf numFmtId="0" fontId="63" fillId="4" borderId="6" xfId="58" applyFont="1" applyFill="1" applyBorder="1" applyAlignment="1">
      <alignment horizontal="center" vertical="center" wrapText="1"/>
    </xf>
    <xf numFmtId="0" fontId="58" fillId="0" borderId="0" xfId="0" applyFont="1" applyAlignment="1">
      <alignment horizontal="left"/>
    </xf>
    <xf numFmtId="0" fontId="58" fillId="0" borderId="60"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center" wrapText="1"/>
    </xf>
    <xf numFmtId="0" fontId="33" fillId="0" borderId="5" xfId="0" applyFont="1" applyBorder="1" applyAlignment="1">
      <alignment horizontal="center" wrapText="1"/>
    </xf>
    <xf numFmtId="0" fontId="33" fillId="0" borderId="6" xfId="0" applyFont="1" applyBorder="1" applyAlignment="1">
      <alignment horizontal="center" wrapText="1"/>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33" fillId="0" borderId="5" xfId="0" applyFont="1" applyBorder="1" applyAlignment="1">
      <alignment horizontal="left" wrapText="1"/>
    </xf>
    <xf numFmtId="0" fontId="33" fillId="0" borderId="6" xfId="0" applyFont="1" applyBorder="1" applyAlignment="1">
      <alignment horizontal="left" wrapText="1"/>
    </xf>
    <xf numFmtId="0" fontId="77" fillId="0" borderId="0" xfId="60" applyFont="1" applyAlignment="1">
      <alignment horizontal="left" vertical="center" wrapText="1"/>
    </xf>
    <xf numFmtId="0" fontId="33" fillId="0" borderId="0" xfId="0" applyFont="1" applyAlignment="1">
      <alignment horizontal="left" vertical="center" wrapText="1" indent="2"/>
    </xf>
    <xf numFmtId="0" fontId="33" fillId="0" borderId="0" xfId="0" applyFont="1" applyAlignment="1">
      <alignment horizontal="right" vertical="center" wrapText="1"/>
    </xf>
    <xf numFmtId="0" fontId="33" fillId="0" borderId="0" xfId="0" applyFont="1" applyAlignment="1">
      <alignment vertical="center" wrapText="1"/>
    </xf>
    <xf numFmtId="0" fontId="33" fillId="3" borderId="2" xfId="0" applyFont="1" applyFill="1" applyBorder="1" applyAlignment="1">
      <alignment horizontal="left" vertical="center" wrapText="1"/>
    </xf>
    <xf numFmtId="0" fontId="33" fillId="3" borderId="3" xfId="0" applyFont="1" applyFill="1" applyBorder="1" applyAlignment="1">
      <alignment horizontal="left" vertical="center" wrapText="1"/>
    </xf>
    <xf numFmtId="0" fontId="38" fillId="2" borderId="2" xfId="0" applyFont="1" applyFill="1" applyBorder="1" applyAlignment="1">
      <alignment horizontal="right" wrapText="1"/>
    </xf>
    <xf numFmtId="0" fontId="38" fillId="2" borderId="61" xfId="0" applyFont="1" applyFill="1" applyBorder="1" applyAlignment="1">
      <alignment horizontal="right" wrapText="1"/>
    </xf>
    <xf numFmtId="0" fontId="39" fillId="0" borderId="60" xfId="0" applyFont="1" applyBorder="1" applyAlignment="1">
      <alignment horizontal="center" vertical="center" wrapText="1"/>
    </xf>
    <xf numFmtId="0" fontId="56" fillId="0" borderId="0" xfId="0" applyFont="1" applyAlignment="1">
      <alignment horizontal="left" vertical="center" wrapText="1"/>
    </xf>
    <xf numFmtId="0" fontId="56" fillId="0" borderId="0" xfId="0" applyFont="1" applyAlignment="1">
      <alignment wrapText="1"/>
    </xf>
    <xf numFmtId="0" fontId="38" fillId="4" borderId="1" xfId="0" applyFont="1" applyFill="1" applyBorder="1" applyAlignment="1">
      <alignment horizontal="center" wrapText="1"/>
    </xf>
    <xf numFmtId="0" fontId="25" fillId="0" borderId="0" xfId="0" applyFont="1" applyAlignment="1">
      <alignment horizontal="right"/>
    </xf>
    <xf numFmtId="0" fontId="25" fillId="0" borderId="0" xfId="0" applyFont="1" applyBorder="1" applyAlignment="1">
      <alignment horizontal="right"/>
    </xf>
  </cellXfs>
  <cellStyles count="19416">
    <cellStyle name="20% - Accent1 10" xfId="137" xr:uid="{81E449DA-60A9-404D-9516-783F45D5A216}"/>
    <cellStyle name="20% - Accent1 10 2" xfId="109" xr:uid="{85D1412B-E841-4606-B999-1DC454509B4C}"/>
    <cellStyle name="20% - Accent1 11" xfId="110" xr:uid="{2B2062B4-F2DB-4FF7-9058-679325EFE81F}"/>
    <cellStyle name="20% - Accent1 11 2" xfId="111" xr:uid="{80FCE64F-C419-4403-8D8E-1D4E1BD6EBCC}"/>
    <cellStyle name="20% - Accent1 12" xfId="115" xr:uid="{A6414F8E-8BDE-404B-854F-C3B8B09DC4DC}"/>
    <cellStyle name="20% - Accent1 12 2" xfId="132" xr:uid="{733EA75E-2A01-4FE9-B903-FEDD428457E4}"/>
    <cellStyle name="20% - Accent1 13" xfId="100" xr:uid="{F5C38540-4C38-427A-9434-D9D56E6B24EC}"/>
    <cellStyle name="20% - Accent1 13 2" xfId="130" xr:uid="{28CF4B06-1C28-41B7-8DB3-853F4B6B0E5C}"/>
    <cellStyle name="20% - Accent1 14" xfId="124" xr:uid="{CCDB5A8D-BFDE-4322-83B4-04D625306AFC}"/>
    <cellStyle name="20% - Accent1 14 2" xfId="105" xr:uid="{1B32A113-BB8A-423F-AFDA-51260C5EA903}"/>
    <cellStyle name="20% - Accent1 15" xfId="85" xr:uid="{896E069B-F119-4476-90C6-F4AA376CC662}"/>
    <cellStyle name="20% - Accent1 15 2" xfId="102" xr:uid="{43814A16-8345-4390-BBF8-2ADCB29CD310}"/>
    <cellStyle name="20% - Accent1 16" xfId="159" xr:uid="{5F492EBB-8396-4891-B21E-9EBB691CE667}"/>
    <cellStyle name="20% - Accent1 17" xfId="84" xr:uid="{AD7BD14B-67EF-414F-B2C4-725A2303C234}"/>
    <cellStyle name="20% - Accent1 18" xfId="119" xr:uid="{49F19E68-D564-4F20-81CC-EEA920D2A570}"/>
    <cellStyle name="20% - Accent1 18 2" xfId="114" xr:uid="{33FEF249-946C-442B-B152-5E4048CCBD1F}"/>
    <cellStyle name="20% - Accent1 19" xfId="108" xr:uid="{49B3216F-EB6B-4632-8F26-ECF1D1715ED3}"/>
    <cellStyle name="20% - Accent1 19 2" xfId="87" xr:uid="{41EDA53B-BAD8-4834-8D3A-A9C4A2E3FA8A}"/>
    <cellStyle name="20% - Accent1 2" xfId="148" xr:uid="{88DCD0C9-A9AD-425A-B552-DC6D27BA7114}"/>
    <cellStyle name="20% - Accent1 2 2" xfId="98" xr:uid="{DC37576D-95EF-407E-A01D-A9B5D0A4776F}"/>
    <cellStyle name="20% - Accent1 2 2 2" xfId="6468" xr:uid="{82520972-6705-4586-AE27-A05CDD4023EF}"/>
    <cellStyle name="20% - Accent1 3" xfId="141" xr:uid="{4DA7FA38-3808-44C2-8D9C-6BA2FA7A35AA}"/>
    <cellStyle name="20% - Accent1 3 2" xfId="97" xr:uid="{17BB9BEF-96B9-4E4C-A650-F505FD14EDA5}"/>
    <cellStyle name="20% - Accent1 4" xfId="93" xr:uid="{B51153F9-0C70-4807-B688-5D1CE8740C0E}"/>
    <cellStyle name="20% - Accent1 4 2" xfId="127" xr:uid="{A6B1E1AA-7327-44F0-9D2C-003A55D116B6}"/>
    <cellStyle name="20% - Accent1 5" xfId="147" xr:uid="{BA0E0115-D62A-4A0D-97D8-344361764EA9}"/>
    <cellStyle name="20% - Accent1 5 2" xfId="99" xr:uid="{C1C689FC-0F88-4689-8AF9-292E7F89C90E}"/>
    <cellStyle name="20% - Accent1 6" xfId="155" xr:uid="{BD43F8F0-A88C-4B30-8899-289DFE4CD9B9}"/>
    <cellStyle name="20% - Accent1 6 2" xfId="165" xr:uid="{D38F9373-D103-4B6D-AC7F-63082F20A9A2}"/>
    <cellStyle name="20% - Accent1 7" xfId="162" xr:uid="{5E26A5A5-A654-43FF-8E01-448398C27AEF}"/>
    <cellStyle name="20% - Accent1 7 2" xfId="154" xr:uid="{D06305F9-1B56-47A8-9E85-200E6ACE3AC8}"/>
    <cellStyle name="20% - Accent1 8" xfId="82" xr:uid="{5318895B-77DA-48D4-9DB4-F4A10C096948}"/>
    <cellStyle name="20% - Accent1 8 2" xfId="113" xr:uid="{1552456D-35D5-40CD-B0A1-3EA3DD9E1F14}"/>
    <cellStyle name="20% - Accent1 9" xfId="136" xr:uid="{C0F8DAA6-AE84-4A1C-9618-9D061C3C2E98}"/>
    <cellStyle name="20% - Accent1 9 2" xfId="163" xr:uid="{E2409C33-DAF9-4E93-9A34-C2B804D52554}"/>
    <cellStyle name="20% - Accent2 10" xfId="104" xr:uid="{E4E1048A-20C7-4911-8507-5D338E66A750}"/>
    <cellStyle name="20% - Accent2 10 2" xfId="112" xr:uid="{D189F535-FD35-4F08-AC56-54110ADFD63E}"/>
    <cellStyle name="20% - Accent2 11" xfId="164" xr:uid="{266E4415-FEB8-4E2C-9A8B-9453B2BB0234}"/>
    <cellStyle name="20% - Accent2 11 2" xfId="131" xr:uid="{3289B68D-BE35-41AF-9A5C-9CBF7C7BA076}"/>
    <cellStyle name="20% - Accent2 12" xfId="120" xr:uid="{EBA2CECC-B5BA-46DC-A757-9E88C1AB9B3F}"/>
    <cellStyle name="20% - Accent2 12 2" xfId="96" xr:uid="{2A832B84-3C49-45C8-B095-E70C049C5BAB}"/>
    <cellStyle name="20% - Accent2 13" xfId="122" xr:uid="{E7FF3D40-3DEE-4E0E-909C-7F9ADB180693}"/>
    <cellStyle name="20% - Accent2 13 2" xfId="166" xr:uid="{D7927E5C-A38A-43D6-B2B9-BC84F52059CE}"/>
    <cellStyle name="20% - Accent2 14" xfId="167" xr:uid="{95D86DA8-EF01-4584-A3D4-8A9187082E9A}"/>
    <cellStyle name="20% - Accent2 14 2" xfId="168" xr:uid="{68503B48-D6B6-475F-8881-7BA4CF1B89C4}"/>
    <cellStyle name="20% - Accent2 15" xfId="169" xr:uid="{B33B1351-FCAB-4F62-8112-1FB242F23BAD}"/>
    <cellStyle name="20% - Accent2 15 2" xfId="170" xr:uid="{8EAD794E-67CD-46B3-A47F-E9A8E2FCC0C1}"/>
    <cellStyle name="20% - Accent2 16" xfId="171" xr:uid="{D66999E5-DAEE-4104-9DDB-97AC9DB53449}"/>
    <cellStyle name="20% - Accent2 17" xfId="172" xr:uid="{1D0A5922-D787-4A6B-8F0E-0852A2F5735C}"/>
    <cellStyle name="20% - Accent2 18" xfId="173" xr:uid="{A09657D5-649A-4BD2-9F3A-8590DC72AC05}"/>
    <cellStyle name="20% - Accent2 18 2" xfId="174" xr:uid="{B6E684CD-A7E7-4360-B5C5-E4FF40EA2D9B}"/>
    <cellStyle name="20% - Accent2 19" xfId="175" xr:uid="{61AA04A8-2D8C-496A-B548-9AD84A9BED63}"/>
    <cellStyle name="20% - Accent2 19 2" xfId="176" xr:uid="{5CB0C0EF-3685-4B06-911B-4BA82891572D}"/>
    <cellStyle name="20% - Accent2 2" xfId="177" xr:uid="{7CD7C131-2212-425D-8FDC-F81DDB89891F}"/>
    <cellStyle name="20% - Accent2 2 2" xfId="178" xr:uid="{C72CEEC4-4D4E-4BFA-8E36-500743858258}"/>
    <cellStyle name="20% - Accent2 2 2 2" xfId="6469" xr:uid="{19D45BE9-32D5-4A1B-ACB1-CBCA445DBA57}"/>
    <cellStyle name="20% - Accent2 3" xfId="179" xr:uid="{8028F216-0AB1-48D1-B249-138068CDBAC0}"/>
    <cellStyle name="20% - Accent2 3 2" xfId="180" xr:uid="{9000F980-32CF-4091-AD58-C286B9711E9B}"/>
    <cellStyle name="20% - Accent2 4" xfId="181" xr:uid="{F5639983-C3D2-4ED8-8993-F125504B83D8}"/>
    <cellStyle name="20% - Accent2 4 2" xfId="182" xr:uid="{15C2414D-0EA1-43B8-A9BB-887553D5C026}"/>
    <cellStyle name="20% - Accent2 5" xfId="183" xr:uid="{C93F9A47-19BA-48C5-9A0F-A6E756F01612}"/>
    <cellStyle name="20% - Accent2 5 2" xfId="184" xr:uid="{F175BF37-684B-4732-818E-74EC3687FF64}"/>
    <cellStyle name="20% - Accent2 6" xfId="185" xr:uid="{1170B18A-FB6E-4119-84F8-EA9594B5CB2F}"/>
    <cellStyle name="20% - Accent2 6 2" xfId="186" xr:uid="{874B4E35-D878-4BA6-BA1F-EDA08B83F1E2}"/>
    <cellStyle name="20% - Accent2 7" xfId="187" xr:uid="{B59639EF-406A-46E2-AB03-0024FAB4D05D}"/>
    <cellStyle name="20% - Accent2 7 2" xfId="188" xr:uid="{A8D9CC2C-438A-482C-8766-8A9448183AE2}"/>
    <cellStyle name="20% - Accent2 8" xfId="189" xr:uid="{71D86FE2-48B6-459D-82CF-90EEFE15B4CF}"/>
    <cellStyle name="20% - Accent2 8 2" xfId="190" xr:uid="{7DE30D0F-177E-4178-A160-C812EB704272}"/>
    <cellStyle name="20% - Accent2 9" xfId="191" xr:uid="{73E04248-554D-48F2-9DDB-393E09BB1514}"/>
    <cellStyle name="20% - Accent2 9 2" xfId="192" xr:uid="{A90D2FBE-649D-44C2-9C67-B28BC271D3E3}"/>
    <cellStyle name="20% - Accent3 10" xfId="193" xr:uid="{13C4D9C5-DEA5-4762-B3F7-586EBCD4063B}"/>
    <cellStyle name="20% - Accent3 10 2" xfId="194" xr:uid="{FAFE78BA-7243-48AE-9E38-4013EE6D6D22}"/>
    <cellStyle name="20% - Accent3 11" xfId="195" xr:uid="{903722A8-BE83-4156-82C0-9C4DB7446C47}"/>
    <cellStyle name="20% - Accent3 11 2" xfId="196" xr:uid="{0E9E77E8-CB75-4036-883E-DC1F6B31589C}"/>
    <cellStyle name="20% - Accent3 12" xfId="197" xr:uid="{A9D5D071-7EAF-49C8-9380-D1AE1F455FC8}"/>
    <cellStyle name="20% - Accent3 12 2" xfId="198" xr:uid="{9059A20D-D601-4AB7-916C-803EBCCF8A12}"/>
    <cellStyle name="20% - Accent3 13" xfId="199" xr:uid="{4B53B4E2-6E6E-4B27-BACD-595B6FD8E32E}"/>
    <cellStyle name="20% - Accent3 13 2" xfId="200" xr:uid="{DA068C46-91DB-4C57-B333-06620EFAA5FD}"/>
    <cellStyle name="20% - Accent3 14" xfId="201" xr:uid="{3FB001DE-49B5-49C2-AC77-07973F06B130}"/>
    <cellStyle name="20% - Accent3 14 2" xfId="202" xr:uid="{B2B4DCEA-821A-4729-A165-33980BCD072A}"/>
    <cellStyle name="20% - Accent3 15" xfId="203" xr:uid="{A93C8598-2DBC-478A-BDC7-6CCFDBAF05B5}"/>
    <cellStyle name="20% - Accent3 15 2" xfId="204" xr:uid="{0F833A09-3B14-44D0-B9BA-3D88705EA5A3}"/>
    <cellStyle name="20% - Accent3 16" xfId="205" xr:uid="{1B95810F-8B52-471D-87F8-5C78743A6477}"/>
    <cellStyle name="20% - Accent3 17" xfId="206" xr:uid="{A912F4B5-365C-4D77-95EF-3EAC504E8238}"/>
    <cellStyle name="20% - Accent3 18" xfId="207" xr:uid="{B08550F7-D4E7-4BDA-B7B1-F225D231F196}"/>
    <cellStyle name="20% - Accent3 18 2" xfId="208" xr:uid="{53790451-6ABF-44FA-9618-3C8A34CA5449}"/>
    <cellStyle name="20% - Accent3 19" xfId="209" xr:uid="{A25325AE-B2A3-405E-B2FB-A4B64476C4C9}"/>
    <cellStyle name="20% - Accent3 19 2" xfId="210" xr:uid="{B00694A0-EE83-4625-A3A6-384A0C3C3FA4}"/>
    <cellStyle name="20% - Accent3 2" xfId="211" xr:uid="{AFE1C25C-1054-4694-9262-97DE8B761E75}"/>
    <cellStyle name="20% - Accent3 2 2" xfId="212" xr:uid="{84CB55E9-1351-4EA5-B648-0B6CB87BED5F}"/>
    <cellStyle name="20% - Accent3 2 2 2" xfId="6470" xr:uid="{6AB21C06-A7E2-40B3-AD48-73C4FC7E144D}"/>
    <cellStyle name="20% - Accent3 3" xfId="213" xr:uid="{BAB570BC-5126-4EFA-B47F-D4F003CDCD2E}"/>
    <cellStyle name="20% - Accent3 3 2" xfId="214" xr:uid="{CF9AAEB6-E502-4DE5-8AD1-E42C8548AFA3}"/>
    <cellStyle name="20% - Accent3 4" xfId="215" xr:uid="{9F9A6CB5-ACAF-4789-9D88-681B941D5356}"/>
    <cellStyle name="20% - Accent3 4 2" xfId="216" xr:uid="{88F7884A-ED4D-4E42-AC2A-3589E7D9E26D}"/>
    <cellStyle name="20% - Accent3 5" xfId="217" xr:uid="{18C11185-562A-4EFF-9943-94AB5FBA269C}"/>
    <cellStyle name="20% - Accent3 5 2" xfId="218" xr:uid="{8AB9CCF3-98D6-46C5-B8DA-8AEA8E84905D}"/>
    <cellStyle name="20% - Accent3 6" xfId="219" xr:uid="{E0A43D1F-EB03-46C4-9643-8E28651EE4D9}"/>
    <cellStyle name="20% - Accent3 6 2" xfId="220" xr:uid="{CF3C9876-E557-4B1C-8DA7-927A53E9CD48}"/>
    <cellStyle name="20% - Accent3 7" xfId="221" xr:uid="{BD6FDDC9-1C57-4474-84C0-DD3C9228D214}"/>
    <cellStyle name="20% - Accent3 7 2" xfId="222" xr:uid="{66F54C0B-6DBF-489D-9D7E-5451A6A01AB4}"/>
    <cellStyle name="20% - Accent3 8" xfId="223" xr:uid="{7980776B-F92E-425E-B0E6-D6C59214D661}"/>
    <cellStyle name="20% - Accent3 8 2" xfId="224" xr:uid="{1F659FE3-598C-4E74-841B-A9FF21E0C1F2}"/>
    <cellStyle name="20% - Accent3 9" xfId="225" xr:uid="{2CAEAD55-22C6-4BCE-BC18-CC294F4F690F}"/>
    <cellStyle name="20% - Accent3 9 2" xfId="226" xr:uid="{FDF1BF6A-71C4-48BA-9195-A2B2ED85AFF2}"/>
    <cellStyle name="20% - Accent4 10" xfId="227" xr:uid="{4C10C2C1-CA9D-4542-B0E9-0B1147FAE4C2}"/>
    <cellStyle name="20% - Accent4 10 2" xfId="228" xr:uid="{D781E4D6-DBB9-441E-8CFF-800C0B33F64A}"/>
    <cellStyle name="20% - Accent4 11" xfId="229" xr:uid="{20D63DE9-D2DB-495D-B6E9-905AB33542D5}"/>
    <cellStyle name="20% - Accent4 11 2" xfId="230" xr:uid="{DC2D7AFD-510E-406E-A524-24E365C07014}"/>
    <cellStyle name="20% - Accent4 12" xfId="231" xr:uid="{EB7650D6-D53A-48A3-848E-62F9EA7E74DC}"/>
    <cellStyle name="20% - Accent4 12 2" xfId="232" xr:uid="{DD685864-CBF8-45D7-827A-D685569E5004}"/>
    <cellStyle name="20% - Accent4 13" xfId="233" xr:uid="{78EDC51F-DDB7-4268-BACE-965FE9B968CB}"/>
    <cellStyle name="20% - Accent4 13 2" xfId="234" xr:uid="{6F52F366-6503-4870-9524-FEE32E99BBC1}"/>
    <cellStyle name="20% - Accent4 14" xfId="235" xr:uid="{9B0F96D1-3898-4123-BFF6-F5B3352F85D5}"/>
    <cellStyle name="20% - Accent4 14 2" xfId="236" xr:uid="{0142D9E0-A64A-41C8-9A09-44F2252E9EAD}"/>
    <cellStyle name="20% - Accent4 15" xfId="237" xr:uid="{BB3487DD-6172-4318-B804-20423B02ED78}"/>
    <cellStyle name="20% - Accent4 15 2" xfId="238" xr:uid="{69DCA159-E808-4FC3-94E5-C1EC1BCC0A6D}"/>
    <cellStyle name="20% - Accent4 16" xfId="239" xr:uid="{218A7870-CC81-4E97-8DC8-6707A64F263C}"/>
    <cellStyle name="20% - Accent4 17" xfId="240" xr:uid="{190669D3-0EF0-4734-ADED-C5B08B3806D8}"/>
    <cellStyle name="20% - Accent4 18" xfId="241" xr:uid="{D779E7AA-1323-45B5-B54F-55106BF5AC17}"/>
    <cellStyle name="20% - Accent4 18 2" xfId="242" xr:uid="{199B42DA-956C-4CB3-A90A-1A61D688505A}"/>
    <cellStyle name="20% - Accent4 19" xfId="243" xr:uid="{B181ED97-8838-424C-B70C-0209CF3ED221}"/>
    <cellStyle name="20% - Accent4 19 2" xfId="244" xr:uid="{2B54B256-2F74-4195-9225-0EC7EB19C391}"/>
    <cellStyle name="20% - Accent4 2" xfId="245" xr:uid="{25FFC1D5-3077-4D2B-AFF8-BCBAE1EE4BC8}"/>
    <cellStyle name="20% - Accent4 2 2" xfId="246" xr:uid="{450D8BD9-EF1B-44CE-A51B-DB1EA18C6063}"/>
    <cellStyle name="20% - Accent4 2 2 2" xfId="6471" xr:uid="{924740FC-AFCF-448F-B4DA-C5387484DA7D}"/>
    <cellStyle name="20% - Accent4 3" xfId="247" xr:uid="{295D111D-89EF-4A15-B0D7-D469F788CAE4}"/>
    <cellStyle name="20% - Accent4 3 2" xfId="248" xr:uid="{7F68C33D-5476-410F-A1A9-42539E4857B0}"/>
    <cellStyle name="20% - Accent4 4" xfId="249" xr:uid="{71CD8419-9F9B-44B6-A70A-0294530E4A41}"/>
    <cellStyle name="20% - Accent4 4 2" xfId="250" xr:uid="{93A8FB0A-CC85-4D55-8523-EC7477992851}"/>
    <cellStyle name="20% - Accent4 5" xfId="251" xr:uid="{F86E12F6-2185-48AF-90C6-0526ED265B89}"/>
    <cellStyle name="20% - Accent4 5 2" xfId="252" xr:uid="{5DF30485-F753-4E73-9698-D45656028B2A}"/>
    <cellStyle name="20% - Accent4 6" xfId="253" xr:uid="{F5C16689-D7C8-42E1-9220-DB9165745E73}"/>
    <cellStyle name="20% - Accent4 6 2" xfId="254" xr:uid="{A867E7BA-EB72-47D6-A19F-9270E8400182}"/>
    <cellStyle name="20% - Accent4 7" xfId="255" xr:uid="{91EA08E1-638E-4887-A139-03CF9DB1BEA7}"/>
    <cellStyle name="20% - Accent4 7 2" xfId="256" xr:uid="{0BF3BA21-4FF3-480C-B0D7-B315A694DC68}"/>
    <cellStyle name="20% - Accent4 8" xfId="257" xr:uid="{D44FF096-94BF-4308-992D-3C366B2A9991}"/>
    <cellStyle name="20% - Accent4 8 2" xfId="258" xr:uid="{637050EE-1E8C-4830-9533-E513A0C62FF1}"/>
    <cellStyle name="20% - Accent4 9" xfId="259" xr:uid="{FCF7C5A4-5CDC-432F-B7EC-BF0062ACE696}"/>
    <cellStyle name="20% - Accent4 9 2" xfId="260" xr:uid="{3C0D9B85-6840-402D-AEB8-201B363A7EF1}"/>
    <cellStyle name="20% - Accent5 10" xfId="261" xr:uid="{3EAE311F-D08C-41EC-8B2C-2BEE7EFED055}"/>
    <cellStyle name="20% - Accent5 10 2" xfId="262" xr:uid="{500ED93B-247F-4D57-A9AD-1CD765613C64}"/>
    <cellStyle name="20% - Accent5 11" xfId="263" xr:uid="{C5688AD6-C448-48F5-ACDE-F0722E535C34}"/>
    <cellStyle name="20% - Accent5 11 2" xfId="264" xr:uid="{4F50494C-DDAA-4D94-8337-33B9380F2941}"/>
    <cellStyle name="20% - Accent5 12" xfId="265" xr:uid="{AB79DA19-D01C-4EE6-A953-0341BE0891F1}"/>
    <cellStyle name="20% - Accent5 12 2" xfId="266" xr:uid="{6030D17A-9242-4B86-B0F6-5D18138D00D0}"/>
    <cellStyle name="20% - Accent5 13" xfId="267" xr:uid="{FD7BD62E-B7F8-421E-BEA5-A79B71E9AC77}"/>
    <cellStyle name="20% - Accent5 13 2" xfId="268" xr:uid="{BE6CFA8C-7105-4CFF-A7CF-34A3B735F42F}"/>
    <cellStyle name="20% - Accent5 14" xfId="269" xr:uid="{F8542473-B193-43E2-9175-6AA411A10878}"/>
    <cellStyle name="20% - Accent5 14 2" xfId="270" xr:uid="{B00931B0-538B-44AA-98A9-5E25B7F939DF}"/>
    <cellStyle name="20% - Accent5 15" xfId="271" xr:uid="{5FBDC61E-D9DD-42B0-9C7A-D0E31F1213B0}"/>
    <cellStyle name="20% - Accent5 15 2" xfId="272" xr:uid="{76A7026B-DD22-4152-BD97-4CB9140E932E}"/>
    <cellStyle name="20% - Accent5 16" xfId="273" xr:uid="{A0C2006E-8597-4665-87BA-69CE4DB9C1B7}"/>
    <cellStyle name="20% - Accent5 17" xfId="274" xr:uid="{3219AFD5-A356-4E1B-ABF9-591DEAA73FF4}"/>
    <cellStyle name="20% - Accent5 18" xfId="275" xr:uid="{A00BE197-9F70-4275-9A51-1A9FDC542FE2}"/>
    <cellStyle name="20% - Accent5 18 2" xfId="276" xr:uid="{5F5C3116-AAC9-417D-A976-641E9B5D54C5}"/>
    <cellStyle name="20% - Accent5 19" xfId="277" xr:uid="{024FED46-A6FA-440E-BDD6-F6B894C4B551}"/>
    <cellStyle name="20% - Accent5 19 2" xfId="278" xr:uid="{FD818D3E-DCEC-4199-ABBE-88AD5214145B}"/>
    <cellStyle name="20% - Accent5 2" xfId="279" xr:uid="{E8F653EC-35CA-47DC-9FBF-D3236A5F5140}"/>
    <cellStyle name="20% - Accent5 2 2" xfId="280" xr:uid="{97E3A0AB-FADC-44CE-9948-E8EE07617673}"/>
    <cellStyle name="20% - Accent5 2 2 2" xfId="6472" xr:uid="{45A904D0-2C97-49B6-B744-121E827E5668}"/>
    <cellStyle name="20% - Accent5 3" xfId="281" xr:uid="{E3E50C51-683A-4807-8DE0-897B53AF6F4A}"/>
    <cellStyle name="20% - Accent5 3 2" xfId="282" xr:uid="{8B986DF3-1BAD-49F5-8715-10EE85DFA32A}"/>
    <cellStyle name="20% - Accent5 4" xfId="283" xr:uid="{313F9626-7864-47FA-B3EB-C41911D25C0F}"/>
    <cellStyle name="20% - Accent5 4 2" xfId="284" xr:uid="{17FA9A2C-F027-4901-830C-9E67F33A8E0C}"/>
    <cellStyle name="20% - Accent5 5" xfId="285" xr:uid="{065B745B-74A5-4AB6-8B50-7EFFAF54179D}"/>
    <cellStyle name="20% - Accent5 5 2" xfId="286" xr:uid="{47E1F82E-D05B-4657-AE04-6675C43AEB81}"/>
    <cellStyle name="20% - Accent5 6" xfId="287" xr:uid="{9560FBDE-DABA-4BA7-9927-5D0B4530EB3B}"/>
    <cellStyle name="20% - Accent5 6 2" xfId="288" xr:uid="{A158AF6A-9B6B-4071-8AA2-19C78F3D74CE}"/>
    <cellStyle name="20% - Accent5 7" xfId="289" xr:uid="{61FECE17-E523-462E-B4A8-64FFEA58A193}"/>
    <cellStyle name="20% - Accent5 7 2" xfId="290" xr:uid="{2D35E10E-0164-4DC5-B7A2-97302A4D3109}"/>
    <cellStyle name="20% - Accent5 8" xfId="291" xr:uid="{79E5CE22-340F-4860-82EC-EAB7CC45534C}"/>
    <cellStyle name="20% - Accent5 8 2" xfId="292" xr:uid="{AD54C6BA-46F4-41B9-9404-97406A92A262}"/>
    <cellStyle name="20% - Accent5 9" xfId="293" xr:uid="{0999BB72-8093-4C12-B374-3D6131D0E73C}"/>
    <cellStyle name="20% - Accent5 9 2" xfId="294" xr:uid="{91F9D1C1-537F-459F-8BB8-309FD7074F9C}"/>
    <cellStyle name="20% - Accent6 10" xfId="295" xr:uid="{9BF3C9FD-5424-4C93-A6CA-C8DE747FA191}"/>
    <cellStyle name="20% - Accent6 10 2" xfId="296" xr:uid="{9EDD9795-92AE-44C4-AD4C-CB156EE1F0F4}"/>
    <cellStyle name="20% - Accent6 11" xfId="297" xr:uid="{AA374CBA-EC0F-4385-8D73-EE221C77A113}"/>
    <cellStyle name="20% - Accent6 11 2" xfId="298" xr:uid="{F0A13ADF-53B1-4F6F-BFCE-B090B66C9DBE}"/>
    <cellStyle name="20% - Accent6 12" xfId="299" xr:uid="{3E0C9A9E-DA95-4CA2-91B2-C162BEF0FAE7}"/>
    <cellStyle name="20% - Accent6 12 2" xfId="300" xr:uid="{617FE592-7B24-4D9A-BAD2-C9FA64093C42}"/>
    <cellStyle name="20% - Accent6 13" xfId="301" xr:uid="{4B8D2090-A7FB-4F27-9FDD-E22BC2359EAE}"/>
    <cellStyle name="20% - Accent6 13 2" xfId="302" xr:uid="{16AF3D3C-5341-40F4-A7CF-937B7349E416}"/>
    <cellStyle name="20% - Accent6 14" xfId="303" xr:uid="{6DE726C3-A7D4-40D7-9A5F-CC17F96C772F}"/>
    <cellStyle name="20% - Accent6 14 2" xfId="304" xr:uid="{3EF17AB8-1B81-45B5-8DC6-DEC1994FADE3}"/>
    <cellStyle name="20% - Accent6 15" xfId="305" xr:uid="{FDE7AE53-FB3A-49D1-8B30-8494402909E5}"/>
    <cellStyle name="20% - Accent6 15 2" xfId="306" xr:uid="{3A22F3A1-DCA7-4C12-BA5F-F81C4EBC0B4D}"/>
    <cellStyle name="20% - Accent6 16" xfId="307" xr:uid="{78E76BDC-06C6-4C67-A6AA-57D2AF8FE00B}"/>
    <cellStyle name="20% - Accent6 17" xfId="308" xr:uid="{470A89CB-A2B4-4C50-9F26-81BE4276D88D}"/>
    <cellStyle name="20% - Accent6 18" xfId="309" xr:uid="{CDD40115-AC29-4759-9090-14409E8829C1}"/>
    <cellStyle name="20% - Accent6 18 2" xfId="310" xr:uid="{E851257A-AD19-4581-8708-AC6209D918BA}"/>
    <cellStyle name="20% - Accent6 19" xfId="311" xr:uid="{5D4CC57E-EA22-4EF9-90E7-ED8865DC237E}"/>
    <cellStyle name="20% - Accent6 19 2" xfId="312" xr:uid="{DC1A9863-7A94-4A22-9340-E372E49F59BE}"/>
    <cellStyle name="20% - Accent6 2" xfId="313" xr:uid="{88033915-C32E-4BC5-A98C-3124A6D3697B}"/>
    <cellStyle name="20% - Accent6 2 2" xfId="314" xr:uid="{291D2466-BD64-4051-96A8-D1E224372533}"/>
    <cellStyle name="20% - Accent6 2 2 2" xfId="6473" xr:uid="{3953AB97-1A45-4BB1-90E9-338316112AB5}"/>
    <cellStyle name="20% - Accent6 3" xfId="315" xr:uid="{99F45B27-58BF-43C3-91A2-8296E0525945}"/>
    <cellStyle name="20% - Accent6 3 2" xfId="316" xr:uid="{70A30216-11CB-4490-AA18-21D2601E3FDC}"/>
    <cellStyle name="20% - Accent6 4" xfId="317" xr:uid="{B2EB2E16-9AC8-4C44-97AD-DDFFA8B3F85D}"/>
    <cellStyle name="20% - Accent6 4 2" xfId="318" xr:uid="{AA3261C1-E6FA-4BB0-8BC0-201191C73044}"/>
    <cellStyle name="20% - Accent6 5" xfId="319" xr:uid="{B3B37148-4280-4B78-9BF4-500D10DABBEB}"/>
    <cellStyle name="20% - Accent6 5 2" xfId="320" xr:uid="{8D2F6C6A-5F7F-431D-9B15-8A70A09627F3}"/>
    <cellStyle name="20% - Accent6 6" xfId="321" xr:uid="{17BFADA4-176C-4850-A913-3DED4BFADDED}"/>
    <cellStyle name="20% - Accent6 6 2" xfId="322" xr:uid="{36CBBD29-AF95-4186-8813-40591D882CF1}"/>
    <cellStyle name="20% - Accent6 7" xfId="323" xr:uid="{15509DCA-5242-4037-976A-2504A7468217}"/>
    <cellStyle name="20% - Accent6 7 2" xfId="324" xr:uid="{0BB18F55-8E1B-4C0C-93DB-9CDDE1E3B97E}"/>
    <cellStyle name="20% - Accent6 8" xfId="325" xr:uid="{3BF86A30-5A79-4B4B-BB54-4392937260A8}"/>
    <cellStyle name="20% - Accent6 8 2" xfId="326" xr:uid="{4B268C55-D2D9-4AA1-BA5F-7CB9B0FAD8A6}"/>
    <cellStyle name="20% - Accent6 9" xfId="327" xr:uid="{7B0C0388-A589-44B4-8255-D1B9C62839F1}"/>
    <cellStyle name="20% - Accent6 9 2" xfId="328" xr:uid="{5611A999-0F1E-4092-A9AA-8ABAA1105979}"/>
    <cellStyle name="40% - Accent1 10" xfId="329" xr:uid="{274D19D5-E7E7-495C-B8AA-2D5BF5BFEC1B}"/>
    <cellStyle name="40% - Accent1 10 2" xfId="330" xr:uid="{036FF6F6-F0B3-4490-91DC-B194EFACCE8E}"/>
    <cellStyle name="40% - Accent1 11" xfId="331" xr:uid="{133FC2D1-7524-4127-9C07-9ECB26B26BF2}"/>
    <cellStyle name="40% - Accent1 11 2" xfId="332" xr:uid="{0A86798C-2ABB-435A-9C64-AB00D6DEBC96}"/>
    <cellStyle name="40% - Accent1 12" xfId="333" xr:uid="{AA0F5D77-FF00-470E-8B2C-0622F24D7DDC}"/>
    <cellStyle name="40% - Accent1 12 2" xfId="334" xr:uid="{F1D0B237-89EC-46B0-97E9-10EFACC6F63D}"/>
    <cellStyle name="40% - Accent1 13" xfId="335" xr:uid="{A7B9D28C-C438-4C46-A325-AB9B850BFBD2}"/>
    <cellStyle name="40% - Accent1 13 2" xfId="336" xr:uid="{DC8FCA2D-CB36-4D0C-BBF1-1E68CF6BE143}"/>
    <cellStyle name="40% - Accent1 14" xfId="337" xr:uid="{25344839-BC42-4478-BCE5-142D247673F1}"/>
    <cellStyle name="40% - Accent1 14 2" xfId="338" xr:uid="{3319B755-796E-4C3A-88B4-53E73EA7C63D}"/>
    <cellStyle name="40% - Accent1 15" xfId="339" xr:uid="{F7C40F37-2C47-4E97-B455-9A73410F58D5}"/>
    <cellStyle name="40% - Accent1 15 2" xfId="340" xr:uid="{5ED14BC1-7C18-4E5F-82CF-4AE3D277BF8B}"/>
    <cellStyle name="40% - Accent1 16" xfId="341" xr:uid="{1032F275-2B4F-4CD5-9435-5E6415759213}"/>
    <cellStyle name="40% - Accent1 17" xfId="342" xr:uid="{43DB6B5D-D4AF-4327-B78E-006024A7902B}"/>
    <cellStyle name="40% - Accent1 18" xfId="343" xr:uid="{ECE698C1-BCB3-46FE-96D4-3D4624C81CB4}"/>
    <cellStyle name="40% - Accent1 18 2" xfId="344" xr:uid="{C5CE1922-0C56-478E-9C5B-72BE79B0A23C}"/>
    <cellStyle name="40% - Accent1 19" xfId="345" xr:uid="{3E80712D-1033-4952-9001-106681A41C5E}"/>
    <cellStyle name="40% - Accent1 19 2" xfId="346" xr:uid="{B84CE03D-5C86-4E6A-B481-2C1E446E7C21}"/>
    <cellStyle name="40% - Accent1 2" xfId="347" xr:uid="{E9326639-F6FF-421F-8D61-77832FBA45B4}"/>
    <cellStyle name="40% - Accent1 2 2" xfId="348" xr:uid="{FD7A3BED-D3C1-40DA-B9C4-79C90AE9393D}"/>
    <cellStyle name="40% - Accent1 2 2 2" xfId="6474" xr:uid="{D424ABE2-3C3E-434C-9A37-DB8AEB9C78CE}"/>
    <cellStyle name="40% - Accent1 3" xfId="349" xr:uid="{18D7F6B5-6F50-45F3-980A-099B39DF141E}"/>
    <cellStyle name="40% - Accent1 3 2" xfId="350" xr:uid="{2DBFAA75-83E8-4586-82D9-0787B97B692F}"/>
    <cellStyle name="40% - Accent1 4" xfId="351" xr:uid="{930171AF-F676-410E-89A9-78466428F622}"/>
    <cellStyle name="40% - Accent1 4 2" xfId="352" xr:uid="{B01909BE-ADD9-4D70-B27E-A6D1408FF6A6}"/>
    <cellStyle name="40% - Accent1 5" xfId="353" xr:uid="{A4B3832C-BF8E-405B-8150-DC1AF0358E1B}"/>
    <cellStyle name="40% - Accent1 5 2" xfId="354" xr:uid="{EC9057AD-D788-4D06-A04C-C698919FAD28}"/>
    <cellStyle name="40% - Accent1 6" xfId="355" xr:uid="{D758EDCE-C04F-4F20-91F1-D714E285D84B}"/>
    <cellStyle name="40% - Accent1 6 2" xfId="356" xr:uid="{2E4D07DE-241E-4E11-A4AF-63FF4BE80EB1}"/>
    <cellStyle name="40% - Accent1 7" xfId="357" xr:uid="{87356F20-9AA5-4707-A186-2116FC47ABE7}"/>
    <cellStyle name="40% - Accent1 7 2" xfId="358" xr:uid="{E3E9AB15-D98D-41A8-9E5F-394C7459D41D}"/>
    <cellStyle name="40% - Accent1 8" xfId="359" xr:uid="{44E66933-30FE-4F32-885C-8930FD1AA5F6}"/>
    <cellStyle name="40% - Accent1 8 2" xfId="360" xr:uid="{F0231C6C-5F3F-41EB-8331-1D4D789F511B}"/>
    <cellStyle name="40% - Accent1 9" xfId="361" xr:uid="{D39719E9-9490-41B8-9CD6-1B3EFE080C02}"/>
    <cellStyle name="40% - Accent1 9 2" xfId="362" xr:uid="{6CC1A292-3E60-497C-822F-4B1CFA78CA9C}"/>
    <cellStyle name="40% - Accent2 10" xfId="363" xr:uid="{37C89762-E9D4-44CC-B839-CC5DB514F82C}"/>
    <cellStyle name="40% - Accent2 10 2" xfId="364" xr:uid="{F03863B5-3872-4445-9E39-D0CB2AF1C438}"/>
    <cellStyle name="40% - Accent2 11" xfId="365" xr:uid="{7455566A-E77B-43AE-8DDC-57C1BF5C7345}"/>
    <cellStyle name="40% - Accent2 11 2" xfId="366" xr:uid="{028585F8-3512-48F9-A5FC-DDCF1B2F2679}"/>
    <cellStyle name="40% - Accent2 12" xfId="367" xr:uid="{B0A2A878-AB8F-449A-992D-9997E516394F}"/>
    <cellStyle name="40% - Accent2 12 2" xfId="368" xr:uid="{212A5748-F13F-4848-9778-28EE7C773197}"/>
    <cellStyle name="40% - Accent2 13" xfId="369" xr:uid="{2CBBE60C-E66C-4ACC-BA2F-0ECC3C0578BA}"/>
    <cellStyle name="40% - Accent2 13 2" xfId="370" xr:uid="{B149A310-7375-4F9F-888A-3FA843E7CDB0}"/>
    <cellStyle name="40% - Accent2 14" xfId="371" xr:uid="{1B7F5096-1FF6-4004-98D2-5351E17C0CA0}"/>
    <cellStyle name="40% - Accent2 14 2" xfId="372" xr:uid="{F76FA014-F725-4FF0-BD2D-57AE027950D4}"/>
    <cellStyle name="40% - Accent2 15" xfId="373" xr:uid="{CA01B18D-E712-480F-9257-C444848E406A}"/>
    <cellStyle name="40% - Accent2 15 2" xfId="374" xr:uid="{706F2366-3D0A-41F7-A491-220B539C25D0}"/>
    <cellStyle name="40% - Accent2 16" xfId="375" xr:uid="{CBC93FE0-4B8D-4323-B542-C9CDC026E0F8}"/>
    <cellStyle name="40% - Accent2 17" xfId="376" xr:uid="{F8FF1976-740A-4F6F-AAF1-59C21209B983}"/>
    <cellStyle name="40% - Accent2 18" xfId="377" xr:uid="{03BB9D7B-0EF0-4C57-B0C8-3841E6C190CC}"/>
    <cellStyle name="40% - Accent2 18 2" xfId="378" xr:uid="{5CDF17A7-E547-421F-891D-D16B5DCFA96A}"/>
    <cellStyle name="40% - Accent2 19" xfId="379" xr:uid="{F4C8AC1E-DE79-431B-966C-5DFFDC33872E}"/>
    <cellStyle name="40% - Accent2 19 2" xfId="380" xr:uid="{B9CFAACE-4A5C-4985-AE7A-6752C48171FB}"/>
    <cellStyle name="40% - Accent2 2" xfId="381" xr:uid="{9A044F2A-C7B3-4A5D-82A2-DAA06476E904}"/>
    <cellStyle name="40% - Accent2 2 2" xfId="382" xr:uid="{1758CFF1-CEDD-4339-B5A7-36D7F3915D4A}"/>
    <cellStyle name="40% - Accent2 2 2 2" xfId="6475" xr:uid="{1007B7AF-F0A6-409A-9086-871E726F8F98}"/>
    <cellStyle name="40% - Accent2 3" xfId="383" xr:uid="{9BD44ADD-5EED-46E1-B4AB-20375974BBCC}"/>
    <cellStyle name="40% - Accent2 3 2" xfId="384" xr:uid="{C44B1976-8D3A-4FAB-9A61-949FBA55C361}"/>
    <cellStyle name="40% - Accent2 4" xfId="385" xr:uid="{3C24182A-F354-4FE6-A5CF-10B03D6C207C}"/>
    <cellStyle name="40% - Accent2 4 2" xfId="386" xr:uid="{02D1DDE1-1A9B-405E-8311-D7E7014A4254}"/>
    <cellStyle name="40% - Accent2 5" xfId="387" xr:uid="{B7A8980F-0ECC-4A07-A039-027D8C311835}"/>
    <cellStyle name="40% - Accent2 5 2" xfId="388" xr:uid="{DF043230-498F-42BD-B065-E88F7E8A8B19}"/>
    <cellStyle name="40% - Accent2 6" xfId="389" xr:uid="{E9CF07C1-31F2-4773-9263-E755342D7A2A}"/>
    <cellStyle name="40% - Accent2 6 2" xfId="390" xr:uid="{EC83051F-E7F1-431B-87D0-14683614E926}"/>
    <cellStyle name="40% - Accent2 7" xfId="391" xr:uid="{FF044791-ABBE-4CEF-B055-381FE550856B}"/>
    <cellStyle name="40% - Accent2 7 2" xfId="392" xr:uid="{86079F50-CEF3-471B-8CA7-0AD89493EE55}"/>
    <cellStyle name="40% - Accent2 8" xfId="393" xr:uid="{64BA174F-EB5B-4F30-A8AF-7332E8EB6BB9}"/>
    <cellStyle name="40% - Accent2 8 2" xfId="394" xr:uid="{542F0330-9F19-4339-9D9C-17E303D04050}"/>
    <cellStyle name="40% - Accent2 9" xfId="395" xr:uid="{6DDB9115-893E-4897-AAA3-76A01FDF8164}"/>
    <cellStyle name="40% - Accent2 9 2" xfId="396" xr:uid="{39BACE60-A545-4F8C-A058-EA8D0A4222EC}"/>
    <cellStyle name="40% - Accent3 10" xfId="397" xr:uid="{BA60DA3D-F6EA-4001-B080-BA79F4AA31D5}"/>
    <cellStyle name="40% - Accent3 10 2" xfId="398" xr:uid="{E9945662-62F5-485A-A08E-BCF92CF248E2}"/>
    <cellStyle name="40% - Accent3 11" xfId="399" xr:uid="{3DC233F4-D7F6-41A2-9A12-1DBACEAE8899}"/>
    <cellStyle name="40% - Accent3 11 2" xfId="400" xr:uid="{E85D7F11-9068-41C8-9461-95787A236FE7}"/>
    <cellStyle name="40% - Accent3 12" xfId="401" xr:uid="{8D2ECB9E-655D-44F5-A923-20BB0C09CE74}"/>
    <cellStyle name="40% - Accent3 12 2" xfId="402" xr:uid="{1DB874B4-CCAC-43BE-B024-4818D0C14F95}"/>
    <cellStyle name="40% - Accent3 13" xfId="403" xr:uid="{A0D73398-2B04-4E73-AA1B-42F5ADE1CFBE}"/>
    <cellStyle name="40% - Accent3 13 2" xfId="404" xr:uid="{BD488AE2-4A37-43AD-B61A-6323DB1988E7}"/>
    <cellStyle name="40% - Accent3 14" xfId="405" xr:uid="{2FADED45-E68F-4976-9A39-2706BC64F783}"/>
    <cellStyle name="40% - Accent3 14 2" xfId="406" xr:uid="{E416D498-31F3-47F8-AC14-971F940B7E18}"/>
    <cellStyle name="40% - Accent3 15" xfId="407" xr:uid="{673415E9-E34F-4B85-A09C-55CE80B93B31}"/>
    <cellStyle name="40% - Accent3 15 2" xfId="408" xr:uid="{E7F22B2F-73EB-4450-87CC-6B638AF4967C}"/>
    <cellStyle name="40% - Accent3 16" xfId="409" xr:uid="{54A3C9AD-206F-4621-BDAC-916300F2B3A6}"/>
    <cellStyle name="40% - Accent3 17" xfId="410" xr:uid="{AB408CF9-FDBB-4D53-B072-34CFF7791BC0}"/>
    <cellStyle name="40% - Accent3 18" xfId="411" xr:uid="{D602E113-36D8-4AB6-B5F3-40121C69FED1}"/>
    <cellStyle name="40% - Accent3 18 2" xfId="412" xr:uid="{C3DA0C8C-7DCD-44A6-A244-22D318931CC7}"/>
    <cellStyle name="40% - Accent3 19" xfId="413" xr:uid="{C926B249-73D6-4016-88F0-41E5005D1367}"/>
    <cellStyle name="40% - Accent3 19 2" xfId="414" xr:uid="{B9575ED3-49F5-4ABA-A6B4-F52181E9804C}"/>
    <cellStyle name="40% - Accent3 2" xfId="415" xr:uid="{471947D8-7E42-4F69-A32A-37FA191BEDE0}"/>
    <cellStyle name="40% - Accent3 2 2" xfId="416" xr:uid="{C19A0867-B94A-417E-9A0C-0CBFD76EE284}"/>
    <cellStyle name="40% - Accent3 2 2 2" xfId="6476" xr:uid="{3211F622-8627-440A-A7B2-0729CB78EBFA}"/>
    <cellStyle name="40% - Accent3 3" xfId="417" xr:uid="{C75FB56D-0854-4C65-A7E1-6A51364E6B47}"/>
    <cellStyle name="40% - Accent3 3 2" xfId="418" xr:uid="{7E2D3577-C255-45F1-89A8-AC97B6D8BAF6}"/>
    <cellStyle name="40% - Accent3 4" xfId="419" xr:uid="{23422816-0E44-42D0-9342-EA587B6F5750}"/>
    <cellStyle name="40% - Accent3 4 2" xfId="420" xr:uid="{9EB1A4FA-CF4E-4B01-9B8B-F9D77A2F24F2}"/>
    <cellStyle name="40% - Accent3 5" xfId="421" xr:uid="{0ECC2342-0E9D-4C3F-AA60-55480769D67C}"/>
    <cellStyle name="40% - Accent3 5 2" xfId="422" xr:uid="{FF956E52-F45C-4690-941C-034D54B606EE}"/>
    <cellStyle name="40% - Accent3 6" xfId="423" xr:uid="{D3CE662C-D9C7-4556-B064-850270FED3FC}"/>
    <cellStyle name="40% - Accent3 6 2" xfId="424" xr:uid="{B371E23A-CDC3-4EDA-88E8-A8C9F5362ABB}"/>
    <cellStyle name="40% - Accent3 7" xfId="425" xr:uid="{BAA26B67-7BB3-45AB-8F77-8DE5D80E4C3B}"/>
    <cellStyle name="40% - Accent3 7 2" xfId="426" xr:uid="{076CE063-F603-4DBF-899A-8607482D1A62}"/>
    <cellStyle name="40% - Accent3 8" xfId="427" xr:uid="{12014607-C065-44C8-9785-994AF7499D27}"/>
    <cellStyle name="40% - Accent3 8 2" xfId="428" xr:uid="{5C818822-1776-49E3-9966-2B637FCCF6DA}"/>
    <cellStyle name="40% - Accent3 9" xfId="429" xr:uid="{E71FD17F-EDB7-479C-88E8-0EAF9C5E5542}"/>
    <cellStyle name="40% - Accent3 9 2" xfId="430" xr:uid="{B133AF57-D411-4605-ABFF-4851E91DA65D}"/>
    <cellStyle name="40% - Accent4 10" xfId="431" xr:uid="{43E1B363-F925-4E02-9CAA-7B890C4007B5}"/>
    <cellStyle name="40% - Accent4 10 2" xfId="432" xr:uid="{8C11017A-841D-400F-A935-F1842DB768F5}"/>
    <cellStyle name="40% - Accent4 11" xfId="433" xr:uid="{EA19E1B5-B6E9-40F8-9A62-E54BC1A78EBA}"/>
    <cellStyle name="40% - Accent4 11 2" xfId="434" xr:uid="{EEC01AA1-2247-403D-87AA-BB45CF70AE5D}"/>
    <cellStyle name="40% - Accent4 12" xfId="435" xr:uid="{086E3F1A-33DC-478B-AE28-38D7454A7D57}"/>
    <cellStyle name="40% - Accent4 12 2" xfId="436" xr:uid="{54090237-7690-43BC-8079-65FCB513A887}"/>
    <cellStyle name="40% - Accent4 13" xfId="437" xr:uid="{C09A6FBA-0E4B-4A52-B676-65E4479949F3}"/>
    <cellStyle name="40% - Accent4 13 2" xfId="438" xr:uid="{BCB0EA2D-750B-409C-8E76-1ACD89258DB3}"/>
    <cellStyle name="40% - Accent4 14" xfId="439" xr:uid="{B0739939-532D-4536-A28A-6ABE3BF72CA2}"/>
    <cellStyle name="40% - Accent4 14 2" xfId="440" xr:uid="{A75DC61D-9953-40D9-8716-6FE7940FB570}"/>
    <cellStyle name="40% - Accent4 15" xfId="441" xr:uid="{906F2462-067B-4FF6-B1F3-8508AD60731A}"/>
    <cellStyle name="40% - Accent4 15 2" xfId="442" xr:uid="{798877F9-6A92-42F1-A1F0-5FB70A8D7B42}"/>
    <cellStyle name="40% - Accent4 16" xfId="443" xr:uid="{F8BA180C-C979-4040-AAD9-ED58DFD75706}"/>
    <cellStyle name="40% - Accent4 17" xfId="444" xr:uid="{701749FA-F226-4532-B825-F965C2433602}"/>
    <cellStyle name="40% - Accent4 18" xfId="445" xr:uid="{9C8E4904-8C03-481A-A493-E0E6447D18BD}"/>
    <cellStyle name="40% - Accent4 18 2" xfId="446" xr:uid="{E3A5D3A7-5E58-4A53-B815-95A8815E8F15}"/>
    <cellStyle name="40% - Accent4 19" xfId="447" xr:uid="{C00585BD-C571-4178-9464-8B5501E32615}"/>
    <cellStyle name="40% - Accent4 19 2" xfId="448" xr:uid="{12E9EB30-EC0D-4FAC-B19E-DD1D58255E2C}"/>
    <cellStyle name="40% - Accent4 2" xfId="449" xr:uid="{B25C9A1A-45C1-44D8-8DC3-500F3D161455}"/>
    <cellStyle name="40% - Accent4 2 2" xfId="450" xr:uid="{BC78628D-2F50-4095-A8D7-6DA7FB395342}"/>
    <cellStyle name="40% - Accent4 2 2 2" xfId="6477" xr:uid="{903E25EE-8981-43B5-BBD6-D9BBB2030FD7}"/>
    <cellStyle name="40% - Accent4 3" xfId="451" xr:uid="{3CF55BB1-CDC7-4F19-AFD0-C86E668D350D}"/>
    <cellStyle name="40% - Accent4 3 2" xfId="452" xr:uid="{3CABD5EE-1635-4BAD-8B8A-5925DD990E14}"/>
    <cellStyle name="40% - Accent4 4" xfId="453" xr:uid="{79B541E0-652F-48EE-9D44-BFEED6F8D8F1}"/>
    <cellStyle name="40% - Accent4 4 2" xfId="454" xr:uid="{E7115951-9863-49DC-B34D-30DF967057F6}"/>
    <cellStyle name="40% - Accent4 5" xfId="455" xr:uid="{FD1CD5FC-5494-40D6-8970-0BC7A86DBABD}"/>
    <cellStyle name="40% - Accent4 5 2" xfId="456" xr:uid="{F2E3B1F9-3431-4ACA-BCA7-BEB2CFBADEB8}"/>
    <cellStyle name="40% - Accent4 6" xfId="457" xr:uid="{717DA7E0-DA7B-40A4-BD03-55B309D70D23}"/>
    <cellStyle name="40% - Accent4 6 2" xfId="458" xr:uid="{55140DDB-CF11-490C-A5BA-B666B2BB000C}"/>
    <cellStyle name="40% - Accent4 7" xfId="459" xr:uid="{03090A3E-D176-4D58-AFFE-48B4908910C0}"/>
    <cellStyle name="40% - Accent4 7 2" xfId="460" xr:uid="{A71E2A55-4F8B-4A8B-A2CA-F421F6F71974}"/>
    <cellStyle name="40% - Accent4 8" xfId="461" xr:uid="{0CD8ED7B-E9B6-47AB-A012-A4E4A5AF5916}"/>
    <cellStyle name="40% - Accent4 8 2" xfId="462" xr:uid="{FAE99246-7A8B-480E-B0BF-70F71B1F91B7}"/>
    <cellStyle name="40% - Accent4 9" xfId="463" xr:uid="{D56A6283-1B77-4B2A-B47D-B1175DC7C86C}"/>
    <cellStyle name="40% - Accent4 9 2" xfId="464" xr:uid="{0235901E-8AA9-407B-906C-DC647EE9C339}"/>
    <cellStyle name="40% - Accent5 10" xfId="465" xr:uid="{543FE28F-70D2-45CD-BE74-987449541F1F}"/>
    <cellStyle name="40% - Accent5 10 2" xfId="466" xr:uid="{7B8CB100-117C-4349-A1BB-1C8BE1C2BB31}"/>
    <cellStyle name="40% - Accent5 11" xfId="467" xr:uid="{AAC113BF-D4D9-4A38-9089-E4B0ED7B8F8C}"/>
    <cellStyle name="40% - Accent5 11 2" xfId="468" xr:uid="{54F2136E-066C-4DB7-BE80-113446358C0C}"/>
    <cellStyle name="40% - Accent5 12" xfId="469" xr:uid="{64B27886-01D3-40D8-BF8D-AB5D7A2FA699}"/>
    <cellStyle name="40% - Accent5 12 2" xfId="470" xr:uid="{87F5B584-635D-4A67-B9F5-FF78A57E7E19}"/>
    <cellStyle name="40% - Accent5 13" xfId="471" xr:uid="{F1AD9260-02D1-44E9-8B0B-562DBEA2E303}"/>
    <cellStyle name="40% - Accent5 13 2" xfId="472" xr:uid="{E2C16CB2-5BC4-42E1-B65C-AD6CD52E3916}"/>
    <cellStyle name="40% - Accent5 14" xfId="473" xr:uid="{3DE0620D-5A6A-4764-92BD-FC7D21106771}"/>
    <cellStyle name="40% - Accent5 14 2" xfId="474" xr:uid="{19341CD8-6BA5-4E01-B88B-A19D0B61AC02}"/>
    <cellStyle name="40% - Accent5 15" xfId="475" xr:uid="{5594DE10-0794-4B5A-86F9-9984021482E7}"/>
    <cellStyle name="40% - Accent5 15 2" xfId="476" xr:uid="{B15C4931-708E-4B0E-A7DB-C668A17A0272}"/>
    <cellStyle name="40% - Accent5 16" xfId="477" xr:uid="{246E9E62-1838-4FFD-BE51-D816BECB7E36}"/>
    <cellStyle name="40% - Accent5 17" xfId="478" xr:uid="{1DEA75FB-4709-4C04-BC2F-D1CBEC9F5E10}"/>
    <cellStyle name="40% - Accent5 18" xfId="479" xr:uid="{CC066D5B-1AB6-4981-96CA-96652663D9E3}"/>
    <cellStyle name="40% - Accent5 18 2" xfId="480" xr:uid="{5D280418-C6C1-47BE-9B0A-5D0631264B75}"/>
    <cellStyle name="40% - Accent5 19" xfId="481" xr:uid="{B772B497-4469-4335-BD78-C8E899429338}"/>
    <cellStyle name="40% - Accent5 19 2" xfId="482" xr:uid="{AC978EDB-751A-43E1-8AD9-6F41A196DDC3}"/>
    <cellStyle name="40% - Accent5 2" xfId="483" xr:uid="{04180C0A-A5AC-4974-829E-C19EDA7E6345}"/>
    <cellStyle name="40% - Accent5 2 2" xfId="484" xr:uid="{E9B92FB5-7CB5-4248-9586-77F783D18AF3}"/>
    <cellStyle name="40% - Accent5 2 2 2" xfId="6478" xr:uid="{8A431CF7-793E-487D-BA03-5925351EC844}"/>
    <cellStyle name="40% - Accent5 3" xfId="485" xr:uid="{D64A0476-38AF-42C6-88FF-98D748E18B2A}"/>
    <cellStyle name="40% - Accent5 3 2" xfId="486" xr:uid="{303D4027-28CE-4646-8EA5-B47578E3EEE6}"/>
    <cellStyle name="40% - Accent5 4" xfId="487" xr:uid="{0276029E-BD3E-4097-AB27-6910B077CCC5}"/>
    <cellStyle name="40% - Accent5 4 2" xfId="488" xr:uid="{853D852E-3D6E-410F-B6F3-FB9232E06627}"/>
    <cellStyle name="40% - Accent5 5" xfId="489" xr:uid="{22AECD9F-0305-446D-812D-C499E87D65B0}"/>
    <cellStyle name="40% - Accent5 5 2" xfId="490" xr:uid="{41025FBE-46F4-4953-802C-05735A92BD98}"/>
    <cellStyle name="40% - Accent5 6" xfId="491" xr:uid="{5762810A-673D-49EC-B739-D1BB478B8EC9}"/>
    <cellStyle name="40% - Accent5 6 2" xfId="492" xr:uid="{12C2011D-3072-4304-A5EC-9305ED487464}"/>
    <cellStyle name="40% - Accent5 7" xfId="493" xr:uid="{67EE8374-829F-4C1B-97CB-EBE09158208A}"/>
    <cellStyle name="40% - Accent5 7 2" xfId="494" xr:uid="{24E40F6A-B6C0-4B77-93F1-66F2E22E50FB}"/>
    <cellStyle name="40% - Accent5 8" xfId="495" xr:uid="{A6A52BE5-5F88-4B16-83F8-3AF6526081A9}"/>
    <cellStyle name="40% - Accent5 8 2" xfId="496" xr:uid="{AA044EF8-BD8C-4FAA-9B86-2D35C6255D5F}"/>
    <cellStyle name="40% - Accent5 9" xfId="497" xr:uid="{BD2299AF-3149-47F4-A9BB-ED96654FA7E2}"/>
    <cellStyle name="40% - Accent5 9 2" xfId="498" xr:uid="{2ABF1F77-E435-4CB9-A39B-A208649EA424}"/>
    <cellStyle name="40% - Accent6 10" xfId="499" xr:uid="{CBE51ED3-B5E9-4C2C-B626-55BCEC1A29C8}"/>
    <cellStyle name="40% - Accent6 10 2" xfId="500" xr:uid="{AFE41470-9219-4D8F-99E1-4D5D8D9BF23D}"/>
    <cellStyle name="40% - Accent6 11" xfId="501" xr:uid="{DD93A81B-41FC-497E-9678-1A574BE6AD65}"/>
    <cellStyle name="40% - Accent6 11 2" xfId="502" xr:uid="{516A099C-533C-4CCD-8BEB-85CB9A714550}"/>
    <cellStyle name="40% - Accent6 12" xfId="503" xr:uid="{94927AB6-694B-4829-BFBC-AEDFF6472B99}"/>
    <cellStyle name="40% - Accent6 12 2" xfId="504" xr:uid="{7E1A984C-D347-4180-A91B-EB2F7D7F4AB5}"/>
    <cellStyle name="40% - Accent6 13" xfId="505" xr:uid="{73ECAF36-4046-41DD-8B03-A0E80ADAFB43}"/>
    <cellStyle name="40% - Accent6 13 2" xfId="506" xr:uid="{458D7B49-E813-4C44-9372-978564FADD3A}"/>
    <cellStyle name="40% - Accent6 14" xfId="507" xr:uid="{446B0AD8-2821-47E8-9F4D-7D3465AF9534}"/>
    <cellStyle name="40% - Accent6 14 2" xfId="508" xr:uid="{4B83BE34-6ABE-4DDA-A346-AD5293136F38}"/>
    <cellStyle name="40% - Accent6 15" xfId="509" xr:uid="{05103B77-6FBB-4D1B-B0BC-E8DB77C36270}"/>
    <cellStyle name="40% - Accent6 15 2" xfId="510" xr:uid="{5B04C7CF-C5F1-499D-8DFA-F3770065A98D}"/>
    <cellStyle name="40% - Accent6 16" xfId="511" xr:uid="{69B3B862-1149-4797-93CB-B02D6D4DA99F}"/>
    <cellStyle name="40% - Accent6 17" xfId="512" xr:uid="{B38E90CB-B5C5-4963-B2A3-9859A7EF85BB}"/>
    <cellStyle name="40% - Accent6 18" xfId="513" xr:uid="{004411E2-5554-4227-84D7-9E179E9C0CE2}"/>
    <cellStyle name="40% - Accent6 18 2" xfId="514" xr:uid="{E9C3E252-4319-4888-BEDB-686182BEF0BC}"/>
    <cellStyle name="40% - Accent6 19" xfId="515" xr:uid="{6364B4D0-5D9B-4F5E-9323-88DA7749284F}"/>
    <cellStyle name="40% - Accent6 19 2" xfId="516" xr:uid="{69767D16-7099-46FE-8650-C6EF616ACEF6}"/>
    <cellStyle name="40% - Accent6 2" xfId="517" xr:uid="{120B341D-3A15-49D0-A8C7-5443066431FD}"/>
    <cellStyle name="40% - Accent6 2 2" xfId="518" xr:uid="{BDA55B00-04A7-4614-A687-7A6ADAE47A5C}"/>
    <cellStyle name="40% - Accent6 2 2 2" xfId="6479" xr:uid="{77DD5023-E0F4-42DE-B479-56DFE425D90E}"/>
    <cellStyle name="40% - Accent6 3" xfId="519" xr:uid="{04B51D56-853E-417E-92E1-8E28D57B8723}"/>
    <cellStyle name="40% - Accent6 3 2" xfId="520" xr:uid="{F276E4DD-060D-4C30-970C-3D7356F53FB3}"/>
    <cellStyle name="40% - Accent6 4" xfId="521" xr:uid="{F2D08D2E-593C-4DAA-AA57-48E69E065EC3}"/>
    <cellStyle name="40% - Accent6 4 2" xfId="522" xr:uid="{9A1C7C3C-3804-441C-8206-908FF3CCA3BE}"/>
    <cellStyle name="40% - Accent6 5" xfId="523" xr:uid="{D382F9C1-BE84-4049-96A8-97A06E1FDE98}"/>
    <cellStyle name="40% - Accent6 5 2" xfId="524" xr:uid="{9A5433A4-B984-449E-8897-02EF4CE2832D}"/>
    <cellStyle name="40% - Accent6 6" xfId="525" xr:uid="{072D071E-87ED-4CBC-89B8-497C87905852}"/>
    <cellStyle name="40% - Accent6 6 2" xfId="526" xr:uid="{3ECE4680-AB7E-4C4B-9C20-2EB2D749EA5B}"/>
    <cellStyle name="40% - Accent6 7" xfId="527" xr:uid="{8B05BA04-DF99-4512-8D5C-726604D5834B}"/>
    <cellStyle name="40% - Accent6 7 2" xfId="528" xr:uid="{F3F48FA9-E237-4982-9E22-957A0295DFB1}"/>
    <cellStyle name="40% - Accent6 8" xfId="529" xr:uid="{38FF005D-D3AA-478D-916C-FB9B2DC291E5}"/>
    <cellStyle name="40% - Accent6 8 2" xfId="530" xr:uid="{55BB8807-5EE4-4449-96BF-3C14A4A2669F}"/>
    <cellStyle name="40% - Accent6 9" xfId="531" xr:uid="{BB301487-E74A-42BD-80D1-E9C0E56F2072}"/>
    <cellStyle name="40% - Accent6 9 2" xfId="532" xr:uid="{DD31BA90-5DA3-43E1-888D-AE4F2DC24E13}"/>
    <cellStyle name="60% - Accent1 10" xfId="533" xr:uid="{47BFF6B2-5CCE-43C1-BC7C-7F1E1E6FD6ED}"/>
    <cellStyle name="60% - Accent1 11" xfId="534" xr:uid="{72CA6276-9FB1-4E4D-A408-774353C7340C}"/>
    <cellStyle name="60% - Accent1 12" xfId="535" xr:uid="{A8182F62-AC5A-42F9-8D8D-F0DD23D9B09E}"/>
    <cellStyle name="60% - Accent1 13" xfId="536" xr:uid="{91627B04-3F87-4874-995E-FCDC7AD8D7E9}"/>
    <cellStyle name="60% - Accent1 14" xfId="537" xr:uid="{CA4F9607-5D56-42DB-8D57-46B3083B1123}"/>
    <cellStyle name="60% - Accent1 15" xfId="538" xr:uid="{E7B8EE88-093B-4645-AB3A-06ADEB1F403E}"/>
    <cellStyle name="60% - Accent1 16" xfId="539" xr:uid="{CA6BA3AB-1146-4504-931F-3E0851DD7908}"/>
    <cellStyle name="60% - Accent1 17" xfId="540" xr:uid="{90F0C6B0-02FA-43FB-8CA3-EA2CFE96D34D}"/>
    <cellStyle name="60% - Accent1 18" xfId="541" xr:uid="{2611FD4B-D23F-4058-95E7-7057D15221B4}"/>
    <cellStyle name="60% - Accent1 18 2" xfId="542" xr:uid="{AE88E825-2F66-4C77-8F72-DB0F72963243}"/>
    <cellStyle name="60% - Accent1 19" xfId="543" xr:uid="{B1A3F79E-B36B-4799-9C57-9A2BC358D73E}"/>
    <cellStyle name="60% - Accent1 19 2" xfId="544" xr:uid="{B8E64F5F-4FCB-46EB-A8BB-3C381C36F5A4}"/>
    <cellStyle name="60% - Accent1 2" xfId="545" xr:uid="{A1F90BB7-C416-43F5-85D9-5B801375F926}"/>
    <cellStyle name="60% - Accent1 2 2" xfId="546" xr:uid="{04FD9B0C-A65F-49DA-AF8B-4DC9D758105F}"/>
    <cellStyle name="60% - Accent1 2 2 2" xfId="6480" xr:uid="{E2FA27A3-4ECF-419E-BCDD-9F1299DD35B2}"/>
    <cellStyle name="60% - Accent1 3" xfId="547" xr:uid="{0AE9F956-CDC5-4483-B6C0-477D4390758D}"/>
    <cellStyle name="60% - Accent1 4" xfId="548" xr:uid="{B2A03F4B-2737-4C76-A801-5E59A8B3AFC4}"/>
    <cellStyle name="60% - Accent1 5" xfId="549" xr:uid="{F1AE42B1-C89A-4557-A904-F525D2247695}"/>
    <cellStyle name="60% - Accent1 6" xfId="550" xr:uid="{B638DEB2-4648-439E-84A6-67C04B18806F}"/>
    <cellStyle name="60% - Accent1 7" xfId="551" xr:uid="{5D57521B-487A-40A0-AFDA-3E21D7D075F4}"/>
    <cellStyle name="60% - Accent1 8" xfId="552" xr:uid="{A7043B1E-2B76-43DE-8B1A-0F8D8393703B}"/>
    <cellStyle name="60% - Accent1 9" xfId="553" xr:uid="{D0B3260B-5862-4323-8459-5C5BF5625E82}"/>
    <cellStyle name="60% - Accent2 10" xfId="554" xr:uid="{4D10F3AD-372C-4413-9784-421D66FF213D}"/>
    <cellStyle name="60% - Accent2 11" xfId="555" xr:uid="{20E1C570-006E-439D-ADF2-F45E3416F415}"/>
    <cellStyle name="60% - Accent2 12" xfId="556" xr:uid="{4F752F63-40CD-42C7-874F-D9A69C3F560E}"/>
    <cellStyle name="60% - Accent2 13" xfId="557" xr:uid="{CD2D19FA-B83B-4918-9A33-98FD566420E5}"/>
    <cellStyle name="60% - Accent2 14" xfId="558" xr:uid="{64E40C09-6542-45A7-879A-0159164C595D}"/>
    <cellStyle name="60% - Accent2 15" xfId="559" xr:uid="{CD3552DB-B767-43FC-B3D5-A4716BE7A69F}"/>
    <cellStyle name="60% - Accent2 16" xfId="560" xr:uid="{E7693C9E-7166-453D-8DA5-22BDE30263F9}"/>
    <cellStyle name="60% - Accent2 17" xfId="561" xr:uid="{ACCECCB2-2240-42B7-A8E9-AF79ED0E0EB9}"/>
    <cellStyle name="60% - Accent2 18" xfId="562" xr:uid="{307680E8-2031-499F-A46F-9091AD5449F8}"/>
    <cellStyle name="60% - Accent2 18 2" xfId="563" xr:uid="{560AFDC1-658D-453A-9E7A-5128CDD376D0}"/>
    <cellStyle name="60% - Accent2 19" xfId="564" xr:uid="{E8135F0D-21CC-410D-9070-53DA17A5D9A3}"/>
    <cellStyle name="60% - Accent2 19 2" xfId="565" xr:uid="{BC7D0081-E8B7-49EE-9D03-D325E81CE76A}"/>
    <cellStyle name="60% - Accent2 2" xfId="566" xr:uid="{7D5946BC-193E-4C72-A814-399704E387BF}"/>
    <cellStyle name="60% - Accent2 2 2" xfId="567" xr:uid="{50BA51EC-9FCE-49AE-B882-4B5E1CD97FB4}"/>
    <cellStyle name="60% - Accent2 2 2 2" xfId="6481" xr:uid="{E068A63E-5361-46EA-AFB2-638FFC8B94F9}"/>
    <cellStyle name="60% - Accent2 3" xfId="568" xr:uid="{6AAA1813-5DD2-4E01-9168-CD115074EC61}"/>
    <cellStyle name="60% - Accent2 4" xfId="569" xr:uid="{22BF9B7F-4B2A-4580-A1CF-D147811A14AB}"/>
    <cellStyle name="60% - Accent2 5" xfId="570" xr:uid="{00F8AFA2-3245-4463-9936-0AF17F27A365}"/>
    <cellStyle name="60% - Accent2 6" xfId="571" xr:uid="{11F86FE7-8931-447F-9234-0A50ACC9DC63}"/>
    <cellStyle name="60% - Accent2 7" xfId="572" xr:uid="{8E514C6B-4228-4B35-BD0E-BCCCE713E9C0}"/>
    <cellStyle name="60% - Accent2 8" xfId="573" xr:uid="{65F50361-A355-4496-B115-907FCE5689E2}"/>
    <cellStyle name="60% - Accent2 9" xfId="574" xr:uid="{04CF4409-9420-4699-A588-48EC48AE0FDE}"/>
    <cellStyle name="60% - Accent3 10" xfId="575" xr:uid="{5A7E2852-A2CE-452B-A908-07E3E8587C6F}"/>
    <cellStyle name="60% - Accent3 11" xfId="576" xr:uid="{7D2BE9B2-A606-4152-AA5C-CF5FCF3785F4}"/>
    <cellStyle name="60% - Accent3 12" xfId="577" xr:uid="{3FA3E7BC-AA03-45F5-9B52-F11433379428}"/>
    <cellStyle name="60% - Accent3 13" xfId="578" xr:uid="{5BA69A25-731C-4D41-B525-69BD8507578F}"/>
    <cellStyle name="60% - Accent3 14" xfId="579" xr:uid="{1DD2F542-FC29-4E14-BDA6-835D2D58DBE9}"/>
    <cellStyle name="60% - Accent3 15" xfId="580" xr:uid="{9E048C2D-4444-4EF6-A5A6-B02ECE9BC6F1}"/>
    <cellStyle name="60% - Accent3 16" xfId="581" xr:uid="{4FCDC29C-91B4-468C-9F79-16D32BDAB54E}"/>
    <cellStyle name="60% - Accent3 17" xfId="582" xr:uid="{F723E8B9-5A9D-40A5-9F7E-01AE3DE416B0}"/>
    <cellStyle name="60% - Accent3 18" xfId="583" xr:uid="{86764780-6DB1-457F-8F7B-B4DD93C1ACE1}"/>
    <cellStyle name="60% - Accent3 18 2" xfId="584" xr:uid="{230C2FAD-61FB-453B-9BE7-2FDC4ABA3932}"/>
    <cellStyle name="60% - Accent3 19" xfId="585" xr:uid="{69391090-69DB-4686-AF87-6327389329C3}"/>
    <cellStyle name="60% - Accent3 19 2" xfId="586" xr:uid="{7D84E50A-1398-49A3-B121-120CF093FD45}"/>
    <cellStyle name="60% - Accent3 2" xfId="587" xr:uid="{A4E3D5BC-3DEB-46C3-A04F-05CCDA8C7AB6}"/>
    <cellStyle name="60% - Accent3 2 2" xfId="588" xr:uid="{A4B502D3-3568-4F76-BF9E-509032CFCE62}"/>
    <cellStyle name="60% - Accent3 2 2 2" xfId="6482" xr:uid="{F604A449-A68D-4D94-A755-1F73C0904E93}"/>
    <cellStyle name="60% - Accent3 3" xfId="589" xr:uid="{5FA69F5D-B611-4C11-916C-B816F0A58247}"/>
    <cellStyle name="60% - Accent3 4" xfId="590" xr:uid="{90F482E3-7B16-4709-BCB7-09FE0074D517}"/>
    <cellStyle name="60% - Accent3 5" xfId="591" xr:uid="{7D225AD6-6D4A-40B3-B535-62F4F892D1DE}"/>
    <cellStyle name="60% - Accent3 6" xfId="592" xr:uid="{681494D0-CB2A-496C-8F00-9AB38336503A}"/>
    <cellStyle name="60% - Accent3 7" xfId="593" xr:uid="{06C27CAC-D42D-4331-BF48-68B0AE3AB1E1}"/>
    <cellStyle name="60% - Accent3 8" xfId="594" xr:uid="{2DC41775-4B86-47A7-9D60-75B0B3387E1E}"/>
    <cellStyle name="60% - Accent3 9" xfId="595" xr:uid="{83059B32-7017-4ACD-8453-29FDF42B9008}"/>
    <cellStyle name="60% - Accent4 10" xfId="596" xr:uid="{59E63E50-DABE-4D0D-B31F-1B4005B25144}"/>
    <cellStyle name="60% - Accent4 11" xfId="597" xr:uid="{2D716797-0C28-4FE9-8501-DED55745E7F3}"/>
    <cellStyle name="60% - Accent4 12" xfId="598" xr:uid="{B22EC78A-3A69-42E1-B9D8-53D2A044E51C}"/>
    <cellStyle name="60% - Accent4 13" xfId="599" xr:uid="{C9398C29-A78A-4179-917D-CA15142B6A43}"/>
    <cellStyle name="60% - Accent4 14" xfId="600" xr:uid="{D40B4526-7359-483D-B765-3C0AB5AE62AD}"/>
    <cellStyle name="60% - Accent4 15" xfId="601" xr:uid="{E420F713-F5CF-4C34-9B10-DCF080C42C1C}"/>
    <cellStyle name="60% - Accent4 16" xfId="602" xr:uid="{4D4F0502-C876-4C77-B301-284E45A372CD}"/>
    <cellStyle name="60% - Accent4 17" xfId="603" xr:uid="{4C4BDF84-EFC1-4333-977B-13B1EC006674}"/>
    <cellStyle name="60% - Accent4 18" xfId="604" xr:uid="{3AFC6757-C26B-4ECF-8304-1DAFD9B5536B}"/>
    <cellStyle name="60% - Accent4 18 2" xfId="605" xr:uid="{9230B8F9-C604-40D1-9027-174AC82F5314}"/>
    <cellStyle name="60% - Accent4 19" xfId="606" xr:uid="{4B77ED70-66BE-4638-91A3-00ABDAF5A61D}"/>
    <cellStyle name="60% - Accent4 19 2" xfId="607" xr:uid="{4193CF2C-48DB-4EBA-80D0-7F8D3527E836}"/>
    <cellStyle name="60% - Accent4 2" xfId="608" xr:uid="{3D712DFF-F832-4073-82D6-9079E301EE59}"/>
    <cellStyle name="60% - Accent4 2 2" xfId="609" xr:uid="{B5D4170A-0987-4C2B-9CAC-2DE5FB9291FA}"/>
    <cellStyle name="60% - Accent4 2 2 2" xfId="6483" xr:uid="{D7D20C4C-191B-4E34-9478-C6C0C48B032A}"/>
    <cellStyle name="60% - Accent4 3" xfId="610" xr:uid="{52FDC876-42FD-41A6-94FD-246F85A634C0}"/>
    <cellStyle name="60% - Accent4 4" xfId="611" xr:uid="{7BD2CBF4-85E3-4D9D-B007-D36D7F57D82A}"/>
    <cellStyle name="60% - Accent4 5" xfId="612" xr:uid="{F2A29CD3-285D-43F6-B609-136C81E622C5}"/>
    <cellStyle name="60% - Accent4 6" xfId="613" xr:uid="{15D0A0B3-BFC7-4179-A12A-640E62857831}"/>
    <cellStyle name="60% - Accent4 7" xfId="614" xr:uid="{9BFAF4FD-01C2-425C-B919-3A75B544896D}"/>
    <cellStyle name="60% - Accent4 8" xfId="615" xr:uid="{A80F9952-2972-4712-B849-FA8172D5875E}"/>
    <cellStyle name="60% - Accent4 9" xfId="616" xr:uid="{7C0C4880-34B5-4B18-94EF-0D22206E9408}"/>
    <cellStyle name="60% - Accent5 10" xfId="617" xr:uid="{367F60B5-D66E-4FC7-9BB8-B562C9491A8F}"/>
    <cellStyle name="60% - Accent5 11" xfId="618" xr:uid="{6E47BCF7-C91D-421F-B260-C34771FC9775}"/>
    <cellStyle name="60% - Accent5 12" xfId="619" xr:uid="{74BB171D-CAC0-4AD6-849C-6F3A44B6FF41}"/>
    <cellStyle name="60% - Accent5 13" xfId="620" xr:uid="{692516A2-F625-4165-9944-986B532FDBB7}"/>
    <cellStyle name="60% - Accent5 14" xfId="621" xr:uid="{55BC5FC1-997C-4D20-BA81-96ABC92FC916}"/>
    <cellStyle name="60% - Accent5 15" xfId="622" xr:uid="{F9A5F83C-E523-488D-AAB6-40A7301AA3B8}"/>
    <cellStyle name="60% - Accent5 16" xfId="623" xr:uid="{AD82C197-F9EA-401B-A4E8-5AFEE4D7C2E2}"/>
    <cellStyle name="60% - Accent5 17" xfId="624" xr:uid="{60750920-6EA3-4CBF-BC79-F57AD80518AD}"/>
    <cellStyle name="60% - Accent5 18" xfId="625" xr:uid="{5D0DE90E-53BC-4A95-8B29-D45A17F3A717}"/>
    <cellStyle name="60% - Accent5 18 2" xfId="626" xr:uid="{669EF575-FE0C-4CB6-BC6C-4D3EC0DF5966}"/>
    <cellStyle name="60% - Accent5 19" xfId="627" xr:uid="{9B85BF98-7EB4-44DD-ABD4-8663B1280881}"/>
    <cellStyle name="60% - Accent5 19 2" xfId="628" xr:uid="{A070804D-0A2D-4441-9926-FC868E165FA8}"/>
    <cellStyle name="60% - Accent5 2" xfId="629" xr:uid="{349FFEE9-B3FD-4214-9DC3-B81374845BCB}"/>
    <cellStyle name="60% - Accent5 2 2" xfId="630" xr:uid="{F5D536F4-B4F3-47A9-8E6D-6EBB96FA6D63}"/>
    <cellStyle name="60% - Accent5 2 2 2" xfId="6484" xr:uid="{C9268465-2F69-4C02-9C8C-8C510444F3F2}"/>
    <cellStyle name="60% - Accent5 3" xfId="631" xr:uid="{A31B12A1-513F-48EC-BB41-12422574630F}"/>
    <cellStyle name="60% - Accent5 4" xfId="632" xr:uid="{3CDE2D99-56FE-4B0B-8B75-4B43856E7F97}"/>
    <cellStyle name="60% - Accent5 5" xfId="633" xr:uid="{9B77EEC2-7051-4617-8895-DF8D565709AA}"/>
    <cellStyle name="60% - Accent5 6" xfId="634" xr:uid="{8434F4CD-BBC2-4B96-A999-197A5CD8ED5A}"/>
    <cellStyle name="60% - Accent5 7" xfId="635" xr:uid="{A3C06831-6EDC-42D7-983B-4A53A5EC8A99}"/>
    <cellStyle name="60% - Accent5 8" xfId="636" xr:uid="{6311F418-5B85-4279-B2B9-890CCD051363}"/>
    <cellStyle name="60% - Accent5 9" xfId="637" xr:uid="{894E7223-61E2-474E-98C8-82806A51FE3C}"/>
    <cellStyle name="60% - Accent6 10" xfId="638" xr:uid="{3F93EF47-F36D-4292-B909-F23B79D7FC32}"/>
    <cellStyle name="60% - Accent6 11" xfId="639" xr:uid="{ABCA0876-6145-4782-BF2D-29EE5388D7C7}"/>
    <cellStyle name="60% - Accent6 12" xfId="640" xr:uid="{9F9233AE-FD25-4AA5-AB94-0C5D15B3D3C9}"/>
    <cellStyle name="60% - Accent6 13" xfId="641" xr:uid="{9E0B05AF-F78E-4EFE-BF46-18208A73F7AB}"/>
    <cellStyle name="60% - Accent6 14" xfId="642" xr:uid="{AC5BC6FC-7CA0-4146-93C2-422333C440EE}"/>
    <cellStyle name="60% - Accent6 15" xfId="643" xr:uid="{AB9E32F9-AAFB-412B-9EDC-26EB404DCCEF}"/>
    <cellStyle name="60% - Accent6 16" xfId="644" xr:uid="{CF7F18D8-EBAC-4F18-9C3F-9F075F192A3A}"/>
    <cellStyle name="60% - Accent6 17" xfId="645" xr:uid="{CFB2CC30-40FF-445E-91EF-B90ED8A0751D}"/>
    <cellStyle name="60% - Accent6 18" xfId="646" xr:uid="{F052F6B2-CC92-46A3-9399-F9ABB1BBD2FE}"/>
    <cellStyle name="60% - Accent6 18 2" xfId="647" xr:uid="{AD300A0A-1706-4AB9-8288-627460AFC0A7}"/>
    <cellStyle name="60% - Accent6 19" xfId="648" xr:uid="{EF8D6B66-C136-4EF0-B0EE-E2676AD20029}"/>
    <cellStyle name="60% - Accent6 19 2" xfId="649" xr:uid="{0D4C83F5-7783-4C9B-9AD4-02F53F9B8B85}"/>
    <cellStyle name="60% - Accent6 2" xfId="650" xr:uid="{86A47E19-B006-4A95-81A5-BEFB32F3B758}"/>
    <cellStyle name="60% - Accent6 2 2" xfId="651" xr:uid="{F961C8FD-8B7B-4C40-8A92-A0150656D25E}"/>
    <cellStyle name="60% - Accent6 2 2 2" xfId="6485" xr:uid="{6187CC88-2D21-4201-B5F6-5FDA7569E690}"/>
    <cellStyle name="60% - Accent6 3" xfId="652" xr:uid="{8BE6A677-8649-49ED-9208-CCB28306EFB1}"/>
    <cellStyle name="60% - Accent6 4" xfId="653" xr:uid="{D486BAB2-0B05-483B-889A-7C2DE658603F}"/>
    <cellStyle name="60% - Accent6 5" xfId="654" xr:uid="{12620203-AAC3-497C-B6E9-9A91BAA49CE1}"/>
    <cellStyle name="60% - Accent6 6" xfId="655" xr:uid="{5C726A04-9E4D-4801-9589-B10A05A076C1}"/>
    <cellStyle name="60% - Accent6 7" xfId="656" xr:uid="{652DE22D-5EAD-485E-AED9-4C1926489C8B}"/>
    <cellStyle name="60% - Accent6 8" xfId="657" xr:uid="{6ED7ED80-C015-4DDF-9D10-914BB93F85DE}"/>
    <cellStyle name="60% - Accent6 9" xfId="658" xr:uid="{A1C92E88-E24A-4039-8E94-B55B9E469C1A}"/>
    <cellStyle name="Accent1 10" xfId="659" xr:uid="{599051A5-A4B9-47D4-A341-2AAFDEFC9CEB}"/>
    <cellStyle name="Accent1 11" xfId="660" xr:uid="{C1BA5815-9944-4EF4-AAB2-359A69051AA9}"/>
    <cellStyle name="Accent1 12" xfId="661" xr:uid="{5DC42D84-7C9E-4379-826E-1CA423DF3B81}"/>
    <cellStyle name="Accent1 13" xfId="662" xr:uid="{4A6A8D35-5768-4B01-BE1B-6F1F809CB136}"/>
    <cellStyle name="Accent1 14" xfId="663" xr:uid="{5E5BDA17-7376-4343-A63F-A796A07EFC73}"/>
    <cellStyle name="Accent1 15" xfId="664" xr:uid="{873232AE-A013-42C7-8E2F-55A764562931}"/>
    <cellStyle name="Accent1 16" xfId="665" xr:uid="{A5E59962-EF5B-4150-8C5D-A86C57B3FB57}"/>
    <cellStyle name="Accent1 17" xfId="666" xr:uid="{1E35C6E8-8E0E-440E-B698-FDE337838E09}"/>
    <cellStyle name="Accent1 18" xfId="667" xr:uid="{C8834C33-8D41-4CEE-B28B-3663EBF91C3B}"/>
    <cellStyle name="Accent1 18 2" xfId="668" xr:uid="{8E56282D-D234-4E72-81B1-46A4C481CC80}"/>
    <cellStyle name="Accent1 19" xfId="669" xr:uid="{BDA01E5F-57AE-476E-86DF-1617696D5059}"/>
    <cellStyle name="Accent1 19 2" xfId="670" xr:uid="{82B17AB1-92F2-45ED-BECD-626C6D94DCA1}"/>
    <cellStyle name="Accent1 2" xfId="671" xr:uid="{6A9ADA41-2DFC-4E11-A7F2-CCB459068A7A}"/>
    <cellStyle name="Accent1 2 2" xfId="672" xr:uid="{034D7252-0EEB-45EC-BEA1-7AAF2268815E}"/>
    <cellStyle name="Accent1 2 2 2" xfId="6486" xr:uid="{DCF9A138-6B54-4FD0-834C-BF905512B625}"/>
    <cellStyle name="Accent1 3" xfId="673" xr:uid="{92C8D006-2C4F-4562-AE76-38B24E5BF214}"/>
    <cellStyle name="Accent1 4" xfId="674" xr:uid="{D43E7D79-8677-46CF-842D-A1E53214B7E8}"/>
    <cellStyle name="Accent1 5" xfId="675" xr:uid="{150B052C-A7D5-4F94-82F9-27546D251811}"/>
    <cellStyle name="Accent1 6" xfId="676" xr:uid="{0F419F37-2CDF-45A7-ADDD-6C4F8B312E3A}"/>
    <cellStyle name="Accent1 7" xfId="677" xr:uid="{D2C36E99-2968-48A5-9955-D443088AEA41}"/>
    <cellStyle name="Accent1 8" xfId="678" xr:uid="{5EBBE41A-7B72-4D46-B915-F8291A1FF85E}"/>
    <cellStyle name="Accent1 9" xfId="679" xr:uid="{14B68915-9717-4E88-B89E-913146CA40A3}"/>
    <cellStyle name="Accent2 10" xfId="680" xr:uid="{B14CB59E-2E06-452E-943F-694AA415A66A}"/>
    <cellStyle name="Accent2 11" xfId="681" xr:uid="{4819EC8F-A5E4-46CD-9840-D898F178DE93}"/>
    <cellStyle name="Accent2 12" xfId="682" xr:uid="{18B5ABDD-2130-4122-A2B3-FEF418B60648}"/>
    <cellStyle name="Accent2 13" xfId="683" xr:uid="{43AD0B6A-1663-4E8F-9410-2F433A92D029}"/>
    <cellStyle name="Accent2 14" xfId="684" xr:uid="{C81D8ABA-54CD-47EB-83FF-0E3DBE9F7C66}"/>
    <cellStyle name="Accent2 15" xfId="685" xr:uid="{CB261CBB-5403-4FFF-99A1-3F4275401D37}"/>
    <cellStyle name="Accent2 16" xfId="686" xr:uid="{11B93A44-5044-4436-8F75-0E8A11CDBCA0}"/>
    <cellStyle name="Accent2 17" xfId="687" xr:uid="{EAADB143-4883-4D76-841E-9641C992115E}"/>
    <cellStyle name="Accent2 18" xfId="688" xr:uid="{F7FFF345-19D7-4647-9AAA-8398520454E8}"/>
    <cellStyle name="Accent2 18 2" xfId="689" xr:uid="{D8A71E7B-78B5-4F97-A4ED-AD63506BE5EC}"/>
    <cellStyle name="Accent2 19" xfId="690" xr:uid="{AD316BAA-CCC4-4751-BA40-E51757705A73}"/>
    <cellStyle name="Accent2 19 2" xfId="691" xr:uid="{7A3152E5-CD6D-4EDE-BC34-490EF81946D0}"/>
    <cellStyle name="Accent2 2" xfId="692" xr:uid="{9314723C-A53C-4983-AC84-D57A40EB708B}"/>
    <cellStyle name="Accent2 2 2" xfId="693" xr:uid="{F8E92628-6BBF-402E-AA4E-DFD67E385AAD}"/>
    <cellStyle name="Accent2 2 2 2" xfId="6487" xr:uid="{821E8C0C-D8E0-410D-AAF4-289C31EAA7EC}"/>
    <cellStyle name="Accent2 3" xfId="694" xr:uid="{DC9A2026-D1DE-45CA-AB54-6ED8475D824E}"/>
    <cellStyle name="Accent2 4" xfId="695" xr:uid="{B7777391-3FAB-41F4-9F3A-28E6A2D1C423}"/>
    <cellStyle name="Accent2 5" xfId="696" xr:uid="{02AD1675-D695-44DF-AE9B-B34461C831C0}"/>
    <cellStyle name="Accent2 6" xfId="697" xr:uid="{1020165B-A5E1-407A-9A6C-52D5A797289E}"/>
    <cellStyle name="Accent2 7" xfId="698" xr:uid="{9A288243-566E-4C15-AF17-AA9B6309074D}"/>
    <cellStyle name="Accent2 8" xfId="699" xr:uid="{35B2581D-BE7F-48B7-BFAC-C206E3625293}"/>
    <cellStyle name="Accent2 9" xfId="700" xr:uid="{E18C43E0-C586-4C24-ACEC-60F6F01E790D}"/>
    <cellStyle name="Accent3 10" xfId="701" xr:uid="{64A1F241-042F-4CB2-AF50-97AD37591368}"/>
    <cellStyle name="Accent3 11" xfId="702" xr:uid="{D113A858-B740-4FFE-B0A9-CB4D9EC6DDF1}"/>
    <cellStyle name="Accent3 12" xfId="703" xr:uid="{01B552D5-16E2-4EFA-8742-39F9FBE70690}"/>
    <cellStyle name="Accent3 13" xfId="704" xr:uid="{BA5E069D-7774-4C37-B4A3-969FD0E304AB}"/>
    <cellStyle name="Accent3 14" xfId="705" xr:uid="{1E018890-E846-4278-8D6B-7DB43BED470C}"/>
    <cellStyle name="Accent3 15" xfId="706" xr:uid="{E5BD8511-D815-417B-99BD-075CFFB3DDD6}"/>
    <cellStyle name="Accent3 16" xfId="707" xr:uid="{AA6085D3-F802-456E-91EF-4C28F3E6A626}"/>
    <cellStyle name="Accent3 17" xfId="708" xr:uid="{FBB7E397-143A-4F53-9D54-4A649D86008C}"/>
    <cellStyle name="Accent3 18" xfId="709" xr:uid="{6BAABDF3-C7F8-489D-90BF-DA07A66E341C}"/>
    <cellStyle name="Accent3 18 2" xfId="710" xr:uid="{47D48DCF-EBA0-4BB3-914A-B737C0D4B261}"/>
    <cellStyle name="Accent3 19" xfId="711" xr:uid="{603EB8EA-DB55-442D-B4C6-6210C63606AC}"/>
    <cellStyle name="Accent3 19 2" xfId="712" xr:uid="{B980AB1F-AF5A-42FC-9D14-5D52F3E850FB}"/>
    <cellStyle name="Accent3 2" xfId="713" xr:uid="{2B6CDAD2-DAE3-48B3-B154-BE5F8E90C9CA}"/>
    <cellStyle name="Accent3 2 2" xfId="714" xr:uid="{D0AC0B17-31CA-4519-9EEB-ECB242B3C5A0}"/>
    <cellStyle name="Accent3 2 2 2" xfId="6488" xr:uid="{103449E5-E916-4220-8D1E-0597CD3F702D}"/>
    <cellStyle name="Accent3 3" xfId="715" xr:uid="{2E54C096-3DFE-4166-9ED6-17B110F11F54}"/>
    <cellStyle name="Accent3 4" xfId="716" xr:uid="{FCADC583-D05A-4407-AD33-65E24E31D6D3}"/>
    <cellStyle name="Accent3 5" xfId="717" xr:uid="{33EA4ECA-92F1-4054-978A-5E21711F8471}"/>
    <cellStyle name="Accent3 6" xfId="718" xr:uid="{9035F16B-0E47-40B0-8539-E1F1C68D8303}"/>
    <cellStyle name="Accent3 7" xfId="719" xr:uid="{5D04EB9D-CFAF-4CD7-8F71-CBEC2EB21A5B}"/>
    <cellStyle name="Accent3 8" xfId="720" xr:uid="{D60B8386-0D86-45BF-85E0-642A822B047E}"/>
    <cellStyle name="Accent3 9" xfId="721" xr:uid="{48220157-BFDC-4781-A2A3-670FCD3C6F90}"/>
    <cellStyle name="Accent4 10" xfId="722" xr:uid="{90F7EF66-9F65-4852-AE6F-F84EEB4E1A69}"/>
    <cellStyle name="Accent4 11" xfId="723" xr:uid="{67ABA6DC-9221-459E-B7D1-D6FA5F0BCDBC}"/>
    <cellStyle name="Accent4 12" xfId="724" xr:uid="{DB288252-4B4B-49E1-9551-4930D7F8E4D5}"/>
    <cellStyle name="Accent4 13" xfId="725" xr:uid="{AF45C94B-0308-4A41-AEEE-AA7E6400D982}"/>
    <cellStyle name="Accent4 14" xfId="726" xr:uid="{C1DFDA4A-B751-4130-88AF-CE7C39F58CCD}"/>
    <cellStyle name="Accent4 15" xfId="727" xr:uid="{5BB17E5A-CADC-4ABE-8C9E-23CEA586885C}"/>
    <cellStyle name="Accent4 16" xfId="728" xr:uid="{F3F5CCC0-A822-4276-B0D4-D14C4AE26639}"/>
    <cellStyle name="Accent4 17" xfId="729" xr:uid="{386779D0-8416-4F6E-A93B-72A185F0FC14}"/>
    <cellStyle name="Accent4 18" xfId="730" xr:uid="{F4BCF107-2220-41C7-9EEE-BF1F4DBA4DFF}"/>
    <cellStyle name="Accent4 18 2" xfId="731" xr:uid="{72360826-1756-4F29-98DC-89976EAC856C}"/>
    <cellStyle name="Accent4 19" xfId="732" xr:uid="{6A82D992-F93C-43B0-B85D-5A36B04AC39C}"/>
    <cellStyle name="Accent4 19 2" xfId="733" xr:uid="{7CCC6481-9900-4FF4-AA3C-685AB21ED009}"/>
    <cellStyle name="Accent4 2" xfId="734" xr:uid="{436538AA-BE38-4BEB-A5B1-DF59340AAA9A}"/>
    <cellStyle name="Accent4 2 2" xfId="735" xr:uid="{938658AB-1FF5-42C1-A800-5726B89F374D}"/>
    <cellStyle name="Accent4 2 2 2" xfId="6489" xr:uid="{E924826D-4EE9-471C-983E-BE45B811373D}"/>
    <cellStyle name="Accent4 3" xfId="736" xr:uid="{4DF53362-5FE6-44FF-B9B2-D084DBCB0959}"/>
    <cellStyle name="Accent4 4" xfId="737" xr:uid="{4E345F02-03C2-45ED-B337-701C4F940A37}"/>
    <cellStyle name="Accent4 5" xfId="738" xr:uid="{EB50C452-D941-43A9-B437-4F17D77ECA11}"/>
    <cellStyle name="Accent4 6" xfId="739" xr:uid="{42CEBBD1-8206-4AD2-82A8-90BA2FF03837}"/>
    <cellStyle name="Accent4 7" xfId="740" xr:uid="{FB252B6A-BAED-4D7A-ADE9-E293A62DB7EB}"/>
    <cellStyle name="Accent4 8" xfId="741" xr:uid="{54047C28-EC4E-44D9-9F0C-3F2C1081C37A}"/>
    <cellStyle name="Accent4 9" xfId="742" xr:uid="{0A4CA40E-7E32-46E5-9356-61B34100198B}"/>
    <cellStyle name="Accent5 10" xfId="743" xr:uid="{D43432A5-7F14-4191-A964-EA225C6F3641}"/>
    <cellStyle name="Accent5 11" xfId="744" xr:uid="{C4804D9C-BD19-40B3-B05D-B148D14EB854}"/>
    <cellStyle name="Accent5 12" xfId="745" xr:uid="{3E2846EE-7ABD-4330-AF67-A2D9EA8542EE}"/>
    <cellStyle name="Accent5 13" xfId="746" xr:uid="{AF07A9E8-57E6-4D9A-BC8E-56DD000CE1D0}"/>
    <cellStyle name="Accent5 14" xfId="747" xr:uid="{C3B096F0-A019-49CE-859E-043B2324196D}"/>
    <cellStyle name="Accent5 15" xfId="748" xr:uid="{902EEF02-8FAD-4582-9BD3-3895DA73185E}"/>
    <cellStyle name="Accent5 16" xfId="749" xr:uid="{D69DA1E8-E489-486B-87EE-1E563AAD8C97}"/>
    <cellStyle name="Accent5 17" xfId="750" xr:uid="{0256E9E5-CECC-4562-823A-ECB5D81D4716}"/>
    <cellStyle name="Accent5 18" xfId="751" xr:uid="{F514FB9C-6E02-49C1-BD1A-ED1CB67A6496}"/>
    <cellStyle name="Accent5 18 2" xfId="752" xr:uid="{4F0B3E2B-A1B4-4D09-BED2-C2C548AB1A3D}"/>
    <cellStyle name="Accent5 19" xfId="753" xr:uid="{AEA0D05A-A99D-4FAF-BFE9-21F875340F27}"/>
    <cellStyle name="Accent5 19 2" xfId="754" xr:uid="{7CB16B05-2905-4387-834A-B8F5A129FEBD}"/>
    <cellStyle name="Accent5 2" xfId="755" xr:uid="{6419A652-35BF-4D1D-B954-42D40B02DDB2}"/>
    <cellStyle name="Accent5 2 2" xfId="756" xr:uid="{8327029B-AD8C-491C-97F5-62B6F4F28B24}"/>
    <cellStyle name="Accent5 2 2 2" xfId="6490" xr:uid="{DEFA1B84-D4A8-4C08-9D13-E576354C96A5}"/>
    <cellStyle name="Accent5 3" xfId="757" xr:uid="{A0F64D30-6DDF-4E00-ABCC-A07EDCCE9104}"/>
    <cellStyle name="Accent5 4" xfId="758" xr:uid="{717880FB-D8CD-4917-8473-F510F4714080}"/>
    <cellStyle name="Accent5 5" xfId="759" xr:uid="{3B1F5F77-DD60-4CAF-A94B-6A1D4A685B77}"/>
    <cellStyle name="Accent5 6" xfId="760" xr:uid="{E27BD0C4-E81F-4F46-ACAE-B890253474AB}"/>
    <cellStyle name="Accent5 7" xfId="761" xr:uid="{D19621CD-B423-48FD-BCFC-25FDBE158973}"/>
    <cellStyle name="Accent5 8" xfId="762" xr:uid="{AD6A7C1F-5077-44F2-B3C9-FE235141A1D9}"/>
    <cellStyle name="Accent5 9" xfId="763" xr:uid="{7759D231-DA77-4D5E-8247-03492B277637}"/>
    <cellStyle name="Accent6 10" xfId="764" xr:uid="{C6C1B6AC-17C1-4D0B-B993-51DF719CAB51}"/>
    <cellStyle name="Accent6 11" xfId="765" xr:uid="{F05F3E8F-3C1D-4A9E-8721-828F402FFA88}"/>
    <cellStyle name="Accent6 12" xfId="766" xr:uid="{B5EF06F2-6DA7-43EC-93F0-54973DDF9ACB}"/>
    <cellStyle name="Accent6 13" xfId="767" xr:uid="{15949D33-D3F2-415E-85A0-1C51503D5948}"/>
    <cellStyle name="Accent6 14" xfId="768" xr:uid="{6DDDE3C5-D1AC-4F1D-9A0C-5CF88D1E25D5}"/>
    <cellStyle name="Accent6 15" xfId="769" xr:uid="{86107C0C-9064-4EDC-B3D6-CEBDBDF222F7}"/>
    <cellStyle name="Accent6 16" xfId="770" xr:uid="{F39855C9-0924-4A24-920B-7526408A2535}"/>
    <cellStyle name="Accent6 17" xfId="771" xr:uid="{9F5EFC2F-FCF3-42CF-9D99-9C8B9DA0A065}"/>
    <cellStyle name="Accent6 18" xfId="772" xr:uid="{FCB250CC-2220-4958-9A61-A7403F600493}"/>
    <cellStyle name="Accent6 18 2" xfId="773" xr:uid="{96DC7C38-DBDD-48D3-BCD0-13FD8FCAEB58}"/>
    <cellStyle name="Accent6 19" xfId="774" xr:uid="{02B53B53-D0A7-4EEA-A50A-B4D422B22BED}"/>
    <cellStyle name="Accent6 19 2" xfId="775" xr:uid="{D3B2025C-35B3-47E2-AEF7-1614EE9F8C7F}"/>
    <cellStyle name="Accent6 2" xfId="776" xr:uid="{91ED068B-2284-401D-961D-89523C992338}"/>
    <cellStyle name="Accent6 2 2" xfId="777" xr:uid="{41E9FC41-D2F4-4BBD-B02E-BB989C2709DC}"/>
    <cellStyle name="Accent6 2 2 2" xfId="6491" xr:uid="{3D83CA54-33BF-4FF5-89D4-224922F41B2D}"/>
    <cellStyle name="Accent6 3" xfId="778" xr:uid="{B6D3EBA7-AAAB-4EC7-9B29-329E6A4ED425}"/>
    <cellStyle name="Accent6 4" xfId="779" xr:uid="{D9CBA939-6AD6-4219-829E-46D560CA55BD}"/>
    <cellStyle name="Accent6 5" xfId="780" xr:uid="{06D2B788-0015-40C4-A520-AE7D2F843009}"/>
    <cellStyle name="Accent6 6" xfId="781" xr:uid="{5B5AA22B-63F2-4C23-88FE-ED98FB8AA555}"/>
    <cellStyle name="Accent6 7" xfId="782" xr:uid="{3839F215-35F1-446E-8E64-38CF03ACD04D}"/>
    <cellStyle name="Accent6 8" xfId="783" xr:uid="{85C4DB2F-9F1C-40A9-ACDA-04BAB3E98A3A}"/>
    <cellStyle name="Accent6 9" xfId="784" xr:uid="{A6FB98AD-B967-4D00-AA5E-071A66257E59}"/>
    <cellStyle name="Atdalītāji 2" xfId="785" xr:uid="{071998F1-F402-45A8-BA3C-F57777FDB190}"/>
    <cellStyle name="Atdalītāji 2 2" xfId="6968" xr:uid="{0AA6EC8D-31BD-4C06-9A81-7868E1FBB31D}"/>
    <cellStyle name="Atdalītāji 2 2 2" xfId="8607" xr:uid="{1BAC95AE-9FD4-4492-A171-1B3BC9F99348}"/>
    <cellStyle name="Bad 10" xfId="786" xr:uid="{8A47F48D-A9F3-41DA-BA0E-856937A1FEEA}"/>
    <cellStyle name="Bad 11" xfId="787" xr:uid="{DBAA9E27-16E8-4956-A74C-7873E1AC1155}"/>
    <cellStyle name="Bad 12" xfId="788" xr:uid="{34E154AC-9C65-4E91-854D-B4450003D384}"/>
    <cellStyle name="Bad 13" xfId="789" xr:uid="{F48D342D-83EC-4A50-ADC3-14A186C8838A}"/>
    <cellStyle name="Bad 14" xfId="790" xr:uid="{B9C0AA13-4FD3-4BA2-AC23-408EA6771209}"/>
    <cellStyle name="Bad 15" xfId="791" xr:uid="{5B7A667C-F29B-46A4-B6CD-AFB08AFA291B}"/>
    <cellStyle name="Bad 16" xfId="792" xr:uid="{B52F64EE-D881-4209-AB68-A32BE8B1FADB}"/>
    <cellStyle name="Bad 17" xfId="793" xr:uid="{6C2B8E58-3C16-4E7D-83A9-02EF5FC194DB}"/>
    <cellStyle name="Bad 18" xfId="794" xr:uid="{1CC01D67-A808-4A7C-99B8-5B1617772689}"/>
    <cellStyle name="Bad 18 2" xfId="795" xr:uid="{2F7F71E6-7230-482D-8078-1921F8AEF8C8}"/>
    <cellStyle name="Bad 19" xfId="796" xr:uid="{6F4113A2-4F26-47D6-BBD0-7D56BF2F6F04}"/>
    <cellStyle name="Bad 19 2" xfId="797" xr:uid="{87FDF314-1DD7-4702-A681-782DD7AF21BD}"/>
    <cellStyle name="Bad 2" xfId="798" xr:uid="{8BDA417C-2354-4549-9623-6ED62B3DB1C6}"/>
    <cellStyle name="Bad 2 2" xfId="799" xr:uid="{E0C449A0-D6FB-4351-913A-6B6EC2318BAC}"/>
    <cellStyle name="Bad 2 2 2" xfId="6492" xr:uid="{4731DE8B-1078-4F90-9B97-A956FBCFC90E}"/>
    <cellStyle name="Bad 3" xfId="800" xr:uid="{A95A18BB-8BCA-4F5B-AE15-6E79EB47C951}"/>
    <cellStyle name="Bad 4" xfId="801" xr:uid="{8A3788D4-103E-4CC0-8AC2-9830221D4EC4}"/>
    <cellStyle name="Bad 5" xfId="802" xr:uid="{B3DF66DC-723B-476A-8AE0-9A4CEDA12E14}"/>
    <cellStyle name="Bad 6" xfId="803" xr:uid="{87A7FA96-3E92-4925-9D08-AB47E69B2672}"/>
    <cellStyle name="Bad 7" xfId="804" xr:uid="{A922ABBB-8141-42A0-B56C-30CCE9E2B5CA}"/>
    <cellStyle name="Bad 8" xfId="805" xr:uid="{7198C35C-9401-4DF4-8EEA-6BBB8DB0491F}"/>
    <cellStyle name="Bad 9" xfId="806" xr:uid="{7BA0ADD6-8529-424B-B1D1-4923DEA51A65}"/>
    <cellStyle name="Calculation 10" xfId="807" xr:uid="{1D4BA5C7-A5D4-4905-A60A-E348E49B9554}"/>
    <cellStyle name="Calculation 10 10" xfId="10333" xr:uid="{7058B829-319A-4D74-B81B-68604ABB4556}"/>
    <cellStyle name="Calculation 10 11" xfId="11736" xr:uid="{B10EC201-C5C0-4512-98A5-F2937D2C504D}"/>
    <cellStyle name="Calculation 10 12" xfId="11052" xr:uid="{E79F66D5-A6BC-4742-BAD2-4611A110D68E}"/>
    <cellStyle name="Calculation 10 2" xfId="6883" xr:uid="{2805ABDC-AE8D-4EE2-85ED-B6D658534742}"/>
    <cellStyle name="Calculation 10 2 10" xfId="11285" xr:uid="{C1C57E0B-2816-426E-BAE5-913052CC276C}"/>
    <cellStyle name="Calculation 10 2 11" xfId="12023" xr:uid="{44BD444D-EC0F-422C-8DF2-D1B0F5C2282F}"/>
    <cellStyle name="Calculation 10 2 2" xfId="7216" xr:uid="{6443D3C0-8ACD-4793-B09E-2ADED880B298}"/>
    <cellStyle name="Calculation 10 2 2 10" xfId="17347" xr:uid="{5AC9ACE4-B15E-4AFC-9DD2-F7BB84EACB55}"/>
    <cellStyle name="Calculation 10 2 2 2" xfId="8856" xr:uid="{5D5F0F92-DE4B-4160-B421-833AF3C6ABDA}"/>
    <cellStyle name="Calculation 10 2 2 2 2" xfId="13507" xr:uid="{EA7B42AB-9B81-4BAB-A691-AE66454D7526}"/>
    <cellStyle name="Calculation 10 2 2 2 3" xfId="14511" xr:uid="{3441EE20-1736-40E5-8716-7BD2C82A1D0B}"/>
    <cellStyle name="Calculation 10 2 2 2 4" xfId="15469" xr:uid="{10570E21-3E2D-4B06-BE98-B7842DFBFBFE}"/>
    <cellStyle name="Calculation 10 2 2 2 5" xfId="16394" xr:uid="{93086928-A4B9-4C33-A0F0-9022D4D53D31}"/>
    <cellStyle name="Calculation 10 2 2 2 6" xfId="17265" xr:uid="{D0217A04-657D-49A0-878E-0CD0EA1BFB01}"/>
    <cellStyle name="Calculation 10 2 2 2 7" xfId="18111" xr:uid="{BCAA8678-C081-4B6E-9BF0-1CAE21A20740}"/>
    <cellStyle name="Calculation 10 2 2 2 8" xfId="18875" xr:uid="{9BEFB19F-AFBA-406B-9FD4-83621C7E63F5}"/>
    <cellStyle name="Calculation 10 2 2 3" xfId="9702" xr:uid="{8EED1A7C-5704-4BA7-9EA0-E91E5803337B}"/>
    <cellStyle name="Calculation 10 2 2 3 2" xfId="14106" xr:uid="{5C94F27A-2A27-4387-8163-977AEB9985C8}"/>
    <cellStyle name="Calculation 10 2 2 3 3" xfId="15066" xr:uid="{2E3A8F88-5F4A-4EC8-9AF9-270254209E39}"/>
    <cellStyle name="Calculation 10 2 2 3 4" xfId="16018" xr:uid="{F595B410-AE76-4C57-998D-736BBE6CA326}"/>
    <cellStyle name="Calculation 10 2 2 3 5" xfId="16892" xr:uid="{3998C5B5-5742-4133-A5FB-7E5EF149BAC5}"/>
    <cellStyle name="Calculation 10 2 2 3 6" xfId="17757" xr:uid="{A2234A52-92D4-4BE9-B645-B9FAB66181EE}"/>
    <cellStyle name="Calculation 10 2 2 3 7" xfId="18533" xr:uid="{976BF56B-B6A4-4842-B8B7-599D9F0E08D7}"/>
    <cellStyle name="Calculation 10 2 2 3 8" xfId="19290" xr:uid="{8886099B-3CBE-46BF-AFD4-A10DFEA8F069}"/>
    <cellStyle name="Calculation 10 2 2 4" xfId="12479" xr:uid="{86983374-6728-487A-A0CF-91E0321D3DE6}"/>
    <cellStyle name="Calculation 10 2 2 5" xfId="10402" xr:uid="{A84841DB-8417-4CEA-9816-6C41F624FA0B}"/>
    <cellStyle name="Calculation 10 2 2 6" xfId="13655" xr:uid="{4A98C425-131C-4A3A-8E94-B187DE3A9BE9}"/>
    <cellStyle name="Calculation 10 2 2 7" xfId="14631" xr:uid="{60906A8E-0AAB-4CE6-A2CB-1497756EB88B}"/>
    <cellStyle name="Calculation 10 2 2 8" xfId="15583" xr:uid="{A10140DF-745E-4199-B7A0-92036BB56C0E}"/>
    <cellStyle name="Calculation 10 2 2 9" xfId="16478" xr:uid="{D12B00D4-62F5-443F-84CF-81B6C20CF3AC}"/>
    <cellStyle name="Calculation 10 2 3" xfId="8523" xr:uid="{2EEE427D-C804-4D71-9606-AFA4EB240DB9}"/>
    <cellStyle name="Calculation 10 2 3 2" xfId="13263" xr:uid="{53B6D3A6-FC47-481D-9B09-01615C74D647}"/>
    <cellStyle name="Calculation 10 2 3 3" xfId="14283" xr:uid="{1BA6D422-CFB1-4D39-BE36-52FA81BA2B84}"/>
    <cellStyle name="Calculation 10 2 3 4" xfId="15243" xr:uid="{D3A22886-3814-492F-8440-4A0E0209C123}"/>
    <cellStyle name="Calculation 10 2 3 5" xfId="16192" xr:uid="{83AA5404-EE84-4E04-BC13-69A0B126C000}"/>
    <cellStyle name="Calculation 10 2 3 6" xfId="17065" xr:uid="{D6F6DD1D-707A-4BC2-AC91-C186A2320F2E}"/>
    <cellStyle name="Calculation 10 2 3 7" xfId="17930" xr:uid="{D7BB440B-4BD4-43BA-B074-58D4E9FE4658}"/>
    <cellStyle name="Calculation 10 2 3 8" xfId="18706" xr:uid="{7E6DAEBB-A01A-4F0A-8B79-8449CC86D076}"/>
    <cellStyle name="Calculation 10 2 4" xfId="9533" xr:uid="{78C601C2-101A-4F93-B568-CA2CA05D8B14}"/>
    <cellStyle name="Calculation 10 2 4 2" xfId="13937" xr:uid="{347E2AB5-DA22-486A-BF4F-7EDE39D532CB}"/>
    <cellStyle name="Calculation 10 2 4 3" xfId="14897" xr:uid="{F2A378B0-67DA-4623-81A4-68B78801C3D4}"/>
    <cellStyle name="Calculation 10 2 4 4" xfId="15849" xr:uid="{A21D909A-DEBC-43D6-A7A4-67C997BD4EA7}"/>
    <cellStyle name="Calculation 10 2 4 5" xfId="16723" xr:uid="{B597DFA2-B909-4B7A-AA94-AE72E2A364BB}"/>
    <cellStyle name="Calculation 10 2 4 6" xfId="17588" xr:uid="{D38AED59-E2BE-4987-A61C-8941CE054786}"/>
    <cellStyle name="Calculation 10 2 4 7" xfId="18364" xr:uid="{E64869F3-6248-4A1A-9F8C-FEA5A907A8D4}"/>
    <cellStyle name="Calculation 10 2 4 8" xfId="19121" xr:uid="{E6B3D432-417D-41A2-9BA5-F1A9E54E3DAE}"/>
    <cellStyle name="Calculation 10 2 5" xfId="12234" xr:uid="{691D5F57-0326-4EB9-B485-BC0594539DD4}"/>
    <cellStyle name="Calculation 10 2 6" xfId="10631" xr:uid="{D1A22F1B-1547-4403-887C-682045BCC9A6}"/>
    <cellStyle name="Calculation 10 2 7" xfId="11680" xr:uid="{B9DC3CD8-324D-43C4-9B18-4DE39AD869CF}"/>
    <cellStyle name="Calculation 10 2 8" xfId="11101" xr:uid="{BBD93AAC-CD74-4E7C-AF02-BEECC5897B41}"/>
    <cellStyle name="Calculation 10 2 9" xfId="11443" xr:uid="{D4BCB1C3-E1E9-426B-B917-CB0BB43D1C4A}"/>
    <cellStyle name="Calculation 10 3" xfId="6969" xr:uid="{B51C91C7-29CD-452F-A0F3-48F3B1DEC2BC}"/>
    <cellStyle name="Calculation 10 3 10" xfId="12552" xr:uid="{9D4024A4-B455-4AFE-BC46-B0B9131914EB}"/>
    <cellStyle name="Calculation 10 3 2" xfId="8608" xr:uid="{2CB01288-B3CF-4872-A915-A9DF55D2C467}"/>
    <cellStyle name="Calculation 10 3 2 2" xfId="13330" xr:uid="{858C1FA3-C8E5-49E8-962D-4AE707E991FB}"/>
    <cellStyle name="Calculation 10 3 2 3" xfId="14344" xr:uid="{4855D7A0-BF47-49B7-A766-791ABCE774CC}"/>
    <cellStyle name="Calculation 10 3 2 4" xfId="15304" xr:uid="{B49A6C5C-7F23-46A3-BBE8-B1AD0CD30DE5}"/>
    <cellStyle name="Calculation 10 3 2 5" xfId="16248" xr:uid="{6DDA0845-A62D-4DE8-813C-493DF1D9A023}"/>
    <cellStyle name="Calculation 10 3 2 6" xfId="17121" xr:uid="{1F7B2040-107F-4BA8-9870-86E7F59C852F}"/>
    <cellStyle name="Calculation 10 3 2 7" xfId="17986" xr:uid="{62F4AA74-1D33-4727-8FD5-879783CA6B28}"/>
    <cellStyle name="Calculation 10 3 2 8" xfId="18761" xr:uid="{95BC920A-92A5-4CA2-8F28-BAC4CC4A92A3}"/>
    <cellStyle name="Calculation 10 3 3" xfId="9588" xr:uid="{9C2E130E-91E5-4589-81ED-96421F12E5B5}"/>
    <cellStyle name="Calculation 10 3 3 2" xfId="13992" xr:uid="{6C4D7BCA-0612-4A79-AD24-DE6DA573F036}"/>
    <cellStyle name="Calculation 10 3 3 3" xfId="14952" xr:uid="{A7E5666E-3BE9-45EE-8D92-7C5F9BF2A005}"/>
    <cellStyle name="Calculation 10 3 3 4" xfId="15904" xr:uid="{668020A0-DAD4-473C-B111-6C04C94752CB}"/>
    <cellStyle name="Calculation 10 3 3 5" xfId="16778" xr:uid="{CEFDCEC7-A195-4301-B50E-59FCC2EF160C}"/>
    <cellStyle name="Calculation 10 3 3 6" xfId="17643" xr:uid="{7786AC8B-F7B4-48DC-B623-4A3CF75B978A}"/>
    <cellStyle name="Calculation 10 3 3 7" xfId="18419" xr:uid="{EC64D10E-0076-452A-874C-28EEC474CED1}"/>
    <cellStyle name="Calculation 10 3 3 8" xfId="19176" xr:uid="{B9DD1AE2-C191-492D-BEB7-8BC19E73EA6A}"/>
    <cellStyle name="Calculation 10 3 4" xfId="12303" xr:uid="{B0A359B6-22C0-4396-8D4E-75B0C60BC2A3}"/>
    <cellStyle name="Calculation 10 3 5" xfId="10567" xr:uid="{B6645C1D-BE1A-4394-9388-7BD7418AAD13}"/>
    <cellStyle name="Calculation 10 3 6" xfId="12094" xr:uid="{90F3F5A0-A8D5-4FFC-A761-7F4601CB6290}"/>
    <cellStyle name="Calculation 10 3 7" xfId="10758" xr:uid="{D9FC566F-C07E-4B7D-BA83-5C28496A9A47}"/>
    <cellStyle name="Calculation 10 3 8" xfId="11656" xr:uid="{0C0846C9-D38E-4C6A-9A44-5A28CA6C4C29}"/>
    <cellStyle name="Calculation 10 3 9" xfId="11122" xr:uid="{F8BC0306-A966-462A-8DB0-2AB5B1D270BB}"/>
    <cellStyle name="Calculation 10 4" xfId="7770" xr:uid="{1A5F4040-4488-4D37-9E17-15ECC6BE3244}"/>
    <cellStyle name="Calculation 10 4 2" xfId="12797" xr:uid="{51861606-AEDD-4A55-98E5-076B6174DD5F}"/>
    <cellStyle name="Calculation 10 4 3" xfId="12302" xr:uid="{CF98FCA0-8E01-4779-8792-5FFD7C14AF87}"/>
    <cellStyle name="Calculation 10 4 4" xfId="10568" xr:uid="{890B8881-6001-435C-A7D0-55CBE2C8F3F3}"/>
    <cellStyle name="Calculation 10 4 5" xfId="13125" xr:uid="{DC0741C7-D7BA-4473-A623-B0AD800E8329}"/>
    <cellStyle name="Calculation 10 4 6" xfId="9902" xr:uid="{6F8C42D7-820C-4FF1-A795-7661FDD92B95}"/>
    <cellStyle name="Calculation 10 4 7" xfId="14221" xr:uid="{3623C4F9-AE2B-4F79-8849-0860E6E94A56}"/>
    <cellStyle name="Calculation 10 4 8" xfId="15181" xr:uid="{EC78AB5B-D1A7-4780-9B7C-704D64209A1D}"/>
    <cellStyle name="Calculation 10 5" xfId="7911" xr:uid="{0FF7AEFF-69FC-421B-9828-09F988D13CAA}"/>
    <cellStyle name="Calculation 10 5 2" xfId="12904" xr:uid="{7774D128-329E-4560-949F-2AFB477A0134}"/>
    <cellStyle name="Calculation 10 5 3" xfId="12015" xr:uid="{015B51A2-6C40-4F43-9C82-CAE8AB6BB28D}"/>
    <cellStyle name="Calculation 10 5 4" xfId="10818" xr:uid="{E72A8596-B9BD-4ECD-9F72-23C6BB7C3CF8}"/>
    <cellStyle name="Calculation 10 5 5" xfId="11602" xr:uid="{53FDB19F-1BAF-461B-8BE9-B3B92A2C9D27}"/>
    <cellStyle name="Calculation 10 5 6" xfId="11157" xr:uid="{B7E0F62B-1D75-49DA-8211-5BE0821BDE23}"/>
    <cellStyle name="Calculation 10 5 7" xfId="12546" xr:uid="{119BD1B7-33BA-4F88-A644-2E7314A8B593}"/>
    <cellStyle name="Calculation 10 5 8" xfId="10342" xr:uid="{53E3B9AB-DE3E-477C-8148-412F25CBB99E}"/>
    <cellStyle name="Calculation 10 6" xfId="10182" xr:uid="{CB2A92D7-57B1-41F9-8187-A789E49CB87C}"/>
    <cellStyle name="Calculation 10 7" xfId="11777" xr:uid="{DBAA6AF8-42DC-47A7-BD07-3C5699167C4A}"/>
    <cellStyle name="Calculation 10 8" xfId="11025" xr:uid="{10BF2657-E2A6-4AFC-950D-3A4FD93F4737}"/>
    <cellStyle name="Calculation 10 9" xfId="12566" xr:uid="{C31CCC25-F10F-4084-882B-1C6A2A83EAA4}"/>
    <cellStyle name="Calculation 11" xfId="808" xr:uid="{F99BDD7B-5812-440B-819B-DE1568B912E1}"/>
    <cellStyle name="Calculation 11 10" xfId="10783" xr:uid="{87E890C3-5440-45C1-A129-179A539720E1}"/>
    <cellStyle name="Calculation 11 11" xfId="11632" xr:uid="{EC96847E-079C-4BCD-A8D3-87F636074B9B}"/>
    <cellStyle name="Calculation 11 12" xfId="11137" xr:uid="{AD881175-2153-409D-BE13-5EEA1CE9C8C6}"/>
    <cellStyle name="Calculation 11 2" xfId="6882" xr:uid="{DDC7D860-1E34-4AAF-8E5A-55B78B5E9330}"/>
    <cellStyle name="Calculation 11 2 10" xfId="10711" xr:uid="{988E1AF7-C4A0-4115-BD8D-9AFA16DFAE86}"/>
    <cellStyle name="Calculation 11 2 11" xfId="12076" xr:uid="{03528F0C-E3CA-4CFB-A0DD-124F971A4B92}"/>
    <cellStyle name="Calculation 11 2 2" xfId="7217" xr:uid="{378E8C70-050D-4D9A-B34E-B349BEAF29CA}"/>
    <cellStyle name="Calculation 11 2 2 10" xfId="11505" xr:uid="{3F45A341-1EE8-42EC-A965-A71EFF9855E2}"/>
    <cellStyle name="Calculation 11 2 2 2" xfId="8857" xr:uid="{9FFC478F-7609-46C2-8301-ABC56AC1ABFD}"/>
    <cellStyle name="Calculation 11 2 2 2 2" xfId="13508" xr:uid="{0CAC4D76-D1F2-418E-9AEB-B7608A2D3614}"/>
    <cellStyle name="Calculation 11 2 2 2 3" xfId="14512" xr:uid="{1FE5C3E0-2BD2-47AD-9EA9-5FD9CD25AFF4}"/>
    <cellStyle name="Calculation 11 2 2 2 4" xfId="15470" xr:uid="{A87CFAC1-EA1D-44CA-AF4F-D2D1635FD709}"/>
    <cellStyle name="Calculation 11 2 2 2 5" xfId="16395" xr:uid="{6EB5A38C-5416-463B-9897-C3A3162B35EA}"/>
    <cellStyle name="Calculation 11 2 2 2 6" xfId="17266" xr:uid="{FF5081C3-78A9-4F9C-BE49-58B779AEEA8C}"/>
    <cellStyle name="Calculation 11 2 2 2 7" xfId="18112" xr:uid="{3DA00086-9F33-4CA5-9B97-349DAB619737}"/>
    <cellStyle name="Calculation 11 2 2 2 8" xfId="18876" xr:uid="{6DC8F55E-B8D8-4546-8B4F-2EAB08A3C85A}"/>
    <cellStyle name="Calculation 11 2 2 3" xfId="9703" xr:uid="{4A5F7845-3076-4431-BB97-E60F0F10F416}"/>
    <cellStyle name="Calculation 11 2 2 3 2" xfId="14107" xr:uid="{B54C0FA9-150D-4461-B551-8947D315CC31}"/>
    <cellStyle name="Calculation 11 2 2 3 3" xfId="15067" xr:uid="{BF715456-FEB2-4233-82DF-AD6F11693224}"/>
    <cellStyle name="Calculation 11 2 2 3 4" xfId="16019" xr:uid="{F3DC2EDC-EACA-48E4-B733-BEECDD3BB31E}"/>
    <cellStyle name="Calculation 11 2 2 3 5" xfId="16893" xr:uid="{93EBC983-784C-4B37-90D7-6C6237936300}"/>
    <cellStyle name="Calculation 11 2 2 3 6" xfId="17758" xr:uid="{C724A189-0264-46E4-AB94-C1667D21CF2D}"/>
    <cellStyle name="Calculation 11 2 2 3 7" xfId="18534" xr:uid="{98C7BA51-A81F-49D9-9DC0-D2842B794D77}"/>
    <cellStyle name="Calculation 11 2 2 3 8" xfId="19291" xr:uid="{63881D15-1606-4E17-9F77-D1140400255E}"/>
    <cellStyle name="Calculation 11 2 2 4" xfId="12480" xr:uid="{04665070-3596-4054-BBE4-F8AA9E32B5C1}"/>
    <cellStyle name="Calculation 11 2 2 5" xfId="10401" xr:uid="{B1DD399B-4F4A-443B-A00B-1802B43FFEDB}"/>
    <cellStyle name="Calculation 11 2 2 6" xfId="13146" xr:uid="{EE103F5D-69EE-44CC-B4B6-EB4FCA22E144}"/>
    <cellStyle name="Calculation 11 2 2 7" xfId="9884" xr:uid="{189D0490-F130-4F13-8E27-07E25ED0B383}"/>
    <cellStyle name="Calculation 11 2 2 8" xfId="11886" xr:uid="{0CCE6348-E794-4935-83FA-FDD8CFA3EB02}"/>
    <cellStyle name="Calculation 11 2 2 9" xfId="10927" xr:uid="{FBEC1666-4C45-4B44-9361-78276445F055}"/>
    <cellStyle name="Calculation 11 2 3" xfId="8522" xr:uid="{76713C22-CC1A-4641-BFCD-518A89EFC27B}"/>
    <cellStyle name="Calculation 11 2 3 2" xfId="13262" xr:uid="{AC0F4A73-1834-45DA-9112-3D5E4515AAF1}"/>
    <cellStyle name="Calculation 11 2 3 3" xfId="14282" xr:uid="{A9E31824-813B-42BB-ACA8-AEEC5FB47D47}"/>
    <cellStyle name="Calculation 11 2 3 4" xfId="15242" xr:uid="{18F1C2E9-AB79-45A2-9EFE-230F2392273C}"/>
    <cellStyle name="Calculation 11 2 3 5" xfId="16191" xr:uid="{F71B033F-1B5E-4A3D-A69E-E1FAFB81061F}"/>
    <cellStyle name="Calculation 11 2 3 6" xfId="17064" xr:uid="{587AEA57-CADE-4CC9-BD8C-33AB165B2EED}"/>
    <cellStyle name="Calculation 11 2 3 7" xfId="17929" xr:uid="{AB859A09-AD21-4A6E-8686-4BD278A97A42}"/>
    <cellStyle name="Calculation 11 2 3 8" xfId="18705" xr:uid="{8FEF4078-5715-4635-88DD-B475BAD83A20}"/>
    <cellStyle name="Calculation 11 2 4" xfId="9532" xr:uid="{937D28FE-C2CB-45C5-97DE-5858EC592C9D}"/>
    <cellStyle name="Calculation 11 2 4 2" xfId="13936" xr:uid="{81EDACF7-7EF9-4045-A1CF-41E337600EB0}"/>
    <cellStyle name="Calculation 11 2 4 3" xfId="14896" xr:uid="{E0D85DB1-5D3B-4514-9595-87E8015CAF98}"/>
    <cellStyle name="Calculation 11 2 4 4" xfId="15848" xr:uid="{7F9CF881-39E0-415F-BA5A-124D5A3F5A43}"/>
    <cellStyle name="Calculation 11 2 4 5" xfId="16722" xr:uid="{188D3A42-3F9F-48DE-9A46-EB3166F5AA7E}"/>
    <cellStyle name="Calculation 11 2 4 6" xfId="17587" xr:uid="{D3E30111-41AE-450D-9016-5245A1DEA355}"/>
    <cellStyle name="Calculation 11 2 4 7" xfId="18363" xr:uid="{0196D752-063F-49A4-82B1-1769DC908038}"/>
    <cellStyle name="Calculation 11 2 4 8" xfId="19120" xr:uid="{B4ECC1DD-1F3F-4FCF-B48E-159AC1EADFF3}"/>
    <cellStyle name="Calculation 11 2 5" xfId="12233" xr:uid="{BB99E05E-D3AC-4B60-ADB9-620B7D28FCBC}"/>
    <cellStyle name="Calculation 11 2 6" xfId="10632" xr:uid="{AC921BE6-F6C1-4619-9B75-65B3C75BA0A5}"/>
    <cellStyle name="Calculation 11 2 7" xfId="12914" xr:uid="{34B9B3E7-4B4E-440A-89BF-2A43767BB7F3}"/>
    <cellStyle name="Calculation 11 2 8" xfId="10070" xr:uid="{6B8598D9-10C0-4EC0-B0AC-4B99DCB4F192}"/>
    <cellStyle name="Calculation 11 2 9" xfId="12148" xr:uid="{0F6EDE17-301B-402D-BB0B-36CBD57C3A50}"/>
    <cellStyle name="Calculation 11 3" xfId="6970" xr:uid="{469C190C-626D-416B-AC63-5521294C0899}"/>
    <cellStyle name="Calculation 11 3 10" xfId="12654" xr:uid="{301FB412-987C-4F20-9A66-DFBA0EFF31E7}"/>
    <cellStyle name="Calculation 11 3 2" xfId="8609" xr:uid="{E583823A-DE6D-4C10-9EC8-1F2317AFC965}"/>
    <cellStyle name="Calculation 11 3 2 2" xfId="13331" xr:uid="{6FE61BF0-4CAD-4449-9BB7-D52A11A70F16}"/>
    <cellStyle name="Calculation 11 3 2 3" xfId="14345" xr:uid="{D4B7B796-93D2-49A3-A5DF-9F4565FE9FC9}"/>
    <cellStyle name="Calculation 11 3 2 4" xfId="15305" xr:uid="{540B1DB9-3AB4-4AF3-9354-C27FE6D6BCEB}"/>
    <cellStyle name="Calculation 11 3 2 5" xfId="16249" xr:uid="{B608FA5C-1569-494C-A784-A248A7580DB1}"/>
    <cellStyle name="Calculation 11 3 2 6" xfId="17122" xr:uid="{9BBBA1AF-C539-4783-9F32-AE88E10D14DD}"/>
    <cellStyle name="Calculation 11 3 2 7" xfId="17987" xr:uid="{2920E1E5-EA3C-48F9-BB2A-46A257C5F159}"/>
    <cellStyle name="Calculation 11 3 2 8" xfId="18762" xr:uid="{13590747-8D9E-4651-A090-3AB5D3879EE1}"/>
    <cellStyle name="Calculation 11 3 3" xfId="9589" xr:uid="{35467E86-5F1C-4D02-9CC1-C2BB90D6B4EE}"/>
    <cellStyle name="Calculation 11 3 3 2" xfId="13993" xr:uid="{62756087-23C9-4C91-B282-7BEEE816841E}"/>
    <cellStyle name="Calculation 11 3 3 3" xfId="14953" xr:uid="{9E600589-8D0D-40BF-8D3A-9D4D0E2C55D2}"/>
    <cellStyle name="Calculation 11 3 3 4" xfId="15905" xr:uid="{B5D1DE66-9800-408E-8628-7FEADCD7B0E4}"/>
    <cellStyle name="Calculation 11 3 3 5" xfId="16779" xr:uid="{EAE2601F-6DF5-4266-9799-71B43267B0F0}"/>
    <cellStyle name="Calculation 11 3 3 6" xfId="17644" xr:uid="{F45364B8-8D17-43FE-A452-8E4832BC8B02}"/>
    <cellStyle name="Calculation 11 3 3 7" xfId="18420" xr:uid="{8109BC3F-5068-4C3D-B63C-DD98DC9E988C}"/>
    <cellStyle name="Calculation 11 3 3 8" xfId="19177" xr:uid="{EABD38BE-6466-4A31-BB02-E5D509456416}"/>
    <cellStyle name="Calculation 11 3 4" xfId="12304" xr:uid="{88E4D82B-0EC8-4AEB-8E18-1E06CB967DD5}"/>
    <cellStyle name="Calculation 11 3 5" xfId="10566" xr:uid="{27C2FB8F-DD77-4ED0-A6C2-D08DB631C83F}"/>
    <cellStyle name="Calculation 11 3 6" xfId="12609" xr:uid="{061BEB03-F630-4FF0-B342-0917D40681CB}"/>
    <cellStyle name="Calculation 11 3 7" xfId="10296" xr:uid="{CFAEA5E1-75A9-4A73-8D34-9DEF3C1D4ADD}"/>
    <cellStyle name="Calculation 11 3 8" xfId="12649" xr:uid="{BDB50C61-D870-47D9-B4B1-7C3D890DB168}"/>
    <cellStyle name="Calculation 11 3 9" xfId="10265" xr:uid="{B7FBD7FE-E2EC-4862-9B32-FF75DA8C3A55}"/>
    <cellStyle name="Calculation 11 4" xfId="7771" xr:uid="{173CDC27-4C8A-4ED4-84C9-B1BAFCADF485}"/>
    <cellStyle name="Calculation 11 4 2" xfId="12798" xr:uid="{B5E149EA-FF82-45D3-8B8E-F01217B9832E}"/>
    <cellStyle name="Calculation 11 4 3" xfId="10175" xr:uid="{FA7D2B85-04CB-42CD-B97D-CA5CBE059F79}"/>
    <cellStyle name="Calculation 11 4 4" xfId="11784" xr:uid="{576B2DCC-403C-4926-8A26-CAD8193E6479}"/>
    <cellStyle name="Calculation 11 4 5" xfId="11020" xr:uid="{2CF96DBC-0BEE-475D-9BB2-B8227C60CA1A}"/>
    <cellStyle name="Calculation 11 4 6" xfId="13098" xr:uid="{D3FFAE89-DCE9-49EE-8BBD-F3F90DA4167F}"/>
    <cellStyle name="Calculation 11 4 7" xfId="9923" xr:uid="{FF56B713-3D79-4070-B1A8-4B7549989FB4}"/>
    <cellStyle name="Calculation 11 4 8" xfId="13319" xr:uid="{0FE26CA4-F953-43B3-AE78-312B18DFECE3}"/>
    <cellStyle name="Calculation 11 5" xfId="7910" xr:uid="{806F2810-8697-48F2-85E1-77BD78B73CDF}"/>
    <cellStyle name="Calculation 11 5 2" xfId="12903" xr:uid="{89078C0E-D7E9-423A-8C04-4CE327B78117}"/>
    <cellStyle name="Calculation 11 5 3" xfId="10078" xr:uid="{3EB76639-0B32-414F-BEDB-AEE9B36316C7}"/>
    <cellStyle name="Calculation 11 5 4" xfId="12146" xr:uid="{B5AEB350-997A-4072-8B8C-84DADF5BCF02}"/>
    <cellStyle name="Calculation 11 5 5" xfId="10712" xr:uid="{D4701C84-D31E-4E05-9565-2C0BEFED593F}"/>
    <cellStyle name="Calculation 11 5 6" xfId="11666" xr:uid="{2E366D3A-02A6-48AB-B334-E3A8576551C6}"/>
    <cellStyle name="Calculation 11 5 7" xfId="11114" xr:uid="{7B853191-17DD-4CDE-8CCC-118BCB524154}"/>
    <cellStyle name="Calculation 11 5 8" xfId="12554" xr:uid="{DF8A8641-8DDF-44A9-BC0C-C9AB650A6853}"/>
    <cellStyle name="Calculation 11 6" xfId="10183" xr:uid="{0A303F5E-81AC-41C5-96BC-DFBE89D1FF20}"/>
    <cellStyle name="Calculation 11 7" xfId="11776" xr:uid="{FD427F6C-E6D6-4264-9C8B-108781092BC7}"/>
    <cellStyle name="Calculation 11 8" xfId="11026" xr:uid="{84D5EA6A-AB01-44AC-A367-F620AAD32701}"/>
    <cellStyle name="Calculation 11 9" xfId="12062" xr:uid="{9429463E-B1A6-426F-A5CF-74C448D4EA25}"/>
    <cellStyle name="Calculation 12" xfId="809" xr:uid="{25B0002C-9D73-43CB-AD57-54519C80B12A}"/>
    <cellStyle name="Calculation 12 10" xfId="11274" xr:uid="{803B6ED9-958D-4CB1-B734-2BA0418984E3}"/>
    <cellStyle name="Calculation 12 11" xfId="13013" xr:uid="{F3202EE3-7CB2-4F67-A21E-FD1726EB2719}"/>
    <cellStyle name="Calculation 12 12" xfId="9980" xr:uid="{53DE0257-5CE0-4EC5-BB88-9AA5A801B469}"/>
    <cellStyle name="Calculation 12 2" xfId="6881" xr:uid="{0F8A1345-53B1-42C3-BC2F-9CD4AB6A6188}"/>
    <cellStyle name="Calculation 12 2 10" xfId="16301" xr:uid="{8672E197-A573-4500-BF75-916B056AEA61}"/>
    <cellStyle name="Calculation 12 2 11" xfId="17173" xr:uid="{E8919264-CF63-4322-8176-98C4E73AFC3F}"/>
    <cellStyle name="Calculation 12 2 2" xfId="7218" xr:uid="{559DDBEB-08D8-43BF-A171-09E1E850B007}"/>
    <cellStyle name="Calculation 12 2 2 10" xfId="12542" xr:uid="{5EF78773-931F-4E79-8041-5D9634EECE7F}"/>
    <cellStyle name="Calculation 12 2 2 2" xfId="8858" xr:uid="{3BCF1BA0-42CC-49CC-ADA3-C6B832234A25}"/>
    <cellStyle name="Calculation 12 2 2 2 2" xfId="13509" xr:uid="{313D6222-E733-47AF-8CC3-FD2F63102E8C}"/>
    <cellStyle name="Calculation 12 2 2 2 3" xfId="14513" xr:uid="{C00A2706-A930-48DB-B708-EB2A8379B9A3}"/>
    <cellStyle name="Calculation 12 2 2 2 4" xfId="15471" xr:uid="{59F71DB5-2675-4058-918F-394B0E7AE41A}"/>
    <cellStyle name="Calculation 12 2 2 2 5" xfId="16396" xr:uid="{535DD7DF-CE5B-42CB-8592-EC8E9447B9EC}"/>
    <cellStyle name="Calculation 12 2 2 2 6" xfId="17267" xr:uid="{5997DC1E-34A7-4176-8906-A4D19FA1CF3A}"/>
    <cellStyle name="Calculation 12 2 2 2 7" xfId="18113" xr:uid="{F1849389-A10F-463F-B0D4-01FF26C92A6E}"/>
    <cellStyle name="Calculation 12 2 2 2 8" xfId="18877" xr:uid="{B3764624-1FBD-4384-898F-01DD44D1FF9A}"/>
    <cellStyle name="Calculation 12 2 2 3" xfId="9704" xr:uid="{EE464A9C-7E65-441F-BD84-BE96B10A3185}"/>
    <cellStyle name="Calculation 12 2 2 3 2" xfId="14108" xr:uid="{827CC3D6-C5BC-49A8-9922-96DDD6D38196}"/>
    <cellStyle name="Calculation 12 2 2 3 3" xfId="15068" xr:uid="{A8FBA4E1-16B0-45EA-896B-EC608A7DC21C}"/>
    <cellStyle name="Calculation 12 2 2 3 4" xfId="16020" xr:uid="{7AA26578-31EA-4332-98E7-76C332C78C60}"/>
    <cellStyle name="Calculation 12 2 2 3 5" xfId="16894" xr:uid="{F00FB523-1C46-4EDA-8E20-122714B12C9F}"/>
    <cellStyle name="Calculation 12 2 2 3 6" xfId="17759" xr:uid="{917AC116-55E4-453A-B7CE-3B882116BC49}"/>
    <cellStyle name="Calculation 12 2 2 3 7" xfId="18535" xr:uid="{D7952D1F-7281-43E0-AC71-3C7E9672148F}"/>
    <cellStyle name="Calculation 12 2 2 3 8" xfId="19292" xr:uid="{E572A7C4-D3F0-497E-8D15-D83AEDC68F7C}"/>
    <cellStyle name="Calculation 12 2 2 4" xfId="12481" xr:uid="{7A299099-0C36-4727-9BD7-08923729B3F2}"/>
    <cellStyle name="Calculation 12 2 2 5" xfId="10400" xr:uid="{F98CF1B3-A320-4068-8FA8-E46485B99AA0}"/>
    <cellStyle name="Calculation 12 2 2 6" xfId="11987" xr:uid="{1DF5C89A-B0EE-48B4-8ECE-A433FECAEFF2}"/>
    <cellStyle name="Calculation 12 2 2 7" xfId="10842" xr:uid="{4E12C33C-183D-437A-9FAF-058BBDC54C8C}"/>
    <cellStyle name="Calculation 12 2 2 8" xfId="11580" xr:uid="{4A2F55A5-E2B8-4499-9433-8DCEC6CFB3C4}"/>
    <cellStyle name="Calculation 12 2 2 9" xfId="11174" xr:uid="{7A9B6F9E-491E-4BC8-AF2D-3861D5FFE640}"/>
    <cellStyle name="Calculation 12 2 3" xfId="8521" xr:uid="{C2EF073D-2CC4-4916-B4DD-B144036880EC}"/>
    <cellStyle name="Calculation 12 2 3 2" xfId="13261" xr:uid="{314C84F7-09CB-464F-BE28-4A198D3199E3}"/>
    <cellStyle name="Calculation 12 2 3 3" xfId="14281" xr:uid="{7CB4F16B-773A-4919-AA45-815FC3940C8D}"/>
    <cellStyle name="Calculation 12 2 3 4" xfId="15241" xr:uid="{88FEB831-FC93-4EDD-9C8E-5EAF028D4AA8}"/>
    <cellStyle name="Calculation 12 2 3 5" xfId="16190" xr:uid="{74C6FCD3-D2C9-410E-8376-7020A15B2BDD}"/>
    <cellStyle name="Calculation 12 2 3 6" xfId="17063" xr:uid="{BD8CA0EC-9D94-47C9-9B86-E0B8BF26E459}"/>
    <cellStyle name="Calculation 12 2 3 7" xfId="17928" xr:uid="{91E38FC1-CB49-4E35-B416-26F1B1E5551C}"/>
    <cellStyle name="Calculation 12 2 3 8" xfId="18704" xr:uid="{2DCA55DF-FCD8-437E-949D-6D48433D1D9E}"/>
    <cellStyle name="Calculation 12 2 4" xfId="9531" xr:uid="{A1584FE5-1E28-4E30-9763-A5D26272FFF1}"/>
    <cellStyle name="Calculation 12 2 4 2" xfId="13935" xr:uid="{4E6F5EF2-3E1E-44E8-8512-DECF9E6E75D4}"/>
    <cellStyle name="Calculation 12 2 4 3" xfId="14895" xr:uid="{3B000A92-F727-42FF-BB55-68F38FE5030A}"/>
    <cellStyle name="Calculation 12 2 4 4" xfId="15847" xr:uid="{B174EC66-E322-4D60-9347-4E1441A01966}"/>
    <cellStyle name="Calculation 12 2 4 5" xfId="16721" xr:uid="{837639EA-19AE-4047-B819-94D5E35732B7}"/>
    <cellStyle name="Calculation 12 2 4 6" xfId="17586" xr:uid="{DF21989D-FD4C-4191-ABD4-59AC1E684C98}"/>
    <cellStyle name="Calculation 12 2 4 7" xfId="18362" xr:uid="{4C0D5A0C-1C2A-4147-9F5F-132C2E6F9DAA}"/>
    <cellStyle name="Calculation 12 2 4 8" xfId="19119" xr:uid="{3C4A612B-9903-4A62-9FE1-F46DC4D4263D}"/>
    <cellStyle name="Calculation 12 2 5" xfId="12232" xr:uid="{33033ED1-5F8C-4057-8E05-F4A616343676}"/>
    <cellStyle name="Calculation 12 2 6" xfId="10633" xr:uid="{F817FF1F-4698-4788-821B-C9AD42DB5C51}"/>
    <cellStyle name="Calculation 12 2 7" xfId="13403" xr:uid="{809E4739-11CC-4F97-A3AD-44CB8D0DB75A}"/>
    <cellStyle name="Calculation 12 2 8" xfId="14412" xr:uid="{CE2DD797-16A1-440C-85CE-03CB14D46B4C}"/>
    <cellStyle name="Calculation 12 2 9" xfId="15370" xr:uid="{23974D05-DEC1-415E-88C5-F9AA0FFD6C4D}"/>
    <cellStyle name="Calculation 12 3" xfId="6971" xr:uid="{D410F960-E6B0-4CE9-9E45-DFE41C8D6767}"/>
    <cellStyle name="Calculation 12 3 10" xfId="17331" xr:uid="{FAFCC817-72CC-41FC-8D46-ACEE22B38E46}"/>
    <cellStyle name="Calculation 12 3 2" xfId="8610" xr:uid="{410BD732-5BBF-4BDE-8143-48B3ED6A0459}"/>
    <cellStyle name="Calculation 12 3 2 2" xfId="13332" xr:uid="{D5B46443-2495-45E6-973E-35BFEE8ED763}"/>
    <cellStyle name="Calculation 12 3 2 3" xfId="14346" xr:uid="{92E942E0-2D93-4C4C-A1E1-7396D00BD16B}"/>
    <cellStyle name="Calculation 12 3 2 4" xfId="15306" xr:uid="{49A2851A-298A-4F0D-812A-0A350501C251}"/>
    <cellStyle name="Calculation 12 3 2 5" xfId="16250" xr:uid="{795069A8-3783-4C95-9A95-AC8F0731F5D8}"/>
    <cellStyle name="Calculation 12 3 2 6" xfId="17123" xr:uid="{CD7E47E5-547C-4248-9E17-C03A55D1039F}"/>
    <cellStyle name="Calculation 12 3 2 7" xfId="17988" xr:uid="{BECC1BCC-2BDA-4E56-A1EB-6062F9D6522C}"/>
    <cellStyle name="Calculation 12 3 2 8" xfId="18763" xr:uid="{69234DE3-26FF-4B53-B8DE-F82C518B6CA3}"/>
    <cellStyle name="Calculation 12 3 3" xfId="9590" xr:uid="{69D2B39B-70FF-4FAB-A60A-58D98A366F81}"/>
    <cellStyle name="Calculation 12 3 3 2" xfId="13994" xr:uid="{AC130709-0F30-438D-A861-689BDD42FC7A}"/>
    <cellStyle name="Calculation 12 3 3 3" xfId="14954" xr:uid="{C326D57A-8F9B-478D-890B-A0912DB97560}"/>
    <cellStyle name="Calculation 12 3 3 4" xfId="15906" xr:uid="{42888C17-70CE-4B23-A97F-0A021FD043E3}"/>
    <cellStyle name="Calculation 12 3 3 5" xfId="16780" xr:uid="{9482E424-B825-4585-BB07-B90063204D58}"/>
    <cellStyle name="Calculation 12 3 3 6" xfId="17645" xr:uid="{BA36EC4A-2295-49FC-A3D7-88555515C358}"/>
    <cellStyle name="Calculation 12 3 3 7" xfId="18421" xr:uid="{26CD6304-3B6D-443E-AF1B-0920A7C9BD9A}"/>
    <cellStyle name="Calculation 12 3 3 8" xfId="19178" xr:uid="{97FF803E-1AF9-4A64-8BB9-F19FB371BC51}"/>
    <cellStyle name="Calculation 12 3 4" xfId="12305" xr:uid="{C6C826C0-7CCA-4181-8C4D-EFD19019AD87}"/>
    <cellStyle name="Calculation 12 3 5" xfId="10565" xr:uid="{DE01B7B8-8A1D-4911-BA12-7EFF111C59A7}"/>
    <cellStyle name="Calculation 12 3 6" xfId="13630" xr:uid="{B5D511B8-705B-46A6-8A6A-D98B40BC559B}"/>
    <cellStyle name="Calculation 12 3 7" xfId="14608" xr:uid="{671B96DA-4E11-4EE3-8DE6-82B118054295}"/>
    <cellStyle name="Calculation 12 3 8" xfId="15561" xr:uid="{066FA0C2-33E4-47FB-98FC-4289B736918E}"/>
    <cellStyle name="Calculation 12 3 9" xfId="16460" xr:uid="{957045E1-BB01-4813-8A3B-14F315B5A50A}"/>
    <cellStyle name="Calculation 12 4" xfId="7772" xr:uid="{B2A231A4-0558-4DEF-B003-6B126C24A864}"/>
    <cellStyle name="Calculation 12 4 2" xfId="12799" xr:uid="{F827A668-2AEF-4FE5-ABFD-69E519A638BD}"/>
    <cellStyle name="Calculation 12 4 3" xfId="10174" xr:uid="{7D45F099-CA7A-458C-B5A4-90E2505EF6FB}"/>
    <cellStyle name="Calculation 12 4 4" xfId="11785" xr:uid="{ED0A508B-D1E4-49DC-B2D9-3EDD5B3B6C7C}"/>
    <cellStyle name="Calculation 12 4 5" xfId="11019" xr:uid="{462E4A7D-4077-406B-A455-DB6647A20721}"/>
    <cellStyle name="Calculation 12 4 6" xfId="11968" xr:uid="{2F89998C-E685-482F-A214-BF0157A6FB57}"/>
    <cellStyle name="Calculation 12 4 7" xfId="10858" xr:uid="{6754F80B-8CA5-469C-9F50-926E476AC0E5}"/>
    <cellStyle name="Calculation 12 4 8" xfId="11564" xr:uid="{7DA8EA6B-CE30-489C-947F-5F0B9F59AB57}"/>
    <cellStyle name="Calculation 12 5" xfId="7909" xr:uid="{01B4EBE1-041A-487E-97FE-582885494F9C}"/>
    <cellStyle name="Calculation 12 5 2" xfId="12902" xr:uid="{ACFF6932-F9C7-4D52-B7E4-6D7F231CF556}"/>
    <cellStyle name="Calculation 12 5 3" xfId="10079" xr:uid="{8C46FA22-16C9-4B5E-A8F5-975F2A8D8939}"/>
    <cellStyle name="Calculation 12 5 4" xfId="13174" xr:uid="{2772BFCA-868E-43C0-A064-65BD1E3DE131}"/>
    <cellStyle name="Calculation 12 5 5" xfId="9863" xr:uid="{DF489E9A-95B2-45A0-BCFA-25DD69C86028}"/>
    <cellStyle name="Calculation 12 5 6" xfId="11890" xr:uid="{97251868-9849-49D4-8405-A6B6B63258AE}"/>
    <cellStyle name="Calculation 12 5 7" xfId="10924" xr:uid="{1A97E0A2-EDE5-457B-89F2-216747C154A8}"/>
    <cellStyle name="Calculation 12 5 8" xfId="11507" xr:uid="{8DCFA51A-0663-4C91-BCCF-A665025C4C14}"/>
    <cellStyle name="Calculation 12 6" xfId="10184" xr:uid="{7D280B34-F0F7-4792-825C-3EA03CEBE787}"/>
    <cellStyle name="Calculation 12 7" xfId="11775" xr:uid="{6C9A26E7-868C-4A97-84C4-60895B6C8C2D}"/>
    <cellStyle name="Calculation 12 8" xfId="11027" xr:uid="{EEF80AD5-9821-467E-980F-6DEE66319B19}"/>
    <cellStyle name="Calculation 12 9" xfId="11455" xr:uid="{FE471F28-771A-4766-B9ED-E5D2D2B26121}"/>
    <cellStyle name="Calculation 13" xfId="810" xr:uid="{21E4FB15-CAAD-48FB-A42A-B3FD4E56C7E6}"/>
    <cellStyle name="Calculation 13 10" xfId="10102" xr:uid="{7FF72DB4-5233-4FF6-B0E9-5C8D12E9766A}"/>
    <cellStyle name="Calculation 13 11" xfId="12934" xr:uid="{C29D4499-BE97-4B80-B442-BE5144E2F4E7}"/>
    <cellStyle name="Calculation 13 12" xfId="10054" xr:uid="{BEC8E32E-9F49-4E53-98C4-944AAFC7483E}"/>
    <cellStyle name="Calculation 13 2" xfId="6880" xr:uid="{86020AA2-942E-4A9A-8B37-3D0C7572F132}"/>
    <cellStyle name="Calculation 13 2 10" xfId="9892" xr:uid="{FFA12292-3A5F-4B17-BE3D-33E9AC486E4E}"/>
    <cellStyle name="Calculation 13 2 11" xfId="11840" xr:uid="{E92C8355-5AD2-4616-B1C6-643F989CEEFB}"/>
    <cellStyle name="Calculation 13 2 2" xfId="7219" xr:uid="{8E33C27D-F93E-478C-87E8-3EB9DC1D0928}"/>
    <cellStyle name="Calculation 13 2 2 10" xfId="13425" xr:uid="{5F5F679B-56D9-4D49-86AC-A9808C6F61E1}"/>
    <cellStyle name="Calculation 13 2 2 2" xfId="8859" xr:uid="{F0B37989-DB86-4D41-95E1-4AE299C0871F}"/>
    <cellStyle name="Calculation 13 2 2 2 2" xfId="13510" xr:uid="{5BB88007-75AE-4450-8CCE-3C84650164BC}"/>
    <cellStyle name="Calculation 13 2 2 2 3" xfId="14514" xr:uid="{BCF16449-BC99-4503-AF9F-5CDC93805D57}"/>
    <cellStyle name="Calculation 13 2 2 2 4" xfId="15472" xr:uid="{DAAE7E5F-9D8B-4E08-9CB9-F555395E524B}"/>
    <cellStyle name="Calculation 13 2 2 2 5" xfId="16397" xr:uid="{B98C52EC-C509-42E2-BB46-C4CFB92C348D}"/>
    <cellStyle name="Calculation 13 2 2 2 6" xfId="17268" xr:uid="{8BCB7DAC-C191-49AE-8BD5-9DAF33A4FC16}"/>
    <cellStyle name="Calculation 13 2 2 2 7" xfId="18114" xr:uid="{4E3C9EB1-88C2-4363-8667-0C6B928C06E7}"/>
    <cellStyle name="Calculation 13 2 2 2 8" xfId="18878" xr:uid="{3AF8B6FB-8C20-4986-BB76-AD50AF873296}"/>
    <cellStyle name="Calculation 13 2 2 3" xfId="9705" xr:uid="{86C22833-2C26-4542-ACEE-3D711F3CF821}"/>
    <cellStyle name="Calculation 13 2 2 3 2" xfId="14109" xr:uid="{FA98A798-E3BA-48FB-BFF0-76F9F975DA53}"/>
    <cellStyle name="Calculation 13 2 2 3 3" xfId="15069" xr:uid="{D70115B2-BBB8-44A7-B763-8D176889D206}"/>
    <cellStyle name="Calculation 13 2 2 3 4" xfId="16021" xr:uid="{72840D4B-D24C-48A1-A188-37C30EB3371F}"/>
    <cellStyle name="Calculation 13 2 2 3 5" xfId="16895" xr:uid="{F3DE3B36-B5F3-4832-BC06-600F2E702ECF}"/>
    <cellStyle name="Calculation 13 2 2 3 6" xfId="17760" xr:uid="{400C56B1-1A53-444E-9F05-D840F2B9F4C8}"/>
    <cellStyle name="Calculation 13 2 2 3 7" xfId="18536" xr:uid="{256527C5-9D53-4EA6-8240-AFC02863D8B5}"/>
    <cellStyle name="Calculation 13 2 2 3 8" xfId="19293" xr:uid="{54CEF843-9EEE-4363-A48A-27A159117DAC}"/>
    <cellStyle name="Calculation 13 2 2 4" xfId="12482" xr:uid="{1479760F-E1B3-47DE-8E5F-97FC9CC3CA6D}"/>
    <cellStyle name="Calculation 13 2 2 5" xfId="10399" xr:uid="{76EA046E-1844-460D-9E50-1AE213B467F0}"/>
    <cellStyle name="Calculation 13 2 2 6" xfId="12637" xr:uid="{89505BD1-6CA5-49AC-80CC-692984EC046C}"/>
    <cellStyle name="Calculation 13 2 2 7" xfId="10274" xr:uid="{5A8E865F-6F55-418B-937C-0B687F46C3B2}"/>
    <cellStyle name="Calculation 13 2 2 8" xfId="13048" xr:uid="{906C5476-C5C4-43D5-93CE-69B95E62D0F0}"/>
    <cellStyle name="Calculation 13 2 2 9" xfId="9954" xr:uid="{6324DADF-82BB-432E-9E35-22261A1E4AD8}"/>
    <cellStyle name="Calculation 13 2 3" xfId="8520" xr:uid="{8FD62DEB-C166-452C-85EB-18C7DD0CA104}"/>
    <cellStyle name="Calculation 13 2 3 2" xfId="13260" xr:uid="{A228AF0B-C32E-48C3-B591-26655F18346E}"/>
    <cellStyle name="Calculation 13 2 3 3" xfId="14280" xr:uid="{44485D69-2512-42F0-8601-9575FEAB6838}"/>
    <cellStyle name="Calculation 13 2 3 4" xfId="15240" xr:uid="{EFCE9693-055A-4FFD-BE60-B5B9D1758232}"/>
    <cellStyle name="Calculation 13 2 3 5" xfId="16189" xr:uid="{77550A54-2044-4654-8748-91E216A3B82F}"/>
    <cellStyle name="Calculation 13 2 3 6" xfId="17062" xr:uid="{DFDD329A-7EBA-461D-B293-F1145D71C166}"/>
    <cellStyle name="Calculation 13 2 3 7" xfId="17927" xr:uid="{689FE76A-D2F8-4D19-9CF0-E36BB99CCFA4}"/>
    <cellStyle name="Calculation 13 2 3 8" xfId="18703" xr:uid="{DEAE33C1-2422-4CDC-B515-D418E7FDCBDE}"/>
    <cellStyle name="Calculation 13 2 4" xfId="9530" xr:uid="{FE92D087-A656-48F1-AE4C-25714FDB2B87}"/>
    <cellStyle name="Calculation 13 2 4 2" xfId="13934" xr:uid="{566E1B5A-BBFD-44C4-8F74-1D1E18D7225B}"/>
    <cellStyle name="Calculation 13 2 4 3" xfId="14894" xr:uid="{DDBB4866-2745-4BDA-AD4E-94B592C5D145}"/>
    <cellStyle name="Calculation 13 2 4 4" xfId="15846" xr:uid="{56CA90F5-48B2-4DB8-8F64-085ED3F766D6}"/>
    <cellStyle name="Calculation 13 2 4 5" xfId="16720" xr:uid="{0DE2D240-573F-4CE6-89B9-250798B9A502}"/>
    <cellStyle name="Calculation 13 2 4 6" xfId="17585" xr:uid="{75F29A51-B47A-4A38-8338-9040667FC162}"/>
    <cellStyle name="Calculation 13 2 4 7" xfId="18361" xr:uid="{E2784DDF-46F7-4AEE-A463-96F8309D9445}"/>
    <cellStyle name="Calculation 13 2 4 8" xfId="19118" xr:uid="{DD8FE02C-2DF6-4680-9805-43456F9BFCEB}"/>
    <cellStyle name="Calculation 13 2 5" xfId="12231" xr:uid="{46E8E8F3-023F-4A0D-B9ED-192810DEBA84}"/>
    <cellStyle name="Calculation 13 2 6" xfId="10634" xr:uid="{D18BA1D9-EDCF-4854-97F8-771F498F7E2E}"/>
    <cellStyle name="Calculation 13 2 7" xfId="12372" xr:uid="{9CBAD61A-0964-4813-8083-02971CB04945}"/>
    <cellStyle name="Calculation 13 2 8" xfId="10503" xr:uid="{BA80E121-BE52-4338-8FE1-C703A6CAECA3}"/>
    <cellStyle name="Calculation 13 2 9" xfId="13138" xr:uid="{479A8290-E4A1-4BC2-B2D7-BC6E3F3D32C9}"/>
    <cellStyle name="Calculation 13 3" xfId="6972" xr:uid="{1D91CEE5-9208-478D-BA05-7D880E98F005}"/>
    <cellStyle name="Calculation 13 3 10" xfId="10918" xr:uid="{1B63D9DC-404B-4047-8E42-46C7E623F712}"/>
    <cellStyle name="Calculation 13 3 2" xfId="8611" xr:uid="{72B50F93-0D54-448F-B9AF-CF7CC0F9F5B9}"/>
    <cellStyle name="Calculation 13 3 2 2" xfId="13333" xr:uid="{2FBC51B7-96C8-4F3A-8085-001A889D50A0}"/>
    <cellStyle name="Calculation 13 3 2 3" xfId="14347" xr:uid="{1267DD0B-219A-460C-A33D-6A3BD66F4FAC}"/>
    <cellStyle name="Calculation 13 3 2 4" xfId="15307" xr:uid="{D180D64D-8D68-46F9-9946-07BF4F2EEA2C}"/>
    <cellStyle name="Calculation 13 3 2 5" xfId="16251" xr:uid="{87E11E46-12B8-4ABB-A554-6C92F017F707}"/>
    <cellStyle name="Calculation 13 3 2 6" xfId="17124" xr:uid="{4577041D-ED88-4C62-B4AD-EA810DF96320}"/>
    <cellStyle name="Calculation 13 3 2 7" xfId="17989" xr:uid="{9D282A5A-B8DF-4A4C-ABD2-872964AA3CA4}"/>
    <cellStyle name="Calculation 13 3 2 8" xfId="18764" xr:uid="{966A89D3-2446-40CF-80D5-BA2DC29B1088}"/>
    <cellStyle name="Calculation 13 3 3" xfId="9591" xr:uid="{FA82FF66-B973-4CA7-AB27-709D5B5647FD}"/>
    <cellStyle name="Calculation 13 3 3 2" xfId="13995" xr:uid="{71165BE1-122C-4FE5-9585-1CF68CBA4D1B}"/>
    <cellStyle name="Calculation 13 3 3 3" xfId="14955" xr:uid="{AAA17B9E-C82E-4757-86FE-0F1D3B7D5F69}"/>
    <cellStyle name="Calculation 13 3 3 4" xfId="15907" xr:uid="{1BA5178B-CED8-4D10-9E7F-EBBC64B9597C}"/>
    <cellStyle name="Calculation 13 3 3 5" xfId="16781" xr:uid="{2F1BA8A6-9920-4CAD-8EB1-6F76D20E8D59}"/>
    <cellStyle name="Calculation 13 3 3 6" xfId="17646" xr:uid="{013B4401-E6BD-4FFE-8DA0-03E7CC6E165B}"/>
    <cellStyle name="Calculation 13 3 3 7" xfId="18422" xr:uid="{2E6D84FF-B7F0-4F81-B60F-96F2411BC2EB}"/>
    <cellStyle name="Calculation 13 3 3 8" xfId="19179" xr:uid="{A970670E-9B2A-447B-ADE6-C0AFF4D1EF4E}"/>
    <cellStyle name="Calculation 13 3 4" xfId="12306" xr:uid="{23601CCA-8740-4359-BACC-EF55D3733751}"/>
    <cellStyle name="Calculation 13 3 5" xfId="10564" xr:uid="{13C5FBF4-A816-4721-864F-4301CCEE24A3}"/>
    <cellStyle name="Calculation 13 3 6" xfId="13126" xr:uid="{A9A3FD7F-D3A0-4FB7-B501-543AA602090D}"/>
    <cellStyle name="Calculation 13 3 7" xfId="9901" xr:uid="{84CAF857-A1FD-4E86-BC1A-50BBD9C37A17}"/>
    <cellStyle name="Calculation 13 3 8" xfId="9837" xr:uid="{4FB1069D-8C86-4247-8724-ACE697E61D8A}"/>
    <cellStyle name="Calculation 13 3 9" xfId="11899" xr:uid="{1C4705C5-B66E-4CD8-98E0-C2D551E0E573}"/>
    <cellStyle name="Calculation 13 4" xfId="7773" xr:uid="{AD7640F5-9FC9-4EE4-999D-A234A045B958}"/>
    <cellStyle name="Calculation 13 4 2" xfId="12800" xr:uid="{B87EBC27-0ABA-4770-856C-692854971CB0}"/>
    <cellStyle name="Calculation 13 4 3" xfId="10173" xr:uid="{8A289157-044A-4072-B26F-95430A2F8D9F}"/>
    <cellStyle name="Calculation 13 4 4" xfId="9831" xr:uid="{D6035441-AF2F-43B5-8B20-8A82036CAB00}"/>
    <cellStyle name="Calculation 13 4 5" xfId="11938" xr:uid="{8DC24D02-805A-490D-8CF6-EAE5AD2C8AFD}"/>
    <cellStyle name="Calculation 13 4 6" xfId="10879" xr:uid="{09B56687-9A11-4279-9EBA-172410C42F6A}"/>
    <cellStyle name="Calculation 13 4 7" xfId="11545" xr:uid="{C3FECF74-39B4-45AB-8824-9A40821E4A10}"/>
    <cellStyle name="Calculation 13 4 8" xfId="11194" xr:uid="{FA3347E9-27AF-417A-AF7B-33CF8CDC75E0}"/>
    <cellStyle name="Calculation 13 5" xfId="7908" xr:uid="{0A003AEB-9B83-4534-846F-641D9D752D3A}"/>
    <cellStyle name="Calculation 13 5 2" xfId="12901" xr:uid="{121DF03E-9804-4C2D-ABB9-1487A911342F}"/>
    <cellStyle name="Calculation 13 5 3" xfId="10080" xr:uid="{5DE5AD97-70C4-45F7-AB37-0F44BFD3CC34}"/>
    <cellStyle name="Calculation 13 5 4" xfId="13700" xr:uid="{DA262EC7-2D87-45FD-9208-F57968C7BD1D}"/>
    <cellStyle name="Calculation 13 5 5" xfId="14666" xr:uid="{83EBCCE9-FB35-4B88-82CC-9C598E5C69C5}"/>
    <cellStyle name="Calculation 13 5 6" xfId="15618" xr:uid="{501D7A30-7C56-4BDE-9769-EA6BB599C018}"/>
    <cellStyle name="Calculation 13 5 7" xfId="16503" xr:uid="{F8C1B983-482C-4826-87CC-24B4C720233B}"/>
    <cellStyle name="Calculation 13 5 8" xfId="17371" xr:uid="{B3E5B3F8-4254-4490-A2E2-D5DAD5ECDADB}"/>
    <cellStyle name="Calculation 13 6" xfId="10185" xr:uid="{098A2154-8743-413F-A342-4801EDCDA172}"/>
    <cellStyle name="Calculation 13 7" xfId="11774" xr:uid="{1DD44EC4-839E-4F12-9890-9BFCDDFBC3BE}"/>
    <cellStyle name="Calculation 13 8" xfId="11028" xr:uid="{A80E9EA8-4F46-4D9A-8DF3-911D131A9E62}"/>
    <cellStyle name="Calculation 13 9" xfId="12878" xr:uid="{6858E971-067D-4B5F-95F9-7BB5C3987800}"/>
    <cellStyle name="Calculation 14" xfId="811" xr:uid="{F5CA51CD-0469-4559-85D1-CC53EC154433}"/>
    <cellStyle name="Calculation 14 10" xfId="14400" xr:uid="{7EA6990B-6231-44B2-970F-0CE5B9EBC18B}"/>
    <cellStyle name="Calculation 14 11" xfId="15358" xr:uid="{17D7D1D9-1B40-45E5-BE86-7A3D4A657D8D}"/>
    <cellStyle name="Calculation 14 12" xfId="16296" xr:uid="{787CC192-3E04-41D0-B9F7-4A03E12CEA52}"/>
    <cellStyle name="Calculation 14 2" xfId="6879" xr:uid="{B970EA2A-0225-4128-A3D7-497DBC0C6CBC}"/>
    <cellStyle name="Calculation 14 2 10" xfId="10831" xr:uid="{A19C1AE7-26C9-4E52-912B-6A874AE3267B}"/>
    <cellStyle name="Calculation 14 2 11" xfId="11591" xr:uid="{B95E7667-CFC7-40E6-B3BB-DA087B097887}"/>
    <cellStyle name="Calculation 14 2 2" xfId="7220" xr:uid="{0F619DF4-63E1-4110-AF8B-EF6A20026A4E}"/>
    <cellStyle name="Calculation 14 2 2 10" xfId="17348" xr:uid="{B30FCB7F-63F3-447F-885A-466E4177AD8C}"/>
    <cellStyle name="Calculation 14 2 2 2" xfId="8860" xr:uid="{F6860316-95BE-4159-90F1-B3B5698D3C6A}"/>
    <cellStyle name="Calculation 14 2 2 2 2" xfId="13511" xr:uid="{D382D0F1-BE96-4944-AEBD-1F021B548755}"/>
    <cellStyle name="Calculation 14 2 2 2 3" xfId="14515" xr:uid="{FED2BC9E-B9F5-4214-9BCC-AA1EC14300C5}"/>
    <cellStyle name="Calculation 14 2 2 2 4" xfId="15473" xr:uid="{A0772C5D-7F07-495C-8A3C-170A45DA2DEF}"/>
    <cellStyle name="Calculation 14 2 2 2 5" xfId="16398" xr:uid="{96DF9529-76EB-4126-B913-5B01B8B430BB}"/>
    <cellStyle name="Calculation 14 2 2 2 6" xfId="17269" xr:uid="{4ED1F8CF-087A-476B-AAED-78B6AFA45604}"/>
    <cellStyle name="Calculation 14 2 2 2 7" xfId="18115" xr:uid="{E35AE2A1-C969-44F9-AA42-21BDD8FDCA99}"/>
    <cellStyle name="Calculation 14 2 2 2 8" xfId="18879" xr:uid="{E5B4A214-BD33-4255-AE0F-265418F563CC}"/>
    <cellStyle name="Calculation 14 2 2 3" xfId="9706" xr:uid="{FE956411-0CC5-4096-B39E-AA80DB639E57}"/>
    <cellStyle name="Calculation 14 2 2 3 2" xfId="14110" xr:uid="{B4DBDBBB-12EE-4B03-9A9F-8329DC43BC14}"/>
    <cellStyle name="Calculation 14 2 2 3 3" xfId="15070" xr:uid="{49E60C96-B162-4988-A370-CEF14C32306E}"/>
    <cellStyle name="Calculation 14 2 2 3 4" xfId="16022" xr:uid="{5AB71157-0529-4CF6-B171-E02CD9274603}"/>
    <cellStyle name="Calculation 14 2 2 3 5" xfId="16896" xr:uid="{A4968E6D-664A-4561-962C-FFA7DFC9689E}"/>
    <cellStyle name="Calculation 14 2 2 3 6" xfId="17761" xr:uid="{1AA8CD35-671E-4E02-B14D-C319B576FF55}"/>
    <cellStyle name="Calculation 14 2 2 3 7" xfId="18537" xr:uid="{54203CE7-CC77-4C85-9D2C-A32C6C67DCF3}"/>
    <cellStyle name="Calculation 14 2 2 3 8" xfId="19294" xr:uid="{5B3E91D1-1633-4F02-9E5E-2A2DAC70E867}"/>
    <cellStyle name="Calculation 14 2 2 4" xfId="12483" xr:uid="{7D5865C6-2CDD-4387-99AF-24EF02B08FB5}"/>
    <cellStyle name="Calculation 14 2 2 5" xfId="10398" xr:uid="{74BBDE7B-7781-4BD6-86C8-9437C09A4CF4}"/>
    <cellStyle name="Calculation 14 2 2 6" xfId="13656" xr:uid="{592059EC-2DAD-4F8F-B52E-EFB9BA02FC89}"/>
    <cellStyle name="Calculation 14 2 2 7" xfId="14632" xr:uid="{3A54112C-7FE3-4E24-BFC3-70B04AE1C045}"/>
    <cellStyle name="Calculation 14 2 2 8" xfId="15584" xr:uid="{B1D63F82-E9C9-4D40-91BF-6D6E1C9EF691}"/>
    <cellStyle name="Calculation 14 2 2 9" xfId="16479" xr:uid="{7E075504-C8FD-45F5-AA11-47D0269C2EA1}"/>
    <cellStyle name="Calculation 14 2 3" xfId="8519" xr:uid="{F1D312FE-73BB-4701-A214-51C0C87EE164}"/>
    <cellStyle name="Calculation 14 2 3 2" xfId="13259" xr:uid="{A7495265-69F9-47A0-9FBA-EDDA59F27C02}"/>
    <cellStyle name="Calculation 14 2 3 3" xfId="14279" xr:uid="{078A19BE-1250-4471-9A1E-6CD054DC00EB}"/>
    <cellStyle name="Calculation 14 2 3 4" xfId="15239" xr:uid="{0A2D618C-85ED-46B9-8DAD-C8D171061A06}"/>
    <cellStyle name="Calculation 14 2 3 5" xfId="16188" xr:uid="{EA580F00-C4E3-400F-AA97-B1F629318024}"/>
    <cellStyle name="Calculation 14 2 3 6" xfId="17061" xr:uid="{46F6EFCA-FE11-45F5-BA45-F5F2E1E70B52}"/>
    <cellStyle name="Calculation 14 2 3 7" xfId="17926" xr:uid="{9A9311BA-F250-4774-8B54-7EE95F2B8974}"/>
    <cellStyle name="Calculation 14 2 3 8" xfId="18702" xr:uid="{466EC390-E49F-4B8F-BA2A-E8F9E64A2550}"/>
    <cellStyle name="Calculation 14 2 4" xfId="9529" xr:uid="{B1406E28-F6CB-46AF-8260-617BBFD4D237}"/>
    <cellStyle name="Calculation 14 2 4 2" xfId="13933" xr:uid="{64E87AE1-73DF-4777-8F99-60B9126FA9D0}"/>
    <cellStyle name="Calculation 14 2 4 3" xfId="14893" xr:uid="{1C71CEB7-8D1F-44C4-9B8A-35A35EBE1897}"/>
    <cellStyle name="Calculation 14 2 4 4" xfId="15845" xr:uid="{10A67FB9-1BC0-4CC7-B1AB-D42614D8EDC6}"/>
    <cellStyle name="Calculation 14 2 4 5" xfId="16719" xr:uid="{33A1821A-8743-4DDF-8CF6-4E2615D3C201}"/>
    <cellStyle name="Calculation 14 2 4 6" xfId="17584" xr:uid="{4E9F6FAF-86AD-4B09-AE46-E7B27FEF0994}"/>
    <cellStyle name="Calculation 14 2 4 7" xfId="18360" xr:uid="{2D1F3EBB-81B3-43FC-AC0D-BEE5BD425F12}"/>
    <cellStyle name="Calculation 14 2 4 8" xfId="19117" xr:uid="{BFFEC90E-E6FE-45A1-9FBA-272470A4A96D}"/>
    <cellStyle name="Calculation 14 2 5" xfId="12230" xr:uid="{E6857D9F-FE41-4266-8379-570974414525}"/>
    <cellStyle name="Calculation 14 2 6" xfId="10635" xr:uid="{75C1EFE3-A68E-4C4A-BC25-D80E17BA7C9C}"/>
    <cellStyle name="Calculation 14 2 7" xfId="13036" xr:uid="{A93D1778-FD46-427F-ADB8-FB4DC4ED0F58}"/>
    <cellStyle name="Calculation 14 2 8" xfId="9964" xr:uid="{CAC4E8C5-8B63-4A87-8D70-09C9B9387AA9}"/>
    <cellStyle name="Calculation 14 2 9" xfId="11999" xr:uid="{FD09F004-620B-4514-BA60-DBF9CB98F0C0}"/>
    <cellStyle name="Calculation 14 3" xfId="6973" xr:uid="{0B27E786-DDFC-4796-AEF2-5B5B55158B4B}"/>
    <cellStyle name="Calculation 14 3 10" xfId="13578" xr:uid="{577B99FF-4249-4987-89D3-6CEC5F894D8A}"/>
    <cellStyle name="Calculation 14 3 2" xfId="8612" xr:uid="{21A0F909-ED5E-4B57-8A15-ABD27EF1C7E3}"/>
    <cellStyle name="Calculation 14 3 2 2" xfId="13334" xr:uid="{9A93056A-DCE9-4262-8580-05F4BBFE6BE3}"/>
    <cellStyle name="Calculation 14 3 2 3" xfId="14348" xr:uid="{70514318-CBEB-41F3-B703-27124E7E4169}"/>
    <cellStyle name="Calculation 14 3 2 4" xfId="15308" xr:uid="{23BD4B39-1A95-43E4-B9A0-AD80DAB38991}"/>
    <cellStyle name="Calculation 14 3 2 5" xfId="16252" xr:uid="{D71AB9BD-F68D-48D2-8603-62DB12DDE788}"/>
    <cellStyle name="Calculation 14 3 2 6" xfId="17125" xr:uid="{F8BFFBA5-CF45-42B4-8FB6-2D57271B9A4A}"/>
    <cellStyle name="Calculation 14 3 2 7" xfId="17990" xr:uid="{58A0B787-B017-417B-96AB-6EF654877256}"/>
    <cellStyle name="Calculation 14 3 2 8" xfId="18765" xr:uid="{D4FC6292-2D79-456F-B135-D4033A12C8AD}"/>
    <cellStyle name="Calculation 14 3 3" xfId="9592" xr:uid="{99A7D280-87DD-4DF3-9C05-F384B08D4A65}"/>
    <cellStyle name="Calculation 14 3 3 2" xfId="13996" xr:uid="{790BD839-5F8F-4722-8377-5E1C0D1D3DC0}"/>
    <cellStyle name="Calculation 14 3 3 3" xfId="14956" xr:uid="{05EDDCE0-ABD3-45F5-BCD5-68800718ACA2}"/>
    <cellStyle name="Calculation 14 3 3 4" xfId="15908" xr:uid="{3EF9ACAD-9753-440D-9A0F-66CCF5F7CDE1}"/>
    <cellStyle name="Calculation 14 3 3 5" xfId="16782" xr:uid="{ABB726EF-8518-4B85-B27F-9C85B76FB3B5}"/>
    <cellStyle name="Calculation 14 3 3 6" xfId="17647" xr:uid="{DDD59E17-779C-4763-B3EF-44846B0588AB}"/>
    <cellStyle name="Calculation 14 3 3 7" xfId="18423" xr:uid="{4A9291B2-F451-4DE1-878E-82A72C9A7047}"/>
    <cellStyle name="Calculation 14 3 3 8" xfId="19180" xr:uid="{70665F04-3F8B-4091-90D0-BF0781A151D6}"/>
    <cellStyle name="Calculation 14 3 4" xfId="12307" xr:uid="{B7C9F294-8887-4779-9B80-A7B2D3B628ED}"/>
    <cellStyle name="Calculation 14 3 5" xfId="10563" xr:uid="{ECB1FFB9-A200-483A-A200-1CC656899046}"/>
    <cellStyle name="Calculation 14 3 6" xfId="12095" xr:uid="{48BD35A0-13CB-47B3-A71B-DD098599E067}"/>
    <cellStyle name="Calculation 14 3 7" xfId="10757" xr:uid="{5523EB1C-AF69-4D6E-A8E6-E52BC91496B0}"/>
    <cellStyle name="Calculation 14 3 8" xfId="11657" xr:uid="{58DA3882-FB54-4F68-AAD7-8586EF909C98}"/>
    <cellStyle name="Calculation 14 3 9" xfId="11121" xr:uid="{4A40DFBE-67A3-4C40-86D7-87C3BBF27930}"/>
    <cellStyle name="Calculation 14 4" xfId="7774" xr:uid="{6EC06343-0908-4782-B48D-EFBECECE3806}"/>
    <cellStyle name="Calculation 14 4 2" xfId="12801" xr:uid="{27314AAF-BC8D-4C13-AE87-B345A940E2C3}"/>
    <cellStyle name="Calculation 14 4 3" xfId="10172" xr:uid="{CB0A8304-162E-47CF-8A34-ABCD14CA343D}"/>
    <cellStyle name="Calculation 14 4 4" xfId="12002" xr:uid="{0932CABE-352D-45F2-AA7A-6D3BBAE56E75}"/>
    <cellStyle name="Calculation 14 4 5" xfId="10830" xr:uid="{9724299E-C918-4137-88AE-E8BFE76135B7}"/>
    <cellStyle name="Calculation 14 4 6" xfId="11592" xr:uid="{AEC14E97-C4AE-465A-BC8D-7DC9042069D9}"/>
    <cellStyle name="Calculation 14 4 7" xfId="11166" xr:uid="{53E71655-9BE8-4B66-BDFF-9697BA16EE54}"/>
    <cellStyle name="Calculation 14 4 8" xfId="11431" xr:uid="{248503DB-5550-4934-9BC7-08577B94438A}"/>
    <cellStyle name="Calculation 14 5" xfId="7907" xr:uid="{43E1AA05-2887-45E9-BBD5-BEB23617392D}"/>
    <cellStyle name="Calculation 14 5 2" xfId="12900" xr:uid="{8E6D24FC-3E59-4A8A-BDEC-C1C9A8BA503B}"/>
    <cellStyle name="Calculation 14 5 3" xfId="10081" xr:uid="{9686D10D-7DB4-4E52-9996-104E4196FED3}"/>
    <cellStyle name="Calculation 14 5 4" xfId="12681" xr:uid="{60822C1D-5B75-4814-8807-F93A4D920E90}"/>
    <cellStyle name="Calculation 14 5 5" xfId="10239" xr:uid="{F68FA84B-5558-4058-A104-AF4CEF0A16AF}"/>
    <cellStyle name="Calculation 14 5 6" xfId="13052" xr:uid="{A21AEA24-3303-47B8-99CF-1E9F621C6B3F}"/>
    <cellStyle name="Calculation 14 5 7" xfId="9951" xr:uid="{626956D3-694D-4905-BF6F-C85E9BDEF55E}"/>
    <cellStyle name="Calculation 14 5 8" xfId="12701" xr:uid="{3668E13A-02D0-4C29-B228-22D20CA16014}"/>
    <cellStyle name="Calculation 14 6" xfId="10186" xr:uid="{634AF4C6-2527-470B-93CA-8A6BFDAD088B}"/>
    <cellStyle name="Calculation 14 7" xfId="11773" xr:uid="{E6F0859E-4463-4907-8706-EF31CA9CB1B7}"/>
    <cellStyle name="Calculation 14 8" xfId="11029" xr:uid="{F06C9068-5200-4DD7-9C1B-5A8D8160A4FB}"/>
    <cellStyle name="Calculation 14 9" xfId="13391" xr:uid="{39EEAF40-FBF5-4179-9D41-7C3B81A87EDD}"/>
    <cellStyle name="Calculation 15" xfId="812" xr:uid="{CF143B32-AE08-437F-8A05-E8FD8F89654B}"/>
    <cellStyle name="Calculation 15 10" xfId="10513" xr:uid="{7914C930-A5D8-4A65-8178-929D3F7064DB}"/>
    <cellStyle name="Calculation 15 11" xfId="11691" xr:uid="{4FA39C50-4962-4652-9740-B0C01178BA6B}"/>
    <cellStyle name="Calculation 15 12" xfId="11092" xr:uid="{1D526AD6-7A6F-42F3-9C50-73198EAF9F94}"/>
    <cellStyle name="Calculation 15 2" xfId="6878" xr:uid="{43ABC8DA-5660-4D47-B951-4D5CB046FD89}"/>
    <cellStyle name="Calculation 15 2 10" xfId="16449" xr:uid="{BA304DCF-33BB-41DA-9ABF-DD2823836A1A}"/>
    <cellStyle name="Calculation 15 2 11" xfId="17320" xr:uid="{CA78431F-D367-4945-9791-FD423AF65C26}"/>
    <cellStyle name="Calculation 15 2 2" xfId="7221" xr:uid="{A7E5DB94-C5E7-41E1-BA75-3BA144BF5ADE}"/>
    <cellStyle name="Calculation 15 2 2 10" xfId="10826" xr:uid="{AB7280D8-536F-4BAF-85FB-931E969C857E}"/>
    <cellStyle name="Calculation 15 2 2 2" xfId="8861" xr:uid="{3E557E50-6EAC-4C7F-B1D8-904832E4B278}"/>
    <cellStyle name="Calculation 15 2 2 2 2" xfId="13512" xr:uid="{9A029D43-A8D9-4ED6-89D6-DCCF2F26D9D2}"/>
    <cellStyle name="Calculation 15 2 2 2 3" xfId="14516" xr:uid="{77E77680-1990-4C3A-ADB8-E604E41970B3}"/>
    <cellStyle name="Calculation 15 2 2 2 4" xfId="15474" xr:uid="{09051469-5D7D-41CB-99C1-F8168D1E15BF}"/>
    <cellStyle name="Calculation 15 2 2 2 5" xfId="16399" xr:uid="{3296F3B6-B537-41DF-B8C1-C8D2F3655BF5}"/>
    <cellStyle name="Calculation 15 2 2 2 6" xfId="17270" xr:uid="{04902173-7E8C-4E8D-83DC-13C924C000C9}"/>
    <cellStyle name="Calculation 15 2 2 2 7" xfId="18116" xr:uid="{026154A3-11C2-4536-8710-EDEE9A30C161}"/>
    <cellStyle name="Calculation 15 2 2 2 8" xfId="18880" xr:uid="{810B5A85-3569-4372-BA68-FA156763A807}"/>
    <cellStyle name="Calculation 15 2 2 3" xfId="9707" xr:uid="{DB5E5D6A-E86C-4D97-BDF2-5E231A65B658}"/>
    <cellStyle name="Calculation 15 2 2 3 2" xfId="14111" xr:uid="{F3AB4488-C177-4142-A362-3AE06BB127A8}"/>
    <cellStyle name="Calculation 15 2 2 3 3" xfId="15071" xr:uid="{163889EB-2784-43DC-A92F-8C96AFFB1AE1}"/>
    <cellStyle name="Calculation 15 2 2 3 4" xfId="16023" xr:uid="{C8E8FB51-E3B7-493F-B709-0D665EC26A35}"/>
    <cellStyle name="Calculation 15 2 2 3 5" xfId="16897" xr:uid="{FF1A631F-F740-4EAB-82E1-7BCBE3917D2B}"/>
    <cellStyle name="Calculation 15 2 2 3 6" xfId="17762" xr:uid="{C52C5560-0BBD-4DD4-92E8-D5A888962854}"/>
    <cellStyle name="Calculation 15 2 2 3 7" xfId="18538" xr:uid="{D24B6A96-E161-4B8E-B3F8-440815451215}"/>
    <cellStyle name="Calculation 15 2 2 3 8" xfId="19295" xr:uid="{1A753677-59EA-4D6D-9676-3D49889012E6}"/>
    <cellStyle name="Calculation 15 2 2 4" xfId="12484" xr:uid="{82C2BC3D-E40D-4794-987C-5EDDD82FBBF3}"/>
    <cellStyle name="Calculation 15 2 2 5" xfId="10397" xr:uid="{311F75FA-61ED-4A02-935E-AB87D2CA1F38}"/>
    <cellStyle name="Calculation 15 2 2 6" xfId="13044" xr:uid="{56539997-DCEB-4564-B4ED-9879C2CEECC3}"/>
    <cellStyle name="Calculation 15 2 2 7" xfId="9958" xr:uid="{78C72DBF-688E-4DDA-9404-C71FEB9620E6}"/>
    <cellStyle name="Calculation 15 2 2 8" xfId="13194" xr:uid="{E2A3C8F8-72FE-46EB-9F58-D0B831130BEB}"/>
    <cellStyle name="Calculation 15 2 2 9" xfId="12007" xr:uid="{3AA91114-8DD8-49ED-87BB-F7D13CBBAFDA}"/>
    <cellStyle name="Calculation 15 2 3" xfId="8518" xr:uid="{0F1C5CB6-04AE-4153-93AC-31FA79A6BCEF}"/>
    <cellStyle name="Calculation 15 2 3 2" xfId="13258" xr:uid="{5EB2A46C-2F50-486F-AECD-522998FCEB75}"/>
    <cellStyle name="Calculation 15 2 3 3" xfId="14278" xr:uid="{983ED3B9-A4A3-4FFD-B4F4-E47981BAFAD6}"/>
    <cellStyle name="Calculation 15 2 3 4" xfId="15238" xr:uid="{D6BF1EC9-DF94-4FF4-9F89-6A9A1B185AA8}"/>
    <cellStyle name="Calculation 15 2 3 5" xfId="16187" xr:uid="{81A06023-0FA4-4ACC-8A43-F31F81BB3256}"/>
    <cellStyle name="Calculation 15 2 3 6" xfId="17060" xr:uid="{FC574FAB-34A8-41FC-AD9C-DEA912E0A711}"/>
    <cellStyle name="Calculation 15 2 3 7" xfId="17925" xr:uid="{95861BE6-20FC-4CB1-AB35-EEA3CA55685B}"/>
    <cellStyle name="Calculation 15 2 3 8" xfId="18701" xr:uid="{E513B8A7-8C13-4773-AE21-179D83BCC333}"/>
    <cellStyle name="Calculation 15 2 4" xfId="9528" xr:uid="{A47EC888-9DB8-48E1-8DF3-34DDCDA11482}"/>
    <cellStyle name="Calculation 15 2 4 2" xfId="13932" xr:uid="{26B3D74C-2A74-478B-B595-E78DD03281F9}"/>
    <cellStyle name="Calculation 15 2 4 3" xfId="14892" xr:uid="{00325CAA-7486-4778-8608-272A02580CB5}"/>
    <cellStyle name="Calculation 15 2 4 4" xfId="15844" xr:uid="{26703C2B-FFF0-4942-BE15-5B743574099F}"/>
    <cellStyle name="Calculation 15 2 4 5" xfId="16718" xr:uid="{ACEA80D1-BC75-4208-B0A7-8C1A2B8C9DE6}"/>
    <cellStyle name="Calculation 15 2 4 6" xfId="17583" xr:uid="{68601E89-9932-4510-BA79-B742341F95FF}"/>
    <cellStyle name="Calculation 15 2 4 7" xfId="18359" xr:uid="{534A2968-0528-494F-B112-6F8074285BA0}"/>
    <cellStyle name="Calculation 15 2 4 8" xfId="19116" xr:uid="{B6263731-93D5-464D-9780-3DE984D2F712}"/>
    <cellStyle name="Calculation 15 2 5" xfId="12229" xr:uid="{A1C6D06C-8931-46F9-A493-F0F54C3F49DF}"/>
    <cellStyle name="Calculation 15 2 6" xfId="10636" xr:uid="{3E6F886D-B871-4188-B08A-75CBA7C15F78}"/>
    <cellStyle name="Calculation 15 2 7" xfId="13619" xr:uid="{55012FDE-44D8-4FC5-9C30-8BB57BBDB00C}"/>
    <cellStyle name="Calculation 15 2 8" xfId="14597" xr:uid="{C6F40A4B-86B6-4437-A0E9-8D6B8D3CDF6A}"/>
    <cellStyle name="Calculation 15 2 9" xfId="15550" xr:uid="{3EFD887B-8FD3-4371-84A6-085510A246AA}"/>
    <cellStyle name="Calculation 15 3" xfId="6974" xr:uid="{1B39FEC7-DB79-464E-A665-C4D1FD698CB6}"/>
    <cellStyle name="Calculation 15 3 10" xfId="15591" xr:uid="{B555BE38-FB8E-415C-A126-20F468AEF0D1}"/>
    <cellStyle name="Calculation 15 3 2" xfId="8613" xr:uid="{413B3846-F2B9-4DB7-A52B-A316E8FB5D18}"/>
    <cellStyle name="Calculation 15 3 2 2" xfId="13335" xr:uid="{7BBAB669-A927-412B-B01D-79F9074993F8}"/>
    <cellStyle name="Calculation 15 3 2 3" xfId="14349" xr:uid="{C7DF88B3-7094-4635-8A3E-D23ADA31AFAF}"/>
    <cellStyle name="Calculation 15 3 2 4" xfId="15309" xr:uid="{E3EEC4F8-2500-4300-AA96-6E5439C48744}"/>
    <cellStyle name="Calculation 15 3 2 5" xfId="16253" xr:uid="{98E5AB50-084F-476F-B259-1C73D6ED6235}"/>
    <cellStyle name="Calculation 15 3 2 6" xfId="17126" xr:uid="{ADC17A73-095F-4839-94CC-118B8AC48941}"/>
    <cellStyle name="Calculation 15 3 2 7" xfId="17991" xr:uid="{B36C172E-D350-40BB-A990-40D6525CD48F}"/>
    <cellStyle name="Calculation 15 3 2 8" xfId="18766" xr:uid="{74289E8D-9DFC-4A3E-ADC2-21DC2A5A8852}"/>
    <cellStyle name="Calculation 15 3 3" xfId="9593" xr:uid="{977ED815-1662-471F-AA83-4DFB4F515612}"/>
    <cellStyle name="Calculation 15 3 3 2" xfId="13997" xr:uid="{91BE41B8-5E08-49F2-9680-12E494FDE9EE}"/>
    <cellStyle name="Calculation 15 3 3 3" xfId="14957" xr:uid="{D06903C0-FBC4-42F9-B71C-54AAD5D3E6E9}"/>
    <cellStyle name="Calculation 15 3 3 4" xfId="15909" xr:uid="{9F1D4552-CAEA-4869-AF3F-AF7FC9783A10}"/>
    <cellStyle name="Calculation 15 3 3 5" xfId="16783" xr:uid="{979FE7FB-FDA2-446B-9AD2-E972CE2A5121}"/>
    <cellStyle name="Calculation 15 3 3 6" xfId="17648" xr:uid="{3958C5AC-14D6-4324-95D2-EAD4C0191A02}"/>
    <cellStyle name="Calculation 15 3 3 7" xfId="18424" xr:uid="{A23A53B4-7747-4D0A-A438-D986D20B2539}"/>
    <cellStyle name="Calculation 15 3 3 8" xfId="19181" xr:uid="{5930C28D-8A9E-4DF4-BFC5-45848F67B0C8}"/>
    <cellStyle name="Calculation 15 3 4" xfId="12308" xr:uid="{DE93AB73-75E0-4C68-BC88-D95C2040A19F}"/>
    <cellStyle name="Calculation 15 3 5" xfId="10562" xr:uid="{CE1C3FEF-5B91-4364-9187-064AA9C529C5}"/>
    <cellStyle name="Calculation 15 3 6" xfId="12610" xr:uid="{FCB23B7F-1813-4260-B7D3-1F6B14D3953C}"/>
    <cellStyle name="Calculation 15 3 7" xfId="10295" xr:uid="{D8BE6C82-AE19-4CF0-9623-C9884BDC75A8}"/>
    <cellStyle name="Calculation 15 3 8" xfId="13668" xr:uid="{7453D983-130E-4D46-886F-B25D1A4BD72A}"/>
    <cellStyle name="Calculation 15 3 9" xfId="14639" xr:uid="{5BEA3B33-55F6-4F63-B28B-BE1ECFD69216}"/>
    <cellStyle name="Calculation 15 4" xfId="7775" xr:uid="{49C57BFD-E293-49A0-9E68-64EB01AB35EC}"/>
    <cellStyle name="Calculation 15 4 2" xfId="12802" xr:uid="{1182E71C-DD69-4E37-B0EC-FE03D07C7491}"/>
    <cellStyle name="Calculation 15 4 3" xfId="10171" xr:uid="{BEB35F73-ABB8-407A-9D89-3C6357096EF0}"/>
    <cellStyle name="Calculation 15 4 4" xfId="11994" xr:uid="{2E95859A-BE9D-4545-BFC6-35112E1F62A7}"/>
    <cellStyle name="Calculation 15 4 5" xfId="10835" xr:uid="{95FC2BBC-2248-4B6B-9CFA-68DB42B1E94B}"/>
    <cellStyle name="Calculation 15 4 6" xfId="11587" xr:uid="{FEC1EE53-200F-4349-B35B-C88617526919}"/>
    <cellStyle name="Calculation 15 4 7" xfId="11170" xr:uid="{54E8FC58-BF7A-4D59-AD35-F5F24FDF544A}"/>
    <cellStyle name="Calculation 15 4 8" xfId="13571" xr:uid="{4DBE1F7F-4418-4266-8AE9-5B939218BCEF}"/>
    <cellStyle name="Calculation 15 5" xfId="7906" xr:uid="{800AD025-1FD2-432D-986F-ACC053A30C64}"/>
    <cellStyle name="Calculation 15 5 2" xfId="12899" xr:uid="{42641EDB-C956-4017-936B-9DB6633B18CC}"/>
    <cellStyle name="Calculation 15 5 3" xfId="10082" xr:uid="{771D021C-D949-4B7B-8B0D-31E292B35096}"/>
    <cellStyle name="Calculation 15 5 4" xfId="12145" xr:uid="{BED4515C-6DB8-4719-B37C-83B8584A263D}"/>
    <cellStyle name="Calculation 15 5 5" xfId="10713" xr:uid="{546EDA39-F7C5-4BA9-977B-421151745A37}"/>
    <cellStyle name="Calculation 15 5 6" xfId="12908" xr:uid="{7EEEC253-DFDD-4F3C-8941-B71894AD9BAA}"/>
    <cellStyle name="Calculation 15 5 7" xfId="10075" xr:uid="{7AF49746-8D13-4133-AD7E-EFF5C1A7FDC4}"/>
    <cellStyle name="Calculation 15 5 8" xfId="13172" xr:uid="{6CFEB852-44E4-4E90-AD1D-199E968FAA14}"/>
    <cellStyle name="Calculation 15 6" xfId="10187" xr:uid="{276B8748-3A80-4160-9024-4849D572E020}"/>
    <cellStyle name="Calculation 15 7" xfId="11772" xr:uid="{7330E6CD-E528-49C4-902A-CA007697CE98}"/>
    <cellStyle name="Calculation 15 8" xfId="11030" xr:uid="{F13F24B7-EA01-4960-85BC-B4206FA9D0BD}"/>
    <cellStyle name="Calculation 15 9" xfId="12360" xr:uid="{0806BD47-C184-4617-BBC5-A3352350EEA0}"/>
    <cellStyle name="Calculation 16" xfId="813" xr:uid="{64D40DA0-5505-4AA6-A5D9-EA4F12B98A20}"/>
    <cellStyle name="Calculation 16 10" xfId="11546" xr:uid="{5846DE35-2988-4503-98BC-E543C24AD5A6}"/>
    <cellStyle name="Calculation 16 11" xfId="11193" xr:uid="{2C422FCA-0F0C-4CC2-B4D5-9DAEF6831819}"/>
    <cellStyle name="Calculation 16 12" xfId="12539" xr:uid="{83CD4175-5F4C-409D-8FDB-E6CDABE9BE20}"/>
    <cellStyle name="Calculation 16 2" xfId="6877" xr:uid="{CCBC9283-5536-4040-B2CF-BE7C809E46AC}"/>
    <cellStyle name="Calculation 16 2 10" xfId="11042" xr:uid="{6E89B3A8-EA51-40C9-A01C-BDFC0C3968CB}"/>
    <cellStyle name="Calculation 16 2 11" xfId="12877" xr:uid="{58ECD83D-DD0A-4A05-9757-5CC6E527B7B6}"/>
    <cellStyle name="Calculation 16 2 2" xfId="7222" xr:uid="{87ADFF91-7267-4576-A096-F7F427F7F339}"/>
    <cellStyle name="Calculation 16 2 2 10" xfId="12001" xr:uid="{70807E4B-8384-48AB-8287-35F0DE5A4F12}"/>
    <cellStyle name="Calculation 16 2 2 2" xfId="8862" xr:uid="{5C7C31E5-DDC6-4C70-B7C0-5934CCED3881}"/>
    <cellStyle name="Calculation 16 2 2 2 2" xfId="13513" xr:uid="{05C83F2A-F89A-4E93-9F97-0C736AD2073D}"/>
    <cellStyle name="Calculation 16 2 2 2 3" xfId="14517" xr:uid="{DDBC4EED-48C2-43EE-95AC-41EDF6BBEB26}"/>
    <cellStyle name="Calculation 16 2 2 2 4" xfId="15475" xr:uid="{7CDB9BE9-5BAA-46EB-A69A-502A4B095188}"/>
    <cellStyle name="Calculation 16 2 2 2 5" xfId="16400" xr:uid="{63E879EB-14F1-489B-904E-344A75C8FE3D}"/>
    <cellStyle name="Calculation 16 2 2 2 6" xfId="17271" xr:uid="{497CD404-C0CE-41C6-BCD9-E4A5E6504796}"/>
    <cellStyle name="Calculation 16 2 2 2 7" xfId="18117" xr:uid="{082650D0-C8AA-417D-BE80-FB1754EDD189}"/>
    <cellStyle name="Calculation 16 2 2 2 8" xfId="18881" xr:uid="{4D63C8EB-2E7C-49BC-A957-1EADFF378A16}"/>
    <cellStyle name="Calculation 16 2 2 3" xfId="9708" xr:uid="{2B2332D5-16D9-451A-9158-12CF1DF24753}"/>
    <cellStyle name="Calculation 16 2 2 3 2" xfId="14112" xr:uid="{DCF205E4-D2CD-4A46-A840-0C5A33FB3E6B}"/>
    <cellStyle name="Calculation 16 2 2 3 3" xfId="15072" xr:uid="{58B8149E-F6AB-449B-8971-7669FAC8120C}"/>
    <cellStyle name="Calculation 16 2 2 3 4" xfId="16024" xr:uid="{DAAD1456-50BD-4FAD-BECF-DF06113BE5EC}"/>
    <cellStyle name="Calculation 16 2 2 3 5" xfId="16898" xr:uid="{3DE5CD1D-607E-45BF-B5C6-B4ED6E7CE57D}"/>
    <cellStyle name="Calculation 16 2 2 3 6" xfId="17763" xr:uid="{41936210-B8CE-4EA7-A898-844BFB91C29F}"/>
    <cellStyle name="Calculation 16 2 2 3 7" xfId="18539" xr:uid="{897C4355-F81A-457A-9730-E573748E6E98}"/>
    <cellStyle name="Calculation 16 2 2 3 8" xfId="19296" xr:uid="{BEE5197F-FFBD-44BD-92D6-8A730B997476}"/>
    <cellStyle name="Calculation 16 2 2 4" xfId="12485" xr:uid="{9B2B388E-6154-44DF-B34B-A0254D3363E9}"/>
    <cellStyle name="Calculation 16 2 2 5" xfId="10396" xr:uid="{17A01BEE-6379-4CF0-9F69-DC1516A37140}"/>
    <cellStyle name="Calculation 16 2 2 6" xfId="12380" xr:uid="{4F9ABC09-2C14-4142-B203-E1D3046E5D33}"/>
    <cellStyle name="Calculation 16 2 2 7" xfId="10495" xr:uid="{6492063E-F4CF-41F0-9713-FB31602046B4}"/>
    <cellStyle name="Calculation 16 2 2 8" xfId="12623" xr:uid="{82AA514C-1AEB-4A66-9460-0A4F24985BFC}"/>
    <cellStyle name="Calculation 16 2 2 9" xfId="10285" xr:uid="{7428160A-50CD-4224-B435-EE5E6F7729D5}"/>
    <cellStyle name="Calculation 16 2 3" xfId="8517" xr:uid="{D4B3A789-B3A6-4A4E-B026-995C23093666}"/>
    <cellStyle name="Calculation 16 2 3 2" xfId="13257" xr:uid="{574EEBCF-04AD-482C-B3D2-26810D4537CC}"/>
    <cellStyle name="Calculation 16 2 3 3" xfId="14277" xr:uid="{9518C54A-D135-4DA9-8E77-5B62DA81D793}"/>
    <cellStyle name="Calculation 16 2 3 4" xfId="15237" xr:uid="{A507ACCC-9608-407B-A2E3-6583A84CA473}"/>
    <cellStyle name="Calculation 16 2 3 5" xfId="16186" xr:uid="{981467E6-6455-46FB-B875-0B07FF4F074D}"/>
    <cellStyle name="Calculation 16 2 3 6" xfId="17059" xr:uid="{110821BC-5635-4B23-9E4B-347CEDD4FE67}"/>
    <cellStyle name="Calculation 16 2 3 7" xfId="17924" xr:uid="{79F27250-9FE2-4125-BC24-B222FFA5D39A}"/>
    <cellStyle name="Calculation 16 2 3 8" xfId="18700" xr:uid="{FF4096F7-E572-4A67-9739-C9F2401EB38A}"/>
    <cellStyle name="Calculation 16 2 4" xfId="9527" xr:uid="{18F3FE33-51B1-4477-B882-35395E55151A}"/>
    <cellStyle name="Calculation 16 2 4 2" xfId="13931" xr:uid="{FEBB4527-0DF9-46CF-9EF3-34EE89AF8EE1}"/>
    <cellStyle name="Calculation 16 2 4 3" xfId="14891" xr:uid="{5F1D4059-2266-4C18-B50C-775ABC1EB0D1}"/>
    <cellStyle name="Calculation 16 2 4 4" xfId="15843" xr:uid="{B2B06658-89FE-4B96-8068-936383E71CFD}"/>
    <cellStyle name="Calculation 16 2 4 5" xfId="16717" xr:uid="{A396C3BF-32F5-435B-BA8C-36C2FBA3AD6E}"/>
    <cellStyle name="Calculation 16 2 4 6" xfId="17582" xr:uid="{4B1C6392-E1E5-4E5D-8A43-07FF9732E1FB}"/>
    <cellStyle name="Calculation 16 2 4 7" xfId="18358" xr:uid="{54575D4A-8424-4F6C-B03C-0A347937437E}"/>
    <cellStyle name="Calculation 16 2 4 8" xfId="19115" xr:uid="{167C8DA2-35DD-4794-86C0-2B0CA6A407CD}"/>
    <cellStyle name="Calculation 16 2 5" xfId="12228" xr:uid="{17D27217-0483-43C7-83CC-0D8BC4A8E45B}"/>
    <cellStyle name="Calculation 16 2 6" xfId="10637" xr:uid="{9973879E-D3A2-45DA-9F38-677C5786D347}"/>
    <cellStyle name="Calculation 16 2 7" xfId="12597" xr:uid="{96C923EB-CDE5-4652-AE17-2B7BBED00586}"/>
    <cellStyle name="Calculation 16 2 8" xfId="10307" xr:uid="{16B003CC-2CCE-4621-8B1C-040625DD31C2}"/>
    <cellStyle name="Calculation 16 2 9" xfId="11755" xr:uid="{65B46BE1-98B8-46A2-B1BA-536186A74D2B}"/>
    <cellStyle name="Calculation 16 3" xfId="6975" xr:uid="{FC0F7053-5703-4C6A-BB1D-E3CB455295DA}"/>
    <cellStyle name="Calculation 16 3 10" xfId="17332" xr:uid="{99EAC9C2-A81D-424F-BE89-6EB24029C3EF}"/>
    <cellStyle name="Calculation 16 3 2" xfId="8614" xr:uid="{83A7FD7D-6D6A-4AA5-8A03-4C2A37C82901}"/>
    <cellStyle name="Calculation 16 3 2 2" xfId="13336" xr:uid="{7482847E-8E54-48AD-8E21-A24D68D355AD}"/>
    <cellStyle name="Calculation 16 3 2 3" xfId="14350" xr:uid="{0D5E19B5-F3B4-4D9E-8A4E-C3E9DB58F96F}"/>
    <cellStyle name="Calculation 16 3 2 4" xfId="15310" xr:uid="{49F64708-01A1-43CC-985F-999E6B8ECFF9}"/>
    <cellStyle name="Calculation 16 3 2 5" xfId="16254" xr:uid="{B5B4216D-DBBA-4611-8B84-44DF18975587}"/>
    <cellStyle name="Calculation 16 3 2 6" xfId="17127" xr:uid="{BCDE6A10-5FAA-4C6A-9A0A-D6F37E1B9093}"/>
    <cellStyle name="Calculation 16 3 2 7" xfId="17992" xr:uid="{E19C7102-5F59-49AF-BEA6-EA6F7F8B6E96}"/>
    <cellStyle name="Calculation 16 3 2 8" xfId="18767" xr:uid="{30E12B33-2990-4202-B931-CEF72F8775AB}"/>
    <cellStyle name="Calculation 16 3 3" xfId="9594" xr:uid="{3D8B79B2-5960-49D9-990F-108960707BC8}"/>
    <cellStyle name="Calculation 16 3 3 2" xfId="13998" xr:uid="{DA687F92-7698-49C2-A84E-57CA797B5808}"/>
    <cellStyle name="Calculation 16 3 3 3" xfId="14958" xr:uid="{F96D9C91-FAC8-4695-BC26-C11CCBE3DA99}"/>
    <cellStyle name="Calculation 16 3 3 4" xfId="15910" xr:uid="{0E06E16B-CC34-4C9C-B0A4-4774230E2ECA}"/>
    <cellStyle name="Calculation 16 3 3 5" xfId="16784" xr:uid="{0A8BFE26-BA65-4EE3-BD91-B60EAF5BD9B1}"/>
    <cellStyle name="Calculation 16 3 3 6" xfId="17649" xr:uid="{67B267C5-E31B-4769-A47F-1E7EB5407C97}"/>
    <cellStyle name="Calculation 16 3 3 7" xfId="18425" xr:uid="{E287CB5C-248F-4001-A25B-C57A2BDAC03F}"/>
    <cellStyle name="Calculation 16 3 3 8" xfId="19182" xr:uid="{C3FF4B9B-95E8-44E1-83B9-AE2FE4D457CF}"/>
    <cellStyle name="Calculation 16 3 4" xfId="12309" xr:uid="{A6EFB6AC-09AA-4549-AD44-AF6E819CA4DA}"/>
    <cellStyle name="Calculation 16 3 5" xfId="10561" xr:uid="{C9F32890-39F7-480A-B7C1-7CB86EDE02AA}"/>
    <cellStyle name="Calculation 16 3 6" xfId="13631" xr:uid="{83676034-B1EB-4B78-A260-4C78EE238C15}"/>
    <cellStyle name="Calculation 16 3 7" xfId="14609" xr:uid="{99127854-B48A-4460-A93D-FAF5DF9CCAE8}"/>
    <cellStyle name="Calculation 16 3 8" xfId="15562" xr:uid="{670766C2-718C-4A26-99F7-8E58E6E95404}"/>
    <cellStyle name="Calculation 16 3 9" xfId="16461" xr:uid="{C8725BF8-6E0E-4070-9F46-A2B26121E090}"/>
    <cellStyle name="Calculation 16 4" xfId="7776" xr:uid="{01451120-B4E6-43FA-A19A-0A6813178A36}"/>
    <cellStyle name="Calculation 16 4 2" xfId="12803" xr:uid="{778DFFA0-3785-4133-B7FD-D71C87427370}"/>
    <cellStyle name="Calculation 16 4 3" xfId="10170" xr:uid="{E1F48A2D-75DD-4594-84F5-D86286BA161B}"/>
    <cellStyle name="Calculation 16 4 4" xfId="12668" xr:uid="{EB53A641-04E3-45C5-950F-881B35CCC4A9}"/>
    <cellStyle name="Calculation 16 4 5" xfId="10249" xr:uid="{901E2B98-7578-448C-9165-2636581B75CE}"/>
    <cellStyle name="Calculation 16 4 6" xfId="11991" xr:uid="{363B64B0-7FCE-43BA-BB85-99232A9DCCBF}"/>
    <cellStyle name="Calculation 16 4 7" xfId="10838" xr:uid="{26D56C6F-EB70-441C-A761-F732732A1999}"/>
    <cellStyle name="Calculation 16 4 8" xfId="11584" xr:uid="{DD7006F5-A271-494F-BD17-4AFDD73DD796}"/>
    <cellStyle name="Calculation 16 5" xfId="7905" xr:uid="{2BD0EE7C-8E31-4489-8AFD-EA5C57B7D2F6}"/>
    <cellStyle name="Calculation 16 5 2" xfId="12898" xr:uid="{DE975ECF-FD7D-4637-B7F2-2D7FA030348D}"/>
    <cellStyle name="Calculation 16 5 3" xfId="10083" xr:uid="{0AD9E58B-26BE-47CF-9A7F-04F1E7DF9426}"/>
    <cellStyle name="Calculation 16 5 4" xfId="13173" xr:uid="{86CA10E4-53D8-460A-9D37-396894D0DC93}"/>
    <cellStyle name="Calculation 16 5 5" xfId="9864" xr:uid="{DC29333F-7473-4F64-B821-AD6A7BD970C8}"/>
    <cellStyle name="Calculation 16 5 6" xfId="11889" xr:uid="{FCB8EC31-F5F0-4A27-A459-435B29BF0C47}"/>
    <cellStyle name="Calculation 16 5 7" xfId="10925" xr:uid="{C4088F87-DE85-4AA6-9A98-774BA6281463}"/>
    <cellStyle name="Calculation 16 5 8" xfId="11506" xr:uid="{524CE397-B2F0-4DA5-891F-DFC1280F2C15}"/>
    <cellStyle name="Calculation 16 6" xfId="10188" xr:uid="{A208FF48-FD75-4F77-960B-2A7DF8F49438}"/>
    <cellStyle name="Calculation 16 7" xfId="9828" xr:uid="{4E9759D5-6CD8-48AE-867E-C689E5CA6EE9}"/>
    <cellStyle name="Calculation 16 8" xfId="11940" xr:uid="{CF841B97-DA53-4CC1-951B-82C7A69AA66D}"/>
    <cellStyle name="Calculation 16 9" xfId="10877" xr:uid="{8F00AACA-2536-49B4-8DAD-DD4591959CEB}"/>
    <cellStyle name="Calculation 17" xfId="814" xr:uid="{BAD9F59D-1BAB-4DDB-9DCD-0400530E203B}"/>
    <cellStyle name="Calculation 17 10" xfId="10707" xr:uid="{3EDDD743-18B9-4FBE-A3DA-5E7E8C75DBD9}"/>
    <cellStyle name="Calculation 17 11" xfId="12586" xr:uid="{817D2706-E678-455F-AF6B-662FE00C71FA}"/>
    <cellStyle name="Calculation 17 12" xfId="10317" xr:uid="{83C7DFCF-87CE-4F84-AE21-C0941E756C76}"/>
    <cellStyle name="Calculation 17 2" xfId="6876" xr:uid="{676741A7-7A78-417A-8725-37AEFA746E2E}"/>
    <cellStyle name="Calculation 17 2 10" xfId="11181" xr:uid="{48F00743-21FC-4382-902B-B3D57B140449}"/>
    <cellStyle name="Calculation 17 2 11" xfId="12540" xr:uid="{42A6227A-1EC0-4041-8C5B-CE162420C7ED}"/>
    <cellStyle name="Calculation 17 2 2" xfId="7223" xr:uid="{8E5C7A89-51B9-444F-882B-BBB9BB333DFF}"/>
    <cellStyle name="Calculation 17 2 2 10" xfId="17181" xr:uid="{79EAC634-5CEA-4B6B-A684-6FCF45A27370}"/>
    <cellStyle name="Calculation 17 2 2 2" xfId="8863" xr:uid="{135741D3-607C-4052-9E05-7A576595F781}"/>
    <cellStyle name="Calculation 17 2 2 2 2" xfId="13514" xr:uid="{69B2532D-856C-4144-A7EB-973B7B801B25}"/>
    <cellStyle name="Calculation 17 2 2 2 3" xfId="14518" xr:uid="{8B45484A-8D03-45AE-BE3A-2E9BC1BB6A7E}"/>
    <cellStyle name="Calculation 17 2 2 2 4" xfId="15476" xr:uid="{9301168B-A4DE-4D22-98EA-EE8EAFE235F9}"/>
    <cellStyle name="Calculation 17 2 2 2 5" xfId="16401" xr:uid="{6565E4C4-4E44-4AC7-B9A3-A1CC0273F8BD}"/>
    <cellStyle name="Calculation 17 2 2 2 6" xfId="17272" xr:uid="{56D783FB-4276-4F95-B27F-E46C89FDDD00}"/>
    <cellStyle name="Calculation 17 2 2 2 7" xfId="18118" xr:uid="{72F6A24A-8E52-40B6-8C9C-F160C5860CFB}"/>
    <cellStyle name="Calculation 17 2 2 2 8" xfId="18882" xr:uid="{9ABAB007-99A0-4F9B-9114-34AD6E871343}"/>
    <cellStyle name="Calculation 17 2 2 3" xfId="9709" xr:uid="{4D9FF8F0-9E71-4553-AD12-8199A51BA2DC}"/>
    <cellStyle name="Calculation 17 2 2 3 2" xfId="14113" xr:uid="{ABC5618F-375D-4DE5-8A8A-71383F1EF0A8}"/>
    <cellStyle name="Calculation 17 2 2 3 3" xfId="15073" xr:uid="{914CBC21-71AE-4C80-9A01-C332AAAAB5F5}"/>
    <cellStyle name="Calculation 17 2 2 3 4" xfId="16025" xr:uid="{5F493809-4FCE-4CEF-BD97-D9513AFA87A6}"/>
    <cellStyle name="Calculation 17 2 2 3 5" xfId="16899" xr:uid="{26B0139B-A8FA-49E7-A7A7-B4674F03DC98}"/>
    <cellStyle name="Calculation 17 2 2 3 6" xfId="17764" xr:uid="{AD4E7590-1F69-4608-AA1D-67786DBDE637}"/>
    <cellStyle name="Calculation 17 2 2 3 7" xfId="18540" xr:uid="{6EB10262-1CCB-4353-9D57-61CCC003E1EA}"/>
    <cellStyle name="Calculation 17 2 2 3 8" xfId="19297" xr:uid="{829999BC-9438-442A-A9B8-5C80D27429AA}"/>
    <cellStyle name="Calculation 17 2 2 4" xfId="12486" xr:uid="{1AB49CC3-E096-469F-A223-2511848D2119}"/>
    <cellStyle name="Calculation 17 2 2 5" xfId="10395" xr:uid="{4E46FB48-C5B9-4807-BCBE-2F6D567B4668}"/>
    <cellStyle name="Calculation 17 2 2 6" xfId="13411" xr:uid="{5D9C14C5-0AFF-4628-91FD-3E7BFF3AA9B5}"/>
    <cellStyle name="Calculation 17 2 2 7" xfId="14420" xr:uid="{4C62391B-9376-4B8D-B6E1-EB606002132E}"/>
    <cellStyle name="Calculation 17 2 2 8" xfId="15378" xr:uid="{03E37F50-A881-41AB-99E4-BC36B4154559}"/>
    <cellStyle name="Calculation 17 2 2 9" xfId="16309" xr:uid="{0E899957-7498-4F76-8836-CC99938334FF}"/>
    <cellStyle name="Calculation 17 2 3" xfId="8516" xr:uid="{B97FA047-E0D1-4793-87F6-455DA5BA4C9F}"/>
    <cellStyle name="Calculation 17 2 3 2" xfId="13256" xr:uid="{2B96D279-854E-4D0B-A38E-692043C1CCB3}"/>
    <cellStyle name="Calculation 17 2 3 3" xfId="14276" xr:uid="{45941835-1CF2-47F0-B535-A4E949886BAE}"/>
    <cellStyle name="Calculation 17 2 3 4" xfId="15236" xr:uid="{889B9331-1CA2-48CF-8207-E6595F0B2A89}"/>
    <cellStyle name="Calculation 17 2 3 5" xfId="16185" xr:uid="{4479F80C-71A2-4120-BC91-24BB19A51504}"/>
    <cellStyle name="Calculation 17 2 3 6" xfId="17058" xr:uid="{2D3017A3-69FF-4427-8CF0-6597FCAC930E}"/>
    <cellStyle name="Calculation 17 2 3 7" xfId="17923" xr:uid="{F82BEC4B-7A98-41AF-B397-96F863F4EEB1}"/>
    <cellStyle name="Calculation 17 2 3 8" xfId="18699" xr:uid="{DCC679D6-B4FA-47FC-BB89-1A75CEFAD9C9}"/>
    <cellStyle name="Calculation 17 2 4" xfId="9526" xr:uid="{D001FF9E-C114-4955-B001-CCEACDE7F59B}"/>
    <cellStyle name="Calculation 17 2 4 2" xfId="13930" xr:uid="{5FA87F69-9F5D-4F92-BA8D-040E8246AEC5}"/>
    <cellStyle name="Calculation 17 2 4 3" xfId="14890" xr:uid="{D4D0A9F3-D82F-4188-8D9C-FF189DDCCE36}"/>
    <cellStyle name="Calculation 17 2 4 4" xfId="15842" xr:uid="{6E9268B2-1C2F-4873-BDA1-499758B4D358}"/>
    <cellStyle name="Calculation 17 2 4 5" xfId="16716" xr:uid="{A9E5EEAD-E723-4941-B711-E3F5F6E85AEC}"/>
    <cellStyle name="Calculation 17 2 4 6" xfId="17581" xr:uid="{3B5EA241-694F-4FD7-80C0-18CC2E19BD23}"/>
    <cellStyle name="Calculation 17 2 4 7" xfId="18357" xr:uid="{32ED6645-C960-4DDB-A983-45A0A9BCBD35}"/>
    <cellStyle name="Calculation 17 2 4 8" xfId="19114" xr:uid="{A18391A6-711D-428D-942F-6178215B2C2A}"/>
    <cellStyle name="Calculation 17 2 5" xfId="12227" xr:uid="{DCAC6F6F-B22C-424B-B3E1-D14DB046025A}"/>
    <cellStyle name="Calculation 17 2 6" xfId="10638" xr:uid="{52AFAE7F-9AC4-46FA-93E0-6FF5C0EE2594}"/>
    <cellStyle name="Calculation 17 2 7" xfId="11979" xr:uid="{3B84D981-E784-4616-A5A8-17FD7851944C}"/>
    <cellStyle name="Calculation 17 2 8" xfId="10849" xr:uid="{C3CD79B9-222F-4596-ADA2-8FD130123B71}"/>
    <cellStyle name="Calculation 17 2 9" xfId="11573" xr:uid="{7BE97159-4828-41EB-837A-753FF5A39C25}"/>
    <cellStyle name="Calculation 17 3" xfId="6976" xr:uid="{506EEBFC-1648-412F-A82F-5AD8374FBF9D}"/>
    <cellStyle name="Calculation 17 3 10" xfId="13601" xr:uid="{9709538A-D27A-4517-BFBB-5BCD63F9E2B2}"/>
    <cellStyle name="Calculation 17 3 2" xfId="8615" xr:uid="{E903ABC9-EE60-42DE-8CD7-74D5642E0253}"/>
    <cellStyle name="Calculation 17 3 2 2" xfId="13337" xr:uid="{2B3273B1-DE08-4412-8E30-5CBECC85A0B2}"/>
    <cellStyle name="Calculation 17 3 2 3" xfId="14351" xr:uid="{33B330DB-B3C3-4F3B-9BC3-495D313CA92C}"/>
    <cellStyle name="Calculation 17 3 2 4" xfId="15311" xr:uid="{5EB67D88-95BD-4698-A004-61D574D3DDF2}"/>
    <cellStyle name="Calculation 17 3 2 5" xfId="16255" xr:uid="{70B64AAF-7555-4CA3-B9F5-2A3C1A555861}"/>
    <cellStyle name="Calculation 17 3 2 6" xfId="17128" xr:uid="{177CE929-11D1-464F-A125-D615B058FDCD}"/>
    <cellStyle name="Calculation 17 3 2 7" xfId="17993" xr:uid="{527CACBE-5AA7-4FF8-B55D-7FF4999CF811}"/>
    <cellStyle name="Calculation 17 3 2 8" xfId="18768" xr:uid="{8CBB83D9-6409-4A54-A354-2380708E4194}"/>
    <cellStyle name="Calculation 17 3 3" xfId="9595" xr:uid="{EFFAB81D-239A-4D7B-BC32-A5D58FF85F6C}"/>
    <cellStyle name="Calculation 17 3 3 2" xfId="13999" xr:uid="{06DA7A5B-651C-4269-B7CE-FCAAA65DEFD6}"/>
    <cellStyle name="Calculation 17 3 3 3" xfId="14959" xr:uid="{37CDA5AF-EAD1-4E33-9981-F345B09611B6}"/>
    <cellStyle name="Calculation 17 3 3 4" xfId="15911" xr:uid="{09449CE4-8288-47CC-9BD5-51298088904D}"/>
    <cellStyle name="Calculation 17 3 3 5" xfId="16785" xr:uid="{5DAAD584-D15C-4807-B837-09B3A1338FDA}"/>
    <cellStyle name="Calculation 17 3 3 6" xfId="17650" xr:uid="{AB1B38AB-7F92-4A6F-99E0-FDA9F20C37DB}"/>
    <cellStyle name="Calculation 17 3 3 7" xfId="18426" xr:uid="{F242EE45-8E29-47D2-8F8B-74369E5826C7}"/>
    <cellStyle name="Calculation 17 3 3 8" xfId="19183" xr:uid="{43A81262-2EE6-4E47-9B15-DD0D8449BAFC}"/>
    <cellStyle name="Calculation 17 3 4" xfId="12310" xr:uid="{0ACBD00B-61D3-4347-BF47-8D0B30A6D6F5}"/>
    <cellStyle name="Calculation 17 3 5" xfId="10560" xr:uid="{6D9302B3-B6BD-46BA-918D-61E8B5B341F7}"/>
    <cellStyle name="Calculation 17 3 6" xfId="13127" xr:uid="{554CDC47-C0D4-427C-A5CB-0D2EF3C817FF}"/>
    <cellStyle name="Calculation 17 3 7" xfId="9900" xr:uid="{63A34B63-99F9-4652-A878-C6436AF74EF4}"/>
    <cellStyle name="Calculation 17 3 8" xfId="11838" xr:uid="{C067399C-7C63-46D8-9F91-0AEEDBFC2D18}"/>
    <cellStyle name="Calculation 17 3 9" xfId="10974" xr:uid="{33888DA7-17E3-4E32-B7EF-5260C788E9F4}"/>
    <cellStyle name="Calculation 17 4" xfId="7777" xr:uid="{4DE013EF-1B59-4012-AD2C-58CC0FC4A692}"/>
    <cellStyle name="Calculation 17 4 2" xfId="12804" xr:uid="{C7E8AA0E-CF65-48B0-85AA-5F818C02471C}"/>
    <cellStyle name="Calculation 17 4 3" xfId="10169" xr:uid="{FA634339-8B64-4108-86A4-FB4E4F0571B1}"/>
    <cellStyle name="Calculation 17 4 4" xfId="13688" xr:uid="{80050BFC-3BB1-458F-9F46-73C70F8F5ADD}"/>
    <cellStyle name="Calculation 17 4 5" xfId="14656" xr:uid="{07C8C63A-A19B-4E4B-A5AA-09F477DF734C}"/>
    <cellStyle name="Calculation 17 4 6" xfId="15608" xr:uid="{CFC6303C-B7AB-4B7E-9D2C-3E9398C1A567}"/>
    <cellStyle name="Calculation 17 4 7" xfId="16493" xr:uid="{469214A7-509B-4712-BE9F-34DD3C52BB9B}"/>
    <cellStyle name="Calculation 17 4 8" xfId="17361" xr:uid="{EAE32B7F-7544-4B33-9BBA-D9130A8AE83D}"/>
    <cellStyle name="Calculation 17 5" xfId="7904" xr:uid="{4B4E8B54-612F-4BDB-B9C3-C36C03CD1342}"/>
    <cellStyle name="Calculation 17 5 2" xfId="12897" xr:uid="{170CC984-702F-45C7-932C-63D79793A947}"/>
    <cellStyle name="Calculation 17 5 3" xfId="10084" xr:uid="{D8B3BA05-C123-4ED1-BF11-3C619F1DDC0B}"/>
    <cellStyle name="Calculation 17 5 4" xfId="13699" xr:uid="{D8E38C0E-385A-4D7E-ACB3-247513D787A7}"/>
    <cellStyle name="Calculation 17 5 5" xfId="14665" xr:uid="{7D6B7A4D-396B-4AD6-A21E-DEFACF9664CF}"/>
    <cellStyle name="Calculation 17 5 6" xfId="15617" xr:uid="{8B2CDDED-89F8-4569-9A08-F7EC1231B277}"/>
    <cellStyle name="Calculation 17 5 7" xfId="16502" xr:uid="{D92C08C0-8399-430C-8385-B01FE167F3A3}"/>
    <cellStyle name="Calculation 17 5 8" xfId="17370" xr:uid="{9B34A6C2-F822-4E4F-A142-F99284412329}"/>
    <cellStyle name="Calculation 17 6" xfId="10189" xr:uid="{F53C26CB-5879-4B73-82FE-7B61C3611AAE}"/>
    <cellStyle name="Calculation 17 7" xfId="12933" xr:uid="{F6E42CA6-9130-4A2C-8D11-BECA01EB1A04}"/>
    <cellStyle name="Calculation 17 8" xfId="10055" xr:uid="{A80340D4-9AC2-43A4-84EF-678BD13A460D}"/>
    <cellStyle name="Calculation 17 9" xfId="12153" xr:uid="{F90EEF18-74FD-44D9-BB34-44668B56442A}"/>
    <cellStyle name="Calculation 18" xfId="815" xr:uid="{724CD280-0EBD-41C1-990A-916294A9A21D}"/>
    <cellStyle name="Calculation 18 10" xfId="15386" xr:uid="{FD365DDA-0A30-4D5D-83E3-934DD78B5082}"/>
    <cellStyle name="Calculation 18 11" xfId="16313" xr:uid="{720A59D3-6943-42AF-A185-299BD9D7BDA9}"/>
    <cellStyle name="Calculation 18 12" xfId="17184" xr:uid="{BEB08C42-6F25-4DD4-BFB4-3664FC279FFA}"/>
    <cellStyle name="Calculation 18 13" xfId="18034" xr:uid="{EFCACBA6-E513-44DB-9E16-DF34B8E4D206}"/>
    <cellStyle name="Calculation 18 2" xfId="816" xr:uid="{5CE0B8A5-55E2-4BE1-84B8-F72CA8053B39}"/>
    <cellStyle name="Calculation 18 2 10" xfId="10745" xr:uid="{9AFD80DE-67B8-4533-B4DF-9518BED9BA50}"/>
    <cellStyle name="Calculation 18 2 11" xfId="13106" xr:uid="{A06A7B73-5C34-446D-8D1C-493AD0944D97}"/>
    <cellStyle name="Calculation 18 2 12" xfId="9917" xr:uid="{585ADDF0-6307-4639-987C-86F7276AA8FB}"/>
    <cellStyle name="Calculation 18 2 2" xfId="6874" xr:uid="{52DB6489-4E08-409C-9D12-8C2B09DB1494}"/>
    <cellStyle name="Calculation 18 2 2 10" xfId="16448" xr:uid="{B845869F-BC9D-4C6D-80BA-852E9529E155}"/>
    <cellStyle name="Calculation 18 2 2 11" xfId="17319" xr:uid="{2C1E120C-E463-4868-B78C-D4AA52F45CD1}"/>
    <cellStyle name="Calculation 18 2 2 2" xfId="7224" xr:uid="{1A5818BE-598E-4129-9C7B-63D7FB9D4FB4}"/>
    <cellStyle name="Calculation 18 2 2 2 10" xfId="15619" xr:uid="{903E8224-DA72-49AA-8E02-1B52F943C770}"/>
    <cellStyle name="Calculation 18 2 2 2 2" xfId="8864" xr:uid="{5A52EB21-5399-4932-B880-27A6A64F61CD}"/>
    <cellStyle name="Calculation 18 2 2 2 2 2" xfId="13515" xr:uid="{6557EAE4-0E8D-42A6-992F-D4FA7364F107}"/>
    <cellStyle name="Calculation 18 2 2 2 2 3" xfId="14519" xr:uid="{79F9324F-46B2-4E41-9E81-0FA699F635AD}"/>
    <cellStyle name="Calculation 18 2 2 2 2 4" xfId="15477" xr:uid="{2E96E709-F760-4D55-8155-ABB875CEC825}"/>
    <cellStyle name="Calculation 18 2 2 2 2 5" xfId="16402" xr:uid="{77318EE3-5C1F-4034-A65D-E4C88040976D}"/>
    <cellStyle name="Calculation 18 2 2 2 2 6" xfId="17273" xr:uid="{F275756C-5A8E-4273-A081-19E48F065C4F}"/>
    <cellStyle name="Calculation 18 2 2 2 2 7" xfId="18119" xr:uid="{C83F7F5C-7EA3-44F3-B345-4A41586B8AFC}"/>
    <cellStyle name="Calculation 18 2 2 2 2 8" xfId="18883" xr:uid="{FA00808C-E4D4-4BB6-8405-9F0BD8C44D17}"/>
    <cellStyle name="Calculation 18 2 2 2 3" xfId="9710" xr:uid="{B674351C-AD40-4302-B979-778FBBD60E8A}"/>
    <cellStyle name="Calculation 18 2 2 2 3 2" xfId="14114" xr:uid="{42B6F9AF-BB02-40B2-9F4A-11F005D856FA}"/>
    <cellStyle name="Calculation 18 2 2 2 3 3" xfId="15074" xr:uid="{2B7B4358-FB48-48BF-B76F-C5F519E32B9A}"/>
    <cellStyle name="Calculation 18 2 2 2 3 4" xfId="16026" xr:uid="{FEC00A25-265A-414F-84E9-F94FC6984629}"/>
    <cellStyle name="Calculation 18 2 2 2 3 5" xfId="16900" xr:uid="{C1F307F3-CDAF-42C4-A2E4-858AC9CB82F1}"/>
    <cellStyle name="Calculation 18 2 2 2 3 6" xfId="17765" xr:uid="{AA360D3D-E01F-4FD8-85F8-21C56A50A533}"/>
    <cellStyle name="Calculation 18 2 2 2 3 7" xfId="18541" xr:uid="{E6230C49-E6A8-4E3A-9592-E9B15D2ECCDE}"/>
    <cellStyle name="Calculation 18 2 2 2 3 8" xfId="19298" xr:uid="{93626561-126D-4A20-AA53-60A46740F47E}"/>
    <cellStyle name="Calculation 18 2 2 2 4" xfId="12487" xr:uid="{9E96FEF3-236E-46C6-A6E5-552A3401C57B}"/>
    <cellStyle name="Calculation 18 2 2 2 5" xfId="10394" xr:uid="{F40A42A7-EE57-4685-A500-8BCB76995654}"/>
    <cellStyle name="Calculation 18 2 2 2 6" xfId="12922" xr:uid="{A29B5D1E-40A7-4422-A453-68C04E51B89F}"/>
    <cellStyle name="Calculation 18 2 2 2 7" xfId="10062" xr:uid="{652852FB-4820-44E5-A456-766C4B0BA8BD}"/>
    <cellStyle name="Calculation 18 2 2 2 8" xfId="13702" xr:uid="{90FA6A2C-4852-4096-98C8-2FA4A9FAFAA7}"/>
    <cellStyle name="Calculation 18 2 2 2 9" xfId="14667" xr:uid="{89ED2D5D-1A48-4364-8E57-526129DFEDB8}"/>
    <cellStyle name="Calculation 18 2 2 3" xfId="8514" xr:uid="{1730DB6D-9FF9-4213-B621-1F582F5FEBED}"/>
    <cellStyle name="Calculation 18 2 2 3 2" xfId="13254" xr:uid="{D093BA43-99C0-4FE4-B90C-B1619F610AE9}"/>
    <cellStyle name="Calculation 18 2 2 3 3" xfId="14274" xr:uid="{1EC9A0AE-1C12-40E3-BC37-3F15A6593BF7}"/>
    <cellStyle name="Calculation 18 2 2 3 4" xfId="15234" xr:uid="{213344C8-53D6-4C4E-BCB9-CE85FF27CCE9}"/>
    <cellStyle name="Calculation 18 2 2 3 5" xfId="16183" xr:uid="{AEAEAA03-E096-41F9-AB71-C47397EE5476}"/>
    <cellStyle name="Calculation 18 2 2 3 6" xfId="17056" xr:uid="{C7F467A0-6243-4539-9247-B0D78323D7E7}"/>
    <cellStyle name="Calculation 18 2 2 3 7" xfId="17921" xr:uid="{0478A9D2-76D3-4496-BBD2-3C763D6A2ECF}"/>
    <cellStyle name="Calculation 18 2 2 3 8" xfId="18697" xr:uid="{B8C73880-55FC-4C66-A369-F6BED9604F96}"/>
    <cellStyle name="Calculation 18 2 2 4" xfId="9524" xr:uid="{758404FE-B7A8-4342-8B98-3D1A8AC97883}"/>
    <cellStyle name="Calculation 18 2 2 4 2" xfId="13928" xr:uid="{1D666D3E-8D8D-4780-8A79-32C5E92C5C41}"/>
    <cellStyle name="Calculation 18 2 2 4 3" xfId="14888" xr:uid="{F3C1C833-543E-4C8A-9601-7D27734F7F15}"/>
    <cellStyle name="Calculation 18 2 2 4 4" xfId="15840" xr:uid="{F8D31A10-C66A-4531-9EC4-1CF8D3DF98B3}"/>
    <cellStyle name="Calculation 18 2 2 4 5" xfId="16714" xr:uid="{D41F3DF7-DA9B-4B18-ADF0-AD19AFE0DD99}"/>
    <cellStyle name="Calculation 18 2 2 4 6" xfId="17579" xr:uid="{788E07A9-D4AF-40F7-A056-D900AA33529B}"/>
    <cellStyle name="Calculation 18 2 2 4 7" xfId="18355" xr:uid="{11A9F488-DFE7-4FA3-9EFC-D39713A141B4}"/>
    <cellStyle name="Calculation 18 2 2 4 8" xfId="19112" xr:uid="{377C0D39-61B6-46EA-8DC9-774E659E00CC}"/>
    <cellStyle name="Calculation 18 2 2 5" xfId="12225" xr:uid="{BEA42B22-1433-4497-A343-786A92EC503B}"/>
    <cellStyle name="Calculation 18 2 2 6" xfId="10640" xr:uid="{3564AF85-E91D-449B-9E5A-D717377ED0F1}"/>
    <cellStyle name="Calculation 18 2 2 7" xfId="13618" xr:uid="{66419931-97B6-444A-B6ED-A7D47F562AF1}"/>
    <cellStyle name="Calculation 18 2 2 8" xfId="14596" xr:uid="{1B70CF7C-3AF2-4319-94B1-49BC07CD116C}"/>
    <cellStyle name="Calculation 18 2 2 9" xfId="15549" xr:uid="{06D79E1A-7A35-4A1A-863C-4C2EA8F81D10}"/>
    <cellStyle name="Calculation 18 2 3" xfId="6978" xr:uid="{73DEB2DB-3A69-4A60-91AF-09D6AE4E138E}"/>
    <cellStyle name="Calculation 18 2 3 10" xfId="12748" xr:uid="{26C720C0-095D-46A9-B725-73D1A97B9BFE}"/>
    <cellStyle name="Calculation 18 2 3 2" xfId="8617" xr:uid="{A194BE83-DEF1-4FAB-8881-4A9F6074B209}"/>
    <cellStyle name="Calculation 18 2 3 2 2" xfId="13339" xr:uid="{44128086-B4CD-4092-A6FF-45670D071E18}"/>
    <cellStyle name="Calculation 18 2 3 2 3" xfId="14353" xr:uid="{C65CF1CF-8E8D-4841-9ED6-46DDEE506E9B}"/>
    <cellStyle name="Calculation 18 2 3 2 4" xfId="15313" xr:uid="{32321ECC-7F2B-4C1C-A61F-69C696295B9F}"/>
    <cellStyle name="Calculation 18 2 3 2 5" xfId="16257" xr:uid="{FE1B46E1-ED89-49B4-8F3D-BEFA4455DC29}"/>
    <cellStyle name="Calculation 18 2 3 2 6" xfId="17130" xr:uid="{3D160983-6CA2-4B38-83FF-00B97896DED9}"/>
    <cellStyle name="Calculation 18 2 3 2 7" xfId="17995" xr:uid="{622D2795-9CBA-4B94-894D-E80CB3B21191}"/>
    <cellStyle name="Calculation 18 2 3 2 8" xfId="18770" xr:uid="{41AE4D04-5943-4E95-A6FC-42881A79A911}"/>
    <cellStyle name="Calculation 18 2 3 3" xfId="9597" xr:uid="{6BAD1C9C-3E92-4529-ACF6-2882E9FF7C61}"/>
    <cellStyle name="Calculation 18 2 3 3 2" xfId="14001" xr:uid="{D6F9C2E9-6F01-439A-8338-75E2F71CA948}"/>
    <cellStyle name="Calculation 18 2 3 3 3" xfId="14961" xr:uid="{9CAF7A5E-1B61-43EB-B7FA-18264024CDE3}"/>
    <cellStyle name="Calculation 18 2 3 3 4" xfId="15913" xr:uid="{038217F0-43CD-417E-BBAC-225EA4AD074E}"/>
    <cellStyle name="Calculation 18 2 3 3 5" xfId="16787" xr:uid="{AF5434D5-C144-4F17-8563-3C7B48E1884C}"/>
    <cellStyle name="Calculation 18 2 3 3 6" xfId="17652" xr:uid="{E63B8A32-0E81-4E1F-B561-0C30634C7D2F}"/>
    <cellStyle name="Calculation 18 2 3 3 7" xfId="18428" xr:uid="{FD5924C8-41A9-4077-8A50-9EDA34E21D47}"/>
    <cellStyle name="Calculation 18 2 3 3 8" xfId="19185" xr:uid="{27C8D975-CEA0-49A3-AF27-A76ACC5869D3}"/>
    <cellStyle name="Calculation 18 2 3 4" xfId="12312" xr:uid="{128E884B-89FD-4F1C-B14A-4B1881A1F2CE}"/>
    <cellStyle name="Calculation 18 2 3 5" xfId="10558" xr:uid="{84824ED6-6F12-46BD-8871-F9EFA02285B2}"/>
    <cellStyle name="Calculation 18 2 3 6" xfId="12611" xr:uid="{B5916272-5C60-42D1-9D2C-ABCA914B4323}"/>
    <cellStyle name="Calculation 18 2 3 7" xfId="10294" xr:uid="{9AE230E2-7977-4B4C-8269-541E9DFD693F}"/>
    <cellStyle name="Calculation 18 2 3 8" xfId="13155" xr:uid="{3342C39B-B134-40A1-B6D3-F459DFD1A10E}"/>
    <cellStyle name="Calculation 18 2 3 9" xfId="9879" xr:uid="{ADDC01D4-E02E-432E-BAFB-0B4D97432EA4}"/>
    <cellStyle name="Calculation 18 2 4" xfId="7779" xr:uid="{E3932DCC-D550-4CF9-8004-8C1862CB874E}"/>
    <cellStyle name="Calculation 18 2 4 2" xfId="12806" xr:uid="{7A6A18FD-D462-4448-BD35-504C5C203C4A}"/>
    <cellStyle name="Calculation 18 2 4 3" xfId="12017" xr:uid="{EF847668-52C7-4763-9CEF-8C73ADB3BAE8}"/>
    <cellStyle name="Calculation 18 2 4 4" xfId="10816" xr:uid="{EAEACA31-DE17-46AB-8B1D-1A1AE162A5AA}"/>
    <cellStyle name="Calculation 18 2 4 5" xfId="11604" xr:uid="{B81016AD-258F-46BA-A6E3-3BBB1EFA0189}"/>
    <cellStyle name="Calculation 18 2 4 6" xfId="11155" xr:uid="{67D80F4F-F841-44A4-A8BF-2DBCFECD5812}"/>
    <cellStyle name="Calculation 18 2 4 7" xfId="13022" xr:uid="{B41F5FF6-ACB6-46FC-BA92-6D272AAD80FF}"/>
    <cellStyle name="Calculation 18 2 4 8" xfId="9973" xr:uid="{BB05961B-AADB-44CC-90F9-74EC0EE68DC7}"/>
    <cellStyle name="Calculation 18 2 5" xfId="7902" xr:uid="{BAC7AE0E-83A3-4914-991F-832C9251C6EF}"/>
    <cellStyle name="Calculation 18 2 5 2" xfId="12895" xr:uid="{D3714002-8496-431B-B245-F07EAA1A28F3}"/>
    <cellStyle name="Calculation 18 2 5 3" xfId="10086" xr:uid="{C9E2E175-CA39-4435-8515-BA1774792C36}"/>
    <cellStyle name="Calculation 18 2 5 4" xfId="12144" xr:uid="{C64DE6A4-E852-4431-8DBD-160A952AF607}"/>
    <cellStyle name="Calculation 18 2 5 5" xfId="10714" xr:uid="{99AD65FD-2BBB-48DF-9683-9F814EF7A45A}"/>
    <cellStyle name="Calculation 18 2 5 6" xfId="13398" xr:uid="{241695A5-F006-422D-8580-4B3A46A24B0A}"/>
    <cellStyle name="Calculation 18 2 5 7" xfId="14407" xr:uid="{E880878A-8B45-4CC4-9A77-72835EA2638C}"/>
    <cellStyle name="Calculation 18 2 5 8" xfId="15365" xr:uid="{C371A0A4-2285-4096-8387-EFCF6C7A8168}"/>
    <cellStyle name="Calculation 18 2 6" xfId="10191" xr:uid="{866B12A0-AF25-4A21-811B-A0E7A929BF05}"/>
    <cellStyle name="Calculation 18 2 7" xfId="12390" xr:uid="{3B1CC7A3-E186-4ACB-827B-CD79F211FED0}"/>
    <cellStyle name="Calculation 18 2 8" xfId="10487" xr:uid="{CF6A98E8-9DE4-4B0F-9F37-571DA0AD293B}"/>
    <cellStyle name="Calculation 18 2 9" xfId="12107" xr:uid="{CC4601D1-7E29-473D-B9C4-4311DDE41BA1}"/>
    <cellStyle name="Calculation 18 3" xfId="6875" xr:uid="{B5D202A4-7B8A-4EB9-8FF8-25C4AC1FB4F0}"/>
    <cellStyle name="Calculation 18 3 10" xfId="10571" xr:uid="{A4AFC9ED-861C-4FBE-A14A-E21BFC7C5082}"/>
    <cellStyle name="Calculation 18 3 11" xfId="12608" xr:uid="{489FE374-4A5D-4FEA-BA22-80E76D9079D8}"/>
    <cellStyle name="Calculation 18 3 2" xfId="7225" xr:uid="{9A9B7E64-C680-4BB2-BAD3-3541C5C708A5}"/>
    <cellStyle name="Calculation 18 3 2 10" xfId="12621" xr:uid="{D8DA2C9A-0999-43DC-92B0-F74FA80187C5}"/>
    <cellStyle name="Calculation 18 3 2 2" xfId="8865" xr:uid="{4E28FDA3-8AB8-4782-9075-C4E02C1BE4E1}"/>
    <cellStyle name="Calculation 18 3 2 2 2" xfId="13516" xr:uid="{AFBAA015-6BBD-4AF9-A0BD-B46EFDCBF5C5}"/>
    <cellStyle name="Calculation 18 3 2 2 3" xfId="14520" xr:uid="{17DAA766-37D5-4BE2-9BE4-11B2366333FE}"/>
    <cellStyle name="Calculation 18 3 2 2 4" xfId="15478" xr:uid="{02A32C66-F184-4DE6-B4DB-3019EFB098AD}"/>
    <cellStyle name="Calculation 18 3 2 2 5" xfId="16403" xr:uid="{0DA03E7A-BE90-4796-8EF4-D29EC9341FF8}"/>
    <cellStyle name="Calculation 18 3 2 2 6" xfId="17274" xr:uid="{9293100F-DD0C-4BCB-8B65-F5B3B4F19695}"/>
    <cellStyle name="Calculation 18 3 2 2 7" xfId="18120" xr:uid="{949A2A28-4D10-44CC-9AB4-8D036C50F09E}"/>
    <cellStyle name="Calculation 18 3 2 2 8" xfId="18884" xr:uid="{42AAFBCE-B40C-4714-B9EE-FB6E5A5CEAC0}"/>
    <cellStyle name="Calculation 18 3 2 3" xfId="9711" xr:uid="{DAF1F5B5-77DC-433B-865F-46DC847038BC}"/>
    <cellStyle name="Calculation 18 3 2 3 2" xfId="14115" xr:uid="{83338181-3AED-4275-9A6D-5CA18FBB9A4A}"/>
    <cellStyle name="Calculation 18 3 2 3 3" xfId="15075" xr:uid="{C5802570-14B8-4734-9FE6-14465E961B83}"/>
    <cellStyle name="Calculation 18 3 2 3 4" xfId="16027" xr:uid="{AED063FA-7427-48F6-941A-D42967C6F29A}"/>
    <cellStyle name="Calculation 18 3 2 3 5" xfId="16901" xr:uid="{2883F542-FE86-413F-B6E6-1732511550C5}"/>
    <cellStyle name="Calculation 18 3 2 3 6" xfId="17766" xr:uid="{FDFD2102-CFCA-444A-9606-7A59841FA22C}"/>
    <cellStyle name="Calculation 18 3 2 3 7" xfId="18542" xr:uid="{C72EBE97-0DC6-45F0-AB39-F18CA50D9028}"/>
    <cellStyle name="Calculation 18 3 2 3 8" xfId="19299" xr:uid="{6664052E-60EA-483F-99A4-CE66E49DFA2A}"/>
    <cellStyle name="Calculation 18 3 2 4" xfId="12488" xr:uid="{00D45F0F-1002-4272-924D-1B8516814506}"/>
    <cellStyle name="Calculation 18 3 2 5" xfId="10393" xr:uid="{73A14FF7-58FC-44F7-A7EC-C8B2E1BCBDDC}"/>
    <cellStyle name="Calculation 18 3 2 6" xfId="11731" xr:uid="{07F22302-99CE-416E-9FB5-81D9D33EA77D}"/>
    <cellStyle name="Calculation 18 3 2 7" xfId="11056" xr:uid="{97D294F4-CE88-4CC5-90B8-0B361D1411CA}"/>
    <cellStyle name="Calculation 18 3 2 8" xfId="12358" xr:uid="{E5FA3F85-5FEA-4FBE-A4CE-550B124FC3F3}"/>
    <cellStyle name="Calculation 18 3 2 9" xfId="10514" xr:uid="{F3F303D3-BEC3-4E9B-BC6E-54C3EEEFFE46}"/>
    <cellStyle name="Calculation 18 3 3" xfId="8515" xr:uid="{44E2CF3A-D6E4-4D5C-B4D0-E558A291FB8E}"/>
    <cellStyle name="Calculation 18 3 3 2" xfId="13255" xr:uid="{391AF9DD-81A1-40B5-874F-43F31C288C8C}"/>
    <cellStyle name="Calculation 18 3 3 3" xfId="14275" xr:uid="{A756D27A-6635-4730-AD6A-E2BD15955AD9}"/>
    <cellStyle name="Calculation 18 3 3 4" xfId="15235" xr:uid="{E76F10A7-A026-4FF8-917E-C94DEBB3315D}"/>
    <cellStyle name="Calculation 18 3 3 5" xfId="16184" xr:uid="{FD613EFE-1B91-4DDA-BF38-7C1FC1326D33}"/>
    <cellStyle name="Calculation 18 3 3 6" xfId="17057" xr:uid="{C1011439-ED0C-4208-82A0-95D8E577C24B}"/>
    <cellStyle name="Calculation 18 3 3 7" xfId="17922" xr:uid="{8B6C9F3F-45CA-45D2-BBEB-83D8932C7550}"/>
    <cellStyle name="Calculation 18 3 3 8" xfId="18698" xr:uid="{83BABB70-5C29-4052-A12D-CAF137851340}"/>
    <cellStyle name="Calculation 18 3 4" xfId="9525" xr:uid="{0E819FBC-E558-4C10-AEFD-0D22888CCB9C}"/>
    <cellStyle name="Calculation 18 3 4 2" xfId="13929" xr:uid="{9F4F5CFC-55F3-4CF4-B919-6697F40F4C29}"/>
    <cellStyle name="Calculation 18 3 4 3" xfId="14889" xr:uid="{B610EDB9-D2C2-43E8-85B3-CF2D92B44624}"/>
    <cellStyle name="Calculation 18 3 4 4" xfId="15841" xr:uid="{2A0DC692-BEE9-486A-9C29-41033DD23D05}"/>
    <cellStyle name="Calculation 18 3 4 5" xfId="16715" xr:uid="{1DE427D6-199B-4F9A-8A84-6755CB13D6B6}"/>
    <cellStyle name="Calculation 18 3 4 6" xfId="17580" xr:uid="{079BADD4-65BB-43AC-A8A0-2CB6D1DC96DB}"/>
    <cellStyle name="Calculation 18 3 4 7" xfId="18356" xr:uid="{FDB9D7CC-9136-4589-92C3-36C3F3F981A1}"/>
    <cellStyle name="Calculation 18 3 4 8" xfId="19113" xr:uid="{E4873A0D-8BC5-46E4-9CF7-46B04CD50B86}"/>
    <cellStyle name="Calculation 18 3 5" xfId="12226" xr:uid="{9F54BF73-C11C-4069-9CDD-F171431EEBF2}"/>
    <cellStyle name="Calculation 18 3 6" xfId="10639" xr:uid="{D513474A-5016-461F-8813-DFB8CE49FCDB}"/>
    <cellStyle name="Calculation 18 3 7" xfId="13116" xr:uid="{B47C5E88-2990-45AE-AF71-3A86E4BD06E9}"/>
    <cellStyle name="Calculation 18 3 8" xfId="9910" xr:uid="{168FAB95-E067-47CC-B1F7-7256038DF94D}"/>
    <cellStyle name="Calculation 18 3 9" xfId="12296" xr:uid="{7A20D43F-381A-413D-AE87-9F9551C73C25}"/>
    <cellStyle name="Calculation 18 4" xfId="6977" xr:uid="{E924398E-6E57-4381-9B53-11CFA81ABDAE}"/>
    <cellStyle name="Calculation 18 4 10" xfId="13089" xr:uid="{E3E8176A-0468-495D-88C9-30ADDFD82E18}"/>
    <cellStyle name="Calculation 18 4 2" xfId="8616" xr:uid="{FEE1874E-47AF-43E2-A51D-613CE2F0A2AA}"/>
    <cellStyle name="Calculation 18 4 2 2" xfId="13338" xr:uid="{44736E5F-A710-4218-B207-8A8AB030414E}"/>
    <cellStyle name="Calculation 18 4 2 3" xfId="14352" xr:uid="{0106E520-0CC5-4ED3-80DE-6439ED070588}"/>
    <cellStyle name="Calculation 18 4 2 4" xfId="15312" xr:uid="{6665CBF4-276E-4AE5-8000-334EF815DC1E}"/>
    <cellStyle name="Calculation 18 4 2 5" xfId="16256" xr:uid="{EAE915C0-200A-41A1-A145-0738F1CBF3AB}"/>
    <cellStyle name="Calculation 18 4 2 6" xfId="17129" xr:uid="{FA3653F3-5DE6-4F59-B1DB-B9D074DDCF52}"/>
    <cellStyle name="Calculation 18 4 2 7" xfId="17994" xr:uid="{F974D4EE-FF19-4BE8-B881-53BB3B6F5389}"/>
    <cellStyle name="Calculation 18 4 2 8" xfId="18769" xr:uid="{E9B518D8-B5EA-454D-9223-48F4F0F0BCA7}"/>
    <cellStyle name="Calculation 18 4 3" xfId="9596" xr:uid="{1B0D46CB-94B5-4A49-9AEA-ECDFB4B491A1}"/>
    <cellStyle name="Calculation 18 4 3 2" xfId="14000" xr:uid="{6976F416-0AC9-4489-9809-F4B980343B5D}"/>
    <cellStyle name="Calculation 18 4 3 3" xfId="14960" xr:uid="{353B0B04-3D2F-4274-B906-BEA90BC8F023}"/>
    <cellStyle name="Calculation 18 4 3 4" xfId="15912" xr:uid="{9DFEEBC9-3F30-44CF-AB26-5A571E0D05EA}"/>
    <cellStyle name="Calculation 18 4 3 5" xfId="16786" xr:uid="{56923C27-2CD6-4284-AF38-B297F7423E96}"/>
    <cellStyle name="Calculation 18 4 3 6" xfId="17651" xr:uid="{36D81E5F-70E2-4A70-982D-0214AAADDA0A}"/>
    <cellStyle name="Calculation 18 4 3 7" xfId="18427" xr:uid="{EBA32B85-DF9A-4A72-A805-AF6670802DB5}"/>
    <cellStyle name="Calculation 18 4 3 8" xfId="19184" xr:uid="{2B4AC186-D2DE-45D5-A23D-27095BEA1B72}"/>
    <cellStyle name="Calculation 18 4 4" xfId="12311" xr:uid="{D158F5E0-0168-4CFB-AD9F-139CA7187677}"/>
    <cellStyle name="Calculation 18 4 5" xfId="10559" xr:uid="{ECB4C83D-83F0-4984-91E0-EDD19B48F898}"/>
    <cellStyle name="Calculation 18 4 6" xfId="12096" xr:uid="{9FADE17A-F72B-424B-BFC5-2FEBE35DF8D7}"/>
    <cellStyle name="Calculation 18 4 7" xfId="10756" xr:uid="{A90FE3EE-00DC-452E-81C5-73FE6116D4C4}"/>
    <cellStyle name="Calculation 18 4 8" xfId="11658" xr:uid="{547B0D7F-977F-473C-9254-5C5F6438214E}"/>
    <cellStyle name="Calculation 18 4 9" xfId="11120" xr:uid="{59469B37-724D-456B-93C3-D53983A1BEE3}"/>
    <cellStyle name="Calculation 18 5" xfId="7778" xr:uid="{44B5EFA3-970E-4641-BA39-448BECD15C55}"/>
    <cellStyle name="Calculation 18 5 2" xfId="12805" xr:uid="{B8CC7D29-AB70-4C07-AB27-3C673AB596CD}"/>
    <cellStyle name="Calculation 18 5 3" xfId="10168" xr:uid="{8B8B06E1-0E96-4454-89BC-B39ABFADBB5C}"/>
    <cellStyle name="Calculation 18 5 4" xfId="13056" xr:uid="{3B6556C9-6A40-4BDB-A5AC-E20FB20312F9}"/>
    <cellStyle name="Calculation 18 5 5" xfId="9947" xr:uid="{21396024-FC1C-4BED-9395-87CA08C0069C}"/>
    <cellStyle name="Calculation 18 5 6" xfId="13718" xr:uid="{B16AFE0D-A089-4DC3-B00B-6E6AF9FF28B7}"/>
    <cellStyle name="Calculation 18 5 7" xfId="14681" xr:uid="{1769CE3D-947F-47E1-A402-914E640561B5}"/>
    <cellStyle name="Calculation 18 5 8" xfId="15633" xr:uid="{27FC7985-D2E9-444B-ADB7-C310550945FE}"/>
    <cellStyle name="Calculation 18 6" xfId="7903" xr:uid="{697C208A-B08C-4319-B290-F41E66CDD066}"/>
    <cellStyle name="Calculation 18 6 2" xfId="12896" xr:uid="{98A70FE6-6ABC-4AC0-A819-9831E39728F3}"/>
    <cellStyle name="Calculation 18 6 3" xfId="10085" xr:uid="{31D16496-D534-4A86-BD6E-7F484A70304C}"/>
    <cellStyle name="Calculation 18 6 4" xfId="12680" xr:uid="{D6560AEF-AECC-4D61-8070-114369E8F7C3}"/>
    <cellStyle name="Calculation 18 6 5" xfId="10240" xr:uid="{FB32882B-C933-4111-9412-8310EE13D7C5}"/>
    <cellStyle name="Calculation 18 6 6" xfId="13678" xr:uid="{3C42EC3E-739B-4BED-8FD2-2057DC4660B6}"/>
    <cellStyle name="Calculation 18 6 7" xfId="14647" xr:uid="{F10F62AD-EC53-4604-A34A-709898186192}"/>
    <cellStyle name="Calculation 18 6 8" xfId="15599" xr:uid="{446B245C-26B8-42ED-A36C-F8CD11272284}"/>
    <cellStyle name="Calculation 18 7" xfId="10190" xr:uid="{3343A90F-FD1A-4A28-AD38-702AF78CE5AA}"/>
    <cellStyle name="Calculation 18 8" xfId="13421" xr:uid="{500F689F-7C2C-4D01-B3CE-B4A3B6737284}"/>
    <cellStyle name="Calculation 18 9" xfId="14428" xr:uid="{C9189E8A-54FB-46BA-A87F-B97E3A37E405}"/>
    <cellStyle name="Calculation 19" xfId="817" xr:uid="{19F27193-DE02-4CF3-8249-FD4D722859A2}"/>
    <cellStyle name="Calculation 19 10" xfId="12702" xr:uid="{D88916AA-5789-4DDD-A853-7BAE98E51DAA}"/>
    <cellStyle name="Calculation 19 11" xfId="10222" xr:uid="{E99B03E9-84C5-40F7-9040-FC25B02BB7A2}"/>
    <cellStyle name="Calculation 19 12" xfId="12129" xr:uid="{8BF23834-B0AD-4A31-BF48-C5BCC20E3BF1}"/>
    <cellStyle name="Calculation 19 13" xfId="10726" xr:uid="{4D66AA40-5C29-40BD-B77C-3E33F8A370BE}"/>
    <cellStyle name="Calculation 19 2" xfId="818" xr:uid="{BF62E8C2-768A-4EC8-B540-19F8813937A9}"/>
    <cellStyle name="Calculation 19 2 10" xfId="16492" xr:uid="{9472814E-DB72-4492-891F-D7CE61D1C6FD}"/>
    <cellStyle name="Calculation 19 2 11" xfId="17360" xr:uid="{33292C9A-2498-448D-8FE9-67085970D218}"/>
    <cellStyle name="Calculation 19 2 12" xfId="18158" xr:uid="{86C9BED5-01D4-425D-9B2E-CC3A79798A74}"/>
    <cellStyle name="Calculation 19 2 2" xfId="6872" xr:uid="{CF5BB10B-6FB3-4863-9BB2-1F51160F38BD}"/>
    <cellStyle name="Calculation 19 2 2 10" xfId="11130" xr:uid="{491C3452-7A0E-4793-B5A6-27A68E823EC2}"/>
    <cellStyle name="Calculation 19 2 2 11" xfId="13088" xr:uid="{6A3CA2CC-50BF-4B27-A029-CD0983C0630A}"/>
    <cellStyle name="Calculation 19 2 2 2" xfId="7226" xr:uid="{40EE4519-67E9-44B8-B1E7-BEEEC8E79826}"/>
    <cellStyle name="Calculation 19 2 2 2 10" xfId="15363" xr:uid="{35DBE4BE-3868-48D5-A7D9-03642FDA7012}"/>
    <cellStyle name="Calculation 19 2 2 2 2" xfId="8866" xr:uid="{876863AF-C5CC-4AC2-A97D-C294EE758A0C}"/>
    <cellStyle name="Calculation 19 2 2 2 2 2" xfId="13517" xr:uid="{4923521C-596D-4859-8B81-A575A29A04D0}"/>
    <cellStyle name="Calculation 19 2 2 2 2 3" xfId="14521" xr:uid="{0E7AD35A-EA96-4925-BE11-FCA482E605ED}"/>
    <cellStyle name="Calculation 19 2 2 2 2 4" xfId="15479" xr:uid="{9271BD6F-FC22-4CD6-B590-07CB5F85F464}"/>
    <cellStyle name="Calculation 19 2 2 2 2 5" xfId="16404" xr:uid="{AA25BABD-870B-4946-9B2B-23318F025254}"/>
    <cellStyle name="Calculation 19 2 2 2 2 6" xfId="17275" xr:uid="{02022370-C2C0-425B-BF7B-14D6EA278562}"/>
    <cellStyle name="Calculation 19 2 2 2 2 7" xfId="18121" xr:uid="{2902DEBF-5AA7-473E-802C-5621D2E8A399}"/>
    <cellStyle name="Calculation 19 2 2 2 2 8" xfId="18885" xr:uid="{CB8204D0-14C9-444A-821F-56AFF4AEADD8}"/>
    <cellStyle name="Calculation 19 2 2 2 3" xfId="9712" xr:uid="{7B4873B9-A922-4BE6-A546-1626FDBB6FC2}"/>
    <cellStyle name="Calculation 19 2 2 2 3 2" xfId="14116" xr:uid="{EB3DD050-4BAE-4F27-9F05-C7BB3281A992}"/>
    <cellStyle name="Calculation 19 2 2 2 3 3" xfId="15076" xr:uid="{AAE94A17-7A9E-453F-AB5C-2058EDBFD17C}"/>
    <cellStyle name="Calculation 19 2 2 2 3 4" xfId="16028" xr:uid="{F64B2519-E7D8-4D67-A035-C2ED72F22F9B}"/>
    <cellStyle name="Calculation 19 2 2 2 3 5" xfId="16902" xr:uid="{4CA51896-36D5-46FA-AB08-717C5AC456C8}"/>
    <cellStyle name="Calculation 19 2 2 2 3 6" xfId="17767" xr:uid="{7AC43EF9-6862-4234-A4F4-0450B3928AB5}"/>
    <cellStyle name="Calculation 19 2 2 2 3 7" xfId="18543" xr:uid="{32F34601-E668-47B8-A037-F77E9C93B41B}"/>
    <cellStyle name="Calculation 19 2 2 2 3 8" xfId="19300" xr:uid="{7C5BF453-255B-4CD0-B759-097BCEC0635C}"/>
    <cellStyle name="Calculation 19 2 2 2 4" xfId="12489" xr:uid="{E00AB8C0-4062-4088-8A6F-76444345DD44}"/>
    <cellStyle name="Calculation 19 2 2 2 5" xfId="10392" xr:uid="{A804F926-E18F-471C-AC22-CC76DC8FA560}"/>
    <cellStyle name="Calculation 19 2 2 2 6" xfId="12115" xr:uid="{7DF9E258-FB92-458A-9949-4FC4358BE335}"/>
    <cellStyle name="Calculation 19 2 2 2 7" xfId="10737" xr:uid="{94522AEE-5A22-405A-B990-7F3FD728350A}"/>
    <cellStyle name="Calculation 19 2 2 2 8" xfId="13396" xr:uid="{71450878-7B7D-4C20-A330-F504E59EBA35}"/>
    <cellStyle name="Calculation 19 2 2 2 9" xfId="14405" xr:uid="{32AD53D9-264D-451D-9FCD-1C97644B2FA9}"/>
    <cellStyle name="Calculation 19 2 2 3" xfId="8512" xr:uid="{079341FC-DF59-4233-9E64-74C58CFBDCC2}"/>
    <cellStyle name="Calculation 19 2 2 3 2" xfId="13252" xr:uid="{FC946676-7F11-4391-BDE5-88273DB92758}"/>
    <cellStyle name="Calculation 19 2 2 3 3" xfId="14272" xr:uid="{9DBD6C55-61B1-4DFC-8A84-C263298BD2FA}"/>
    <cellStyle name="Calculation 19 2 2 3 4" xfId="15232" xr:uid="{0F703034-3B6C-4363-8EBF-B31D44838A73}"/>
    <cellStyle name="Calculation 19 2 2 3 5" xfId="16181" xr:uid="{3DC690FE-E456-48C8-AA60-65961E8D1A4A}"/>
    <cellStyle name="Calculation 19 2 2 3 6" xfId="17054" xr:uid="{5B04FA1F-BF98-4637-A62E-2EBBB3433628}"/>
    <cellStyle name="Calculation 19 2 2 3 7" xfId="17919" xr:uid="{589E84E2-A2CE-46A6-91AD-D50F42A4D1E5}"/>
    <cellStyle name="Calculation 19 2 2 3 8" xfId="18695" xr:uid="{C95635D9-E074-4AB8-A596-8B73ACF615AF}"/>
    <cellStyle name="Calculation 19 2 2 4" xfId="9522" xr:uid="{A0C3C70F-A4B3-43D6-A9FD-38967A3F15B5}"/>
    <cellStyle name="Calculation 19 2 2 4 2" xfId="13926" xr:uid="{E8E3F2FF-BDA1-469E-AF2A-3DCAA3C922D1}"/>
    <cellStyle name="Calculation 19 2 2 4 3" xfId="14886" xr:uid="{E2DBFBAA-3BCA-4223-996C-AF12380145DC}"/>
    <cellStyle name="Calculation 19 2 2 4 4" xfId="15838" xr:uid="{6C4739F4-1214-49A8-B423-CC6C41C92FD7}"/>
    <cellStyle name="Calculation 19 2 2 4 5" xfId="16712" xr:uid="{057B00AA-3596-4233-B1B2-B8D7AF4A2CD1}"/>
    <cellStyle name="Calculation 19 2 2 4 6" xfId="17577" xr:uid="{29CDEF93-D8B5-46B4-97AD-0BC8F368B37F}"/>
    <cellStyle name="Calculation 19 2 2 4 7" xfId="18353" xr:uid="{00A3C92A-842A-495A-8C9F-B02413B1F932}"/>
    <cellStyle name="Calculation 19 2 2 4 8" xfId="19110" xr:uid="{8E8EAD90-5230-4741-9FFA-B088CFA0771C}"/>
    <cellStyle name="Calculation 19 2 2 5" xfId="12223" xr:uid="{D2E4A8BF-3DAD-4321-A974-7E36DD73F31F}"/>
    <cellStyle name="Calculation 19 2 2 6" xfId="10642" xr:uid="{E025AB14-A3C8-4597-BC30-BE0E46090DD8}"/>
    <cellStyle name="Calculation 19 2 2 7" xfId="12083" xr:uid="{1B5B3469-1EF6-45D1-B6C8-0E0DCE3C12DC}"/>
    <cellStyle name="Calculation 19 2 2 8" xfId="10767" xr:uid="{A6E4D795-97F7-4A27-AE78-119123B94419}"/>
    <cellStyle name="Calculation 19 2 2 9" xfId="11647" xr:uid="{DCB32737-6D6E-431E-B29E-4548067290E8}"/>
    <cellStyle name="Calculation 19 2 3" xfId="6980" xr:uid="{5E18AC5F-C4C9-4347-B0CC-7ACFF8CC7C7B}"/>
    <cellStyle name="Calculation 19 2 3 10" xfId="13103" xr:uid="{E9EF804C-4297-4044-95AF-2F767A77F67A}"/>
    <cellStyle name="Calculation 19 2 3 2" xfId="8619" xr:uid="{D0D01EDE-699F-4CD7-9EE4-0AB57A2CBE76}"/>
    <cellStyle name="Calculation 19 2 3 2 2" xfId="13341" xr:uid="{A4E0B399-7CA1-471C-9BA9-32613D31B4C2}"/>
    <cellStyle name="Calculation 19 2 3 2 3" xfId="14355" xr:uid="{BAFECEB0-5152-4CAF-B104-66FBA81C5D9D}"/>
    <cellStyle name="Calculation 19 2 3 2 4" xfId="15315" xr:uid="{049D44F2-EDCA-4D7B-8799-87FD858A1393}"/>
    <cellStyle name="Calculation 19 2 3 2 5" xfId="16259" xr:uid="{3E8B1142-FBCE-4443-B2D6-02DEB6A5B90D}"/>
    <cellStyle name="Calculation 19 2 3 2 6" xfId="17132" xr:uid="{54CF22A5-8C42-4309-A3CE-878030FB510B}"/>
    <cellStyle name="Calculation 19 2 3 2 7" xfId="17997" xr:uid="{0656AE90-7A85-438D-BAB2-DF894AD1AE91}"/>
    <cellStyle name="Calculation 19 2 3 2 8" xfId="18772" xr:uid="{7D34DD66-4CD3-4110-BB15-B93230CA8CB5}"/>
    <cellStyle name="Calculation 19 2 3 3" xfId="9599" xr:uid="{937A5DD0-C8EF-4B3E-B0CD-5CDA8EB89C40}"/>
    <cellStyle name="Calculation 19 2 3 3 2" xfId="14003" xr:uid="{157EB126-D33E-4D98-8374-3459E3D5D9F5}"/>
    <cellStyle name="Calculation 19 2 3 3 3" xfId="14963" xr:uid="{683F9FA7-E546-4CB0-92A6-17D0D9849FEC}"/>
    <cellStyle name="Calculation 19 2 3 3 4" xfId="15915" xr:uid="{ED8C5E9C-5F7E-43AB-891E-7C1BAAA64F23}"/>
    <cellStyle name="Calculation 19 2 3 3 5" xfId="16789" xr:uid="{35633BE0-3A80-48CB-B8A1-29F974EDF915}"/>
    <cellStyle name="Calculation 19 2 3 3 6" xfId="17654" xr:uid="{B28FC8B9-8C06-460A-A222-F3899A7B4D5A}"/>
    <cellStyle name="Calculation 19 2 3 3 7" xfId="18430" xr:uid="{BF890927-6332-4ABF-A72E-3EBE5BCC8488}"/>
    <cellStyle name="Calculation 19 2 3 3 8" xfId="19187" xr:uid="{66D72573-021E-4D30-B1B9-BB0FFAE53A77}"/>
    <cellStyle name="Calculation 19 2 3 4" xfId="12314" xr:uid="{26BF069E-BB3A-4144-B03A-AB0D4CB954EA}"/>
    <cellStyle name="Calculation 19 2 3 5" xfId="10556" xr:uid="{96731855-F9B2-4A37-A515-81BEE6DA5F8C}"/>
    <cellStyle name="Calculation 19 2 3 6" xfId="13128" xr:uid="{D18A033F-94E7-4F0C-B62A-EBA9716602B6}"/>
    <cellStyle name="Calculation 19 2 3 7" xfId="9899" xr:uid="{2BB0AF1A-3E12-4DEA-AD4A-E60A0385FCB9}"/>
    <cellStyle name="Calculation 19 2 3 8" xfId="11839" xr:uid="{88103C85-4224-4356-8D29-6B95C784B862}"/>
    <cellStyle name="Calculation 19 2 3 9" xfId="10973" xr:uid="{92EE63E4-5AE9-4DEB-B32A-7B2C36ED1FE9}"/>
    <cellStyle name="Calculation 19 2 4" xfId="7781" xr:uid="{6A9287C4-2880-431D-ADAF-4BB8F9CD15DF}"/>
    <cellStyle name="Calculation 19 2 4 2" xfId="12808" xr:uid="{DE8148C5-B637-44BC-8C6D-E0375F5CC44B}"/>
    <cellStyle name="Calculation 19 2 4 3" xfId="10166" xr:uid="{D6CBA73B-CDEB-4A0C-B4F1-D305CC3BB946}"/>
    <cellStyle name="Calculation 19 2 4 4" xfId="13422" xr:uid="{D2024FA2-E60D-4409-A5BA-0BE757C651B6}"/>
    <cellStyle name="Calculation 19 2 4 5" xfId="14429" xr:uid="{37C99328-F4E8-4A58-B96A-65351D0B886B}"/>
    <cellStyle name="Calculation 19 2 4 6" xfId="15387" xr:uid="{18F73E28-3368-4D45-BB6F-DFAC00179684}"/>
    <cellStyle name="Calculation 19 2 4 7" xfId="16314" xr:uid="{02CCCEFC-CDC0-4B48-9B06-299F09DE44F8}"/>
    <cellStyle name="Calculation 19 2 4 8" xfId="17185" xr:uid="{240EB43B-034C-456A-9C27-D85423788ABC}"/>
    <cellStyle name="Calculation 19 2 5" xfId="7900" xr:uid="{F4238323-13DC-4373-8900-CD32362BBEDD}"/>
    <cellStyle name="Calculation 19 2 5 2" xfId="12893" xr:uid="{C40D5E63-D267-4CA4-B4E6-D6D3113BCA32}"/>
    <cellStyle name="Calculation 19 2 5 3" xfId="10088" xr:uid="{E846366C-F3EB-4F82-B3C1-4F39DB4E7C3C}"/>
    <cellStyle name="Calculation 19 2 5 4" xfId="12935" xr:uid="{042E4FF8-9704-448B-A14A-3B9AF4C8DA5F}"/>
    <cellStyle name="Calculation 19 2 5 5" xfId="10053" xr:uid="{1069F57A-BDDA-46F8-82AB-57F94332A24E}"/>
    <cellStyle name="Calculation 19 2 5 6" xfId="13180" xr:uid="{A49CFEC5-A410-46B6-9747-2982D68024EA}"/>
    <cellStyle name="Calculation 19 2 5 7" xfId="9858" xr:uid="{7EC53921-8092-4218-A355-539A59748E10}"/>
    <cellStyle name="Calculation 19 2 5 8" xfId="12750" xr:uid="{997B0B12-BF83-494C-B0F6-6CEC3B8249B1}"/>
    <cellStyle name="Calculation 19 2 6" xfId="10193" xr:uid="{C1468BF2-15FC-4B1C-BC1F-27C3FE266ED1}"/>
    <cellStyle name="Calculation 19 2 7" xfId="13687" xr:uid="{876B3D46-B88B-441C-BD68-EBB3C6C4178B}"/>
    <cellStyle name="Calculation 19 2 8" xfId="14655" xr:uid="{7B211099-B17A-42AC-9744-67212885974A}"/>
    <cellStyle name="Calculation 19 2 9" xfId="15607" xr:uid="{E65ABC2B-2AD4-42E8-AC7F-B71BA7D037B7}"/>
    <cellStyle name="Calculation 19 3" xfId="6873" xr:uid="{919BB082-6309-443E-AB81-A56A324F75B7}"/>
    <cellStyle name="Calculation 19 3 10" xfId="11043" xr:uid="{F7B17159-CDA3-44B1-BF71-52CEA5CF271A}"/>
    <cellStyle name="Calculation 19 3 11" xfId="13389" xr:uid="{87E39BEB-ADA9-4481-BFD2-974F257A4AD5}"/>
    <cellStyle name="Calculation 19 3 2" xfId="7227" xr:uid="{E35CE943-E579-4F18-B89B-F870DD6CDA2A}"/>
    <cellStyle name="Calculation 19 3 2 10" xfId="13040" xr:uid="{0563BF3A-2F7B-41D8-8F1A-8633FEB04DC1}"/>
    <cellStyle name="Calculation 19 3 2 2" xfId="8867" xr:uid="{CE4672B5-AEA2-44C8-9BE5-17366E1D265E}"/>
    <cellStyle name="Calculation 19 3 2 2 2" xfId="13518" xr:uid="{55986575-845B-466C-843E-E0A33639A52A}"/>
    <cellStyle name="Calculation 19 3 2 2 3" xfId="14522" xr:uid="{CAD4D036-4AF5-49BD-AE8A-7C4A73A178DB}"/>
    <cellStyle name="Calculation 19 3 2 2 4" xfId="15480" xr:uid="{50C7361A-B8DC-4E2F-93CC-B1FDE8E220E5}"/>
    <cellStyle name="Calculation 19 3 2 2 5" xfId="16405" xr:uid="{B8C7F2C3-F854-4473-AB08-BF80926F6DEA}"/>
    <cellStyle name="Calculation 19 3 2 2 6" xfId="17276" xr:uid="{53B05EB0-FAD4-41C7-BE4E-95612DF8C0F6}"/>
    <cellStyle name="Calculation 19 3 2 2 7" xfId="18122" xr:uid="{79D620D7-192F-4665-A4A1-C20725FBF539}"/>
    <cellStyle name="Calculation 19 3 2 2 8" xfId="18886" xr:uid="{B6FDE864-E0AA-4921-81A7-C4BFA47D0327}"/>
    <cellStyle name="Calculation 19 3 2 3" xfId="9713" xr:uid="{56CAE30B-D5CD-408B-B622-500FCFF8E1E4}"/>
    <cellStyle name="Calculation 19 3 2 3 2" xfId="14117" xr:uid="{B8D94A4A-F57E-4CDF-AF41-50EE95514CC7}"/>
    <cellStyle name="Calculation 19 3 2 3 3" xfId="15077" xr:uid="{1A75EB68-0141-4747-90B8-B427B414044A}"/>
    <cellStyle name="Calculation 19 3 2 3 4" xfId="16029" xr:uid="{AE9776C1-C291-455C-9929-E77F7885A30B}"/>
    <cellStyle name="Calculation 19 3 2 3 5" xfId="16903" xr:uid="{207DFCA4-8BE9-41F5-841B-D6CA5C918F08}"/>
    <cellStyle name="Calculation 19 3 2 3 6" xfId="17768" xr:uid="{881E3A7F-C190-43EA-B8CE-0CE103FA30FF}"/>
    <cellStyle name="Calculation 19 3 2 3 7" xfId="18544" xr:uid="{F0A8E546-2A2D-4E8C-A89D-BA5259E2A059}"/>
    <cellStyle name="Calculation 19 3 2 3 8" xfId="19301" xr:uid="{FD2715AF-8372-4818-B7C7-E81264B28F04}"/>
    <cellStyle name="Calculation 19 3 2 4" xfId="12490" xr:uid="{0EDC0AA4-A0B9-47A4-98D3-E491A99D2CD6}"/>
    <cellStyle name="Calculation 19 3 2 5" xfId="10391" xr:uid="{DA5B81E7-01CC-4BB5-BFA5-BE48FFF0DD5E}"/>
    <cellStyle name="Calculation 19 3 2 6" xfId="12638" xr:uid="{BF2EF551-EBD6-4C65-A1B5-54BA98D338CA}"/>
    <cellStyle name="Calculation 19 3 2 7" xfId="10273" xr:uid="{E47B59D6-645B-4857-9686-111E2C1A5E4D}"/>
    <cellStyle name="Calculation 19 3 2 8" xfId="12384" xr:uid="{036D19A0-A23D-42FA-B706-01E0DAAF3B4F}"/>
    <cellStyle name="Calculation 19 3 2 9" xfId="10491" xr:uid="{DE4ED3D0-AAF0-4902-944F-E60EF7B3B3B3}"/>
    <cellStyle name="Calculation 19 3 3" xfId="8513" xr:uid="{518BE1DA-F201-43D2-9EF1-256D5F0721D3}"/>
    <cellStyle name="Calculation 19 3 3 2" xfId="13253" xr:uid="{6D4CA82B-1030-4B38-8D94-F532BC1A9108}"/>
    <cellStyle name="Calculation 19 3 3 3" xfId="14273" xr:uid="{C89864BF-8387-462F-B2D0-078E3C2233B6}"/>
    <cellStyle name="Calculation 19 3 3 4" xfId="15233" xr:uid="{5039DDCF-FFF9-417E-8A02-167C512AFCF8}"/>
    <cellStyle name="Calculation 19 3 3 5" xfId="16182" xr:uid="{FED314FA-C457-4730-8D64-AD2D11C05902}"/>
    <cellStyle name="Calculation 19 3 3 6" xfId="17055" xr:uid="{232D6931-5108-4D06-A164-7BBCC6A2D1F8}"/>
    <cellStyle name="Calculation 19 3 3 7" xfId="17920" xr:uid="{C3F5B1E6-6177-49F6-8F60-25E0353DE601}"/>
    <cellStyle name="Calculation 19 3 3 8" xfId="18696" xr:uid="{6628F270-749F-4C69-A5CE-883A99794C2C}"/>
    <cellStyle name="Calculation 19 3 4" xfId="9523" xr:uid="{F731FD57-DB18-4379-8408-D79DF5B980C5}"/>
    <cellStyle name="Calculation 19 3 4 2" xfId="13927" xr:uid="{5AFABC34-7ACC-45DD-83EE-4767A7316B02}"/>
    <cellStyle name="Calculation 19 3 4 3" xfId="14887" xr:uid="{D384B385-FCB5-4FC5-8784-DCFDDA4435EF}"/>
    <cellStyle name="Calculation 19 3 4 4" xfId="15839" xr:uid="{08C64F3B-3CFF-42E6-A91F-3401A65EF716}"/>
    <cellStyle name="Calculation 19 3 4 5" xfId="16713" xr:uid="{14D79332-F91A-4076-9D1D-08B916D5C76E}"/>
    <cellStyle name="Calculation 19 3 4 6" xfId="17578" xr:uid="{337EAE77-7EA0-4CD4-B216-E8D95B3C42FA}"/>
    <cellStyle name="Calculation 19 3 4 7" xfId="18354" xr:uid="{1A79BFAD-197E-4959-B0A1-10F7E101EDBC}"/>
    <cellStyle name="Calculation 19 3 4 8" xfId="19111" xr:uid="{B85EC471-D0FB-4FBE-B42B-EA5785657C96}"/>
    <cellStyle name="Calculation 19 3 5" xfId="12224" xr:uid="{F2B86EC8-AF37-4C61-AF2E-578E321E02EF}"/>
    <cellStyle name="Calculation 19 3 6" xfId="10641" xr:uid="{BE7D1562-33CD-4644-B57C-B1286B857966}"/>
    <cellStyle name="Calculation 19 3 7" xfId="12596" xr:uid="{8933A8DE-9AB7-4D06-B72D-C1276A68A464}"/>
    <cellStyle name="Calculation 19 3 8" xfId="10308" xr:uid="{BCD95E0B-0850-46B5-BC03-E7E8C05E432D}"/>
    <cellStyle name="Calculation 19 3 9" xfId="11754" xr:uid="{F5AF800F-CB21-4B5C-887C-C050F79582C7}"/>
    <cellStyle name="Calculation 19 4" xfId="6979" xr:uid="{CB07F755-09B3-4337-91A1-EDCAF1B8BD31}"/>
    <cellStyle name="Calculation 19 4 10" xfId="17333" xr:uid="{B3C50E46-E223-4B88-A990-195E46684832}"/>
    <cellStyle name="Calculation 19 4 2" xfId="8618" xr:uid="{60488A13-0B7E-4231-9E52-864A5FA09304}"/>
    <cellStyle name="Calculation 19 4 2 2" xfId="13340" xr:uid="{4C4EE141-9AD5-4089-8235-59FCD0C19E49}"/>
    <cellStyle name="Calculation 19 4 2 3" xfId="14354" xr:uid="{17C34D0B-E08E-45BF-9D95-1FEB1132BDF7}"/>
    <cellStyle name="Calculation 19 4 2 4" xfId="15314" xr:uid="{9B99C31D-3BB7-4448-BB3E-EE1E7BAD384D}"/>
    <cellStyle name="Calculation 19 4 2 5" xfId="16258" xr:uid="{C7929BAF-9B75-47CF-8E80-5C0F51F2E84B}"/>
    <cellStyle name="Calculation 19 4 2 6" xfId="17131" xr:uid="{3E047F1A-D24A-41B6-B414-517B1C027047}"/>
    <cellStyle name="Calculation 19 4 2 7" xfId="17996" xr:uid="{FB2E6C47-F62D-4FDF-9CC7-914BDF3B02D2}"/>
    <cellStyle name="Calculation 19 4 2 8" xfId="18771" xr:uid="{C2B431BC-30BA-465A-8CDC-F116D854209A}"/>
    <cellStyle name="Calculation 19 4 3" xfId="9598" xr:uid="{D3898F3E-0850-41E1-9B6C-833F26D9DA8C}"/>
    <cellStyle name="Calculation 19 4 3 2" xfId="14002" xr:uid="{5A6B8905-653B-4D78-9237-AAB35ED02CAD}"/>
    <cellStyle name="Calculation 19 4 3 3" xfId="14962" xr:uid="{D3FAD141-6CFC-4626-A5B8-F7398E3A7EE1}"/>
    <cellStyle name="Calculation 19 4 3 4" xfId="15914" xr:uid="{B6625387-E721-43CE-8052-AB609FD3C6CD}"/>
    <cellStyle name="Calculation 19 4 3 5" xfId="16788" xr:uid="{B6BFBE21-951C-4489-AFD1-B9A004DD517F}"/>
    <cellStyle name="Calculation 19 4 3 6" xfId="17653" xr:uid="{301323FE-4A71-4F5B-88B5-815AF6E80E9C}"/>
    <cellStyle name="Calculation 19 4 3 7" xfId="18429" xr:uid="{90180F31-CDD6-49C5-B7F8-07F373EFA1E2}"/>
    <cellStyle name="Calculation 19 4 3 8" xfId="19186" xr:uid="{E7E20F90-DAAE-43F7-A556-A4CCB042F48B}"/>
    <cellStyle name="Calculation 19 4 4" xfId="12313" xr:uid="{6885BC89-4623-485E-8D24-B2EA7745D64C}"/>
    <cellStyle name="Calculation 19 4 5" xfId="10557" xr:uid="{AF55A71B-25C1-4AC4-AAE5-C430C7138CE5}"/>
    <cellStyle name="Calculation 19 4 6" xfId="13632" xr:uid="{901B7081-E5B9-473C-B30D-8810FFFDE420}"/>
    <cellStyle name="Calculation 19 4 7" xfId="14610" xr:uid="{D5FB934C-A8E3-4E49-966A-10EB40E54FD7}"/>
    <cellStyle name="Calculation 19 4 8" xfId="15563" xr:uid="{78AB9DE3-CFE1-4D47-AD05-153AB1E8E780}"/>
    <cellStyle name="Calculation 19 4 9" xfId="16462" xr:uid="{D434C151-20C9-4E9A-9FDC-935213F41E68}"/>
    <cellStyle name="Calculation 19 5" xfId="7780" xr:uid="{6AF135E7-43E5-425E-82BC-6E751CCF29D3}"/>
    <cellStyle name="Calculation 19 5 2" xfId="12807" xr:uid="{8488F481-C7E1-4E02-9AFF-A42CF17E8643}"/>
    <cellStyle name="Calculation 19 5 3" xfId="10167" xr:uid="{D13C21C4-E7FC-4F87-8118-3FBAF363B056}"/>
    <cellStyle name="Calculation 19 5 4" xfId="12391" xr:uid="{C1327EE2-CDD5-434E-AC61-2EE5B0929EB2}"/>
    <cellStyle name="Calculation 19 5 5" xfId="10486" xr:uid="{C49079B6-0092-4549-BC38-53D5FCC30DD5}"/>
    <cellStyle name="Calculation 19 5 6" xfId="12625" xr:uid="{08219F8F-D85F-4B0E-AC9A-137FB7C18A74}"/>
    <cellStyle name="Calculation 19 5 7" xfId="10284" xr:uid="{4E88AAD5-455D-46C2-A0B1-32B3FA94D9DE}"/>
    <cellStyle name="Calculation 19 5 8" xfId="11765" xr:uid="{5B30CED8-FD1E-47D9-BE16-2469BC3AD861}"/>
    <cellStyle name="Calculation 19 6" xfId="7901" xr:uid="{89AAFF8B-D444-47D9-9371-DFB5EEA3F7BB}"/>
    <cellStyle name="Calculation 19 6 2" xfId="12894" xr:uid="{F54E9C85-B8A8-46FE-9CE4-26EB29E29CE6}"/>
    <cellStyle name="Calculation 19 6 3" xfId="10087" xr:uid="{A8AEACC9-D614-4D17-95FD-5258FBAE4893}"/>
    <cellStyle name="Calculation 19 6 4" xfId="12143" xr:uid="{FFF4B609-C5DD-431E-A5F9-4D11C741D23B}"/>
    <cellStyle name="Calculation 19 6 5" xfId="10715" xr:uid="{45A3A8A9-FFC2-49AB-A1CA-A629F32D93CD}"/>
    <cellStyle name="Calculation 19 6 6" xfId="12365" xr:uid="{4362944A-1ECD-44BE-8EF2-162AB9D553C4}"/>
    <cellStyle name="Calculation 19 6 7" xfId="10509" xr:uid="{79F9B62B-5F59-4BAE-96C6-4EFE807AFC11}"/>
    <cellStyle name="Calculation 19 6 8" xfId="11692" xr:uid="{DB759E84-1DFC-4CAF-AF78-4F6D22864936}"/>
    <cellStyle name="Calculation 19 7" xfId="10192" xr:uid="{A9F72ECD-21C5-4AD6-B76C-7CDB44515050}"/>
    <cellStyle name="Calculation 19 8" xfId="13055" xr:uid="{CEF8D93A-1DBB-484A-B03E-9A4EFD96E7C8}"/>
    <cellStyle name="Calculation 19 9" xfId="9948" xr:uid="{AFD7C56F-6202-4BEC-810C-EB447776CB11}"/>
    <cellStyle name="Calculation 2" xfId="819" xr:uid="{D85BD91A-41FA-4FED-99E1-D493ACF9ACD7}"/>
    <cellStyle name="Calculation 2 10" xfId="13160" xr:uid="{B527AF2F-7CD2-4EAF-88CC-71FF56F85B26}"/>
    <cellStyle name="Calculation 2 11" xfId="9875" xr:uid="{3E9B3A5D-550D-4FFE-BB42-B27FFE3BA24E}"/>
    <cellStyle name="Calculation 2 12" xfId="11887" xr:uid="{550B9B11-4ECF-48C7-971C-618CE21928BC}"/>
    <cellStyle name="Calculation 2 13" xfId="10926" xr:uid="{E0CF6FD8-DE74-497D-BE28-2E5B7AB40176}"/>
    <cellStyle name="Calculation 2 2" xfId="820" xr:uid="{86204A11-DB65-4DB9-B2AF-D0943A1CD3D1}"/>
    <cellStyle name="Calculation 2 2 10" xfId="11586" xr:uid="{89478B0F-59B9-4CEF-9E73-9206378A6DE0}"/>
    <cellStyle name="Calculation 2 2 11" xfId="11171" xr:uid="{021A6A8A-8FFC-430A-9907-A3963E96C95B}"/>
    <cellStyle name="Calculation 2 2 12" xfId="12543" xr:uid="{2B4FDD9E-A617-4E4A-904E-450D0A457967}"/>
    <cellStyle name="Calculation 2 2 13" xfId="10344" xr:uid="{F83688BA-9EF8-4A0C-B6DB-F965FCF4F856}"/>
    <cellStyle name="Calculation 2 2 2" xfId="6493" xr:uid="{0BB2BD60-8E6F-41E0-8480-83573B8155B1}"/>
    <cellStyle name="Calculation 2 2 3" xfId="6870" xr:uid="{A9BBEB18-0FAB-418C-AD4A-E764DE8EFB59}"/>
    <cellStyle name="Calculation 2 2 3 10" xfId="16447" xr:uid="{5B4B7A19-1716-4076-B38E-0E0E5746A305}"/>
    <cellStyle name="Calculation 2 2 3 11" xfId="17318" xr:uid="{56C2BFB4-EC7C-4D0B-8D1F-ECEACDC83F95}"/>
    <cellStyle name="Calculation 2 2 3 2" xfId="7228" xr:uid="{8561FEA9-F2BB-42B6-A0E7-7864409D7AAD}"/>
    <cellStyle name="Calculation 2 2 3 2 10" xfId="17349" xr:uid="{BF4D7B11-5F20-4786-8499-166EDCED464E}"/>
    <cellStyle name="Calculation 2 2 3 2 2" xfId="8868" xr:uid="{4A1A3977-8511-4C6E-B047-4E2E2C9876CE}"/>
    <cellStyle name="Calculation 2 2 3 2 2 2" xfId="13519" xr:uid="{9C3B48A3-91A0-45A9-B918-4C74734B9D7F}"/>
    <cellStyle name="Calculation 2 2 3 2 2 3" xfId="14523" xr:uid="{2233BEA3-7787-4E1D-BD72-8FC41AD61EB0}"/>
    <cellStyle name="Calculation 2 2 3 2 2 4" xfId="15481" xr:uid="{3C8296B7-9AF4-4DB9-B51F-89B7B8C59AE8}"/>
    <cellStyle name="Calculation 2 2 3 2 2 5" xfId="16406" xr:uid="{DD466CB5-4479-454E-AC91-A042598BD1BF}"/>
    <cellStyle name="Calculation 2 2 3 2 2 6" xfId="17277" xr:uid="{6310797D-DDFE-4F83-B78B-0A5676ADB10C}"/>
    <cellStyle name="Calculation 2 2 3 2 2 7" xfId="18123" xr:uid="{1D3CA2D7-BF55-4BD1-8673-A2D60176DA90}"/>
    <cellStyle name="Calculation 2 2 3 2 2 8" xfId="18887" xr:uid="{B1412639-5D80-4CA6-B656-A7581E7850EE}"/>
    <cellStyle name="Calculation 2 2 3 2 3" xfId="9714" xr:uid="{3769E6C5-B953-4100-976D-7FDEC70D4972}"/>
    <cellStyle name="Calculation 2 2 3 2 3 2" xfId="14118" xr:uid="{3C0A5D46-E89B-4A7B-98D7-5C6F92C69CD6}"/>
    <cellStyle name="Calculation 2 2 3 2 3 3" xfId="15078" xr:uid="{13626C30-CCB1-4572-9D04-1D5CAAEA3DFB}"/>
    <cellStyle name="Calculation 2 2 3 2 3 4" xfId="16030" xr:uid="{3D1136E2-47AD-493E-A40E-0C2377AC3F7D}"/>
    <cellStyle name="Calculation 2 2 3 2 3 5" xfId="16904" xr:uid="{BE16AF9C-3E20-4EDC-8ED9-02324B63E065}"/>
    <cellStyle name="Calculation 2 2 3 2 3 6" xfId="17769" xr:uid="{CFD76E5B-0090-4233-B06F-C2630F08AF8E}"/>
    <cellStyle name="Calculation 2 2 3 2 3 7" xfId="18545" xr:uid="{2FC50E80-4F40-4651-AB57-E791894678F3}"/>
    <cellStyle name="Calculation 2 2 3 2 3 8" xfId="19302" xr:uid="{8E6178FA-11B0-418A-9048-6344196AB6B3}"/>
    <cellStyle name="Calculation 2 2 3 2 4" xfId="12491" xr:uid="{5E56AA91-7487-44C6-A4B8-E052281CABA7}"/>
    <cellStyle name="Calculation 2 2 3 2 5" xfId="10390" xr:uid="{6EF56737-5A0B-4491-BB3F-8FF4440B154C}"/>
    <cellStyle name="Calculation 2 2 3 2 6" xfId="13657" xr:uid="{94DD5F63-BCAE-4F43-AF6A-6BAEE2C8AD5B}"/>
    <cellStyle name="Calculation 2 2 3 2 7" xfId="14633" xr:uid="{4684CDAC-4962-4F86-B2C7-1196F804805B}"/>
    <cellStyle name="Calculation 2 2 3 2 8" xfId="15585" xr:uid="{149613D3-F5C7-4650-B9EB-83A79EEB25F3}"/>
    <cellStyle name="Calculation 2 2 3 2 9" xfId="16480" xr:uid="{8BD69602-442D-45F3-A551-B9A4CC30C591}"/>
    <cellStyle name="Calculation 2 2 3 3" xfId="8510" xr:uid="{8B97BDB8-B1E5-4E4C-B777-1DC3194F1329}"/>
    <cellStyle name="Calculation 2 2 3 3 2" xfId="13250" xr:uid="{F2493B35-A996-4FF7-A4E0-44B4C54D492E}"/>
    <cellStyle name="Calculation 2 2 3 3 3" xfId="14270" xr:uid="{8DC04A41-4659-44BD-98A9-E772A5DF4724}"/>
    <cellStyle name="Calculation 2 2 3 3 4" xfId="15230" xr:uid="{81EA6524-5EC5-4955-B749-3AD47251DA2A}"/>
    <cellStyle name="Calculation 2 2 3 3 5" xfId="16179" xr:uid="{D496F771-A728-4F7F-9F34-1C85995FAAD8}"/>
    <cellStyle name="Calculation 2 2 3 3 6" xfId="17052" xr:uid="{D72086BA-80B7-4722-AD6D-183C76791453}"/>
    <cellStyle name="Calculation 2 2 3 3 7" xfId="17917" xr:uid="{D330C045-7263-4259-B3A9-E5B371431E44}"/>
    <cellStyle name="Calculation 2 2 3 3 8" xfId="18693" xr:uid="{4796E099-4D26-411B-A94C-5ABA05BAB4F9}"/>
    <cellStyle name="Calculation 2 2 3 4" xfId="9520" xr:uid="{7917D0AC-4D98-4A24-BFF6-FB7D3558FD5A}"/>
    <cellStyle name="Calculation 2 2 3 4 2" xfId="13924" xr:uid="{7F584CEE-15C7-4964-86CF-F1740547CCEF}"/>
    <cellStyle name="Calculation 2 2 3 4 3" xfId="14884" xr:uid="{325BF2B7-6228-41E4-A9A1-0913BA497F5C}"/>
    <cellStyle name="Calculation 2 2 3 4 4" xfId="15836" xr:uid="{D3C214BA-BC06-43EC-8F3E-A67698227B5A}"/>
    <cellStyle name="Calculation 2 2 3 4 5" xfId="16710" xr:uid="{9794286C-4771-4C8B-AA9D-EDB294D2A5D6}"/>
    <cellStyle name="Calculation 2 2 3 4 6" xfId="17575" xr:uid="{AB697615-5939-42A4-8A2D-DC953C02E1FE}"/>
    <cellStyle name="Calculation 2 2 3 4 7" xfId="18351" xr:uid="{418CD8CE-192A-45DB-85F4-3D77B8D5EAA1}"/>
    <cellStyle name="Calculation 2 2 3 4 8" xfId="19108" xr:uid="{C9CE51FA-9C99-49D9-9C21-D49EA59B215D}"/>
    <cellStyle name="Calculation 2 2 3 5" xfId="12221" xr:uid="{910219A2-341A-4FAB-817C-3F1905A8B033}"/>
    <cellStyle name="Calculation 2 2 3 6" xfId="10644" xr:uid="{D69995D8-6A67-496A-AFEB-E90E27BD0391}"/>
    <cellStyle name="Calculation 2 2 3 7" xfId="13617" xr:uid="{BC08B709-6237-4581-A97C-7D35676DBA91}"/>
    <cellStyle name="Calculation 2 2 3 8" xfId="14595" xr:uid="{6A866E39-639C-4F1B-AD3F-6AA95E958C1C}"/>
    <cellStyle name="Calculation 2 2 3 9" xfId="15548" xr:uid="{133F2F5F-F47D-441E-9B6A-AC93806162BC}"/>
    <cellStyle name="Calculation 2 2 4" xfId="6982" xr:uid="{2E8E8ADE-046D-4E7D-840E-BBF10FCF7341}"/>
    <cellStyle name="Calculation 2 2 4 10" xfId="17330" xr:uid="{1DB4B004-E67B-4AE6-B381-5A78092B9807}"/>
    <cellStyle name="Calculation 2 2 4 2" xfId="8621" xr:uid="{78A1561C-FC61-4EEE-AE21-7EF9772A0595}"/>
    <cellStyle name="Calculation 2 2 4 2 2" xfId="13343" xr:uid="{11AA654B-2002-4933-A844-AAAD4E770DAF}"/>
    <cellStyle name="Calculation 2 2 4 2 3" xfId="14357" xr:uid="{6F2DC721-1782-4D25-B84A-55C4A3EACB63}"/>
    <cellStyle name="Calculation 2 2 4 2 4" xfId="15317" xr:uid="{441AF338-EC2A-4934-A93D-3225885CB119}"/>
    <cellStyle name="Calculation 2 2 4 2 5" xfId="16261" xr:uid="{21C21682-0647-47AA-A107-0DB26CC6F1DA}"/>
    <cellStyle name="Calculation 2 2 4 2 6" xfId="17134" xr:uid="{A8BEA42C-8BBE-4C20-AD7B-C40454241883}"/>
    <cellStyle name="Calculation 2 2 4 2 7" xfId="17999" xr:uid="{D36C25CA-D817-47C4-9E8B-2ADDE34DAEB4}"/>
    <cellStyle name="Calculation 2 2 4 2 8" xfId="18774" xr:uid="{E69AE6F7-333B-4FA5-BC9E-83103224937A}"/>
    <cellStyle name="Calculation 2 2 4 3" xfId="9601" xr:uid="{6711397D-3E51-4990-BADF-9F52885B2006}"/>
    <cellStyle name="Calculation 2 2 4 3 2" xfId="14005" xr:uid="{A4FC6C61-A5BF-40B4-8F5D-BDDECE7DC24F}"/>
    <cellStyle name="Calculation 2 2 4 3 3" xfId="14965" xr:uid="{77E8C668-4739-4DD3-91F7-FD8E99557531}"/>
    <cellStyle name="Calculation 2 2 4 3 4" xfId="15917" xr:uid="{4BD82859-303C-47AC-9BD7-F3E4A0C6BFAC}"/>
    <cellStyle name="Calculation 2 2 4 3 5" xfId="16791" xr:uid="{622E690F-7F60-4684-97E2-8336291D9FB9}"/>
    <cellStyle name="Calculation 2 2 4 3 6" xfId="17656" xr:uid="{573BEDBB-2E76-437C-A842-0FF9B44D5DF8}"/>
    <cellStyle name="Calculation 2 2 4 3 7" xfId="18432" xr:uid="{25AAB8B4-0181-414B-A6A2-0DE712568B80}"/>
    <cellStyle name="Calculation 2 2 4 3 8" xfId="19189" xr:uid="{076FC280-7CB8-47EB-9623-124FB70230C7}"/>
    <cellStyle name="Calculation 2 2 4 4" xfId="12316" xr:uid="{9E31727F-FAD7-4584-BB8C-AD6268854636}"/>
    <cellStyle name="Calculation 2 2 4 5" xfId="10554" xr:uid="{8DCA652B-8ADF-4CC8-8380-05B25D28D7CA}"/>
    <cellStyle name="Calculation 2 2 4 6" xfId="13629" xr:uid="{59CDF8EC-785A-466F-B8B4-9ACC0DCF6988}"/>
    <cellStyle name="Calculation 2 2 4 7" xfId="14607" xr:uid="{B6A53624-75A1-4959-BBF3-4CFC3DE9CE57}"/>
    <cellStyle name="Calculation 2 2 4 8" xfId="15560" xr:uid="{AAE3DC51-E64A-43B5-B7CA-72765605FFA3}"/>
    <cellStyle name="Calculation 2 2 4 9" xfId="16459" xr:uid="{77FFA3B1-8D43-43F5-B061-57B95F90186F}"/>
    <cellStyle name="Calculation 2 2 5" xfId="7783" xr:uid="{D2549118-9FCD-49BD-979E-C949A7DBB5E1}"/>
    <cellStyle name="Calculation 2 2 5 2" xfId="12810" xr:uid="{4885CB56-2C9B-477E-93C9-C365F0A43FE2}"/>
    <cellStyle name="Calculation 2 2 5 3" xfId="10164" xr:uid="{A35CB458-C4E7-49C4-BB3C-26B21A8E3818}"/>
    <cellStyle name="Calculation 2 2 5 4" xfId="11786" xr:uid="{F9CC6545-D825-4A14-AB1D-87FADB0E44C5}"/>
    <cellStyle name="Calculation 2 2 5 5" xfId="11018" xr:uid="{3ED5AE43-4C6C-4202-9B42-5A5889DE48B0}"/>
    <cellStyle name="Calculation 2 2 5 6" xfId="12568" xr:uid="{582D4224-9A75-4297-B309-A04F515BABBF}"/>
    <cellStyle name="Calculation 2 2 5 7" xfId="10331" xr:uid="{B1FA09F8-05F4-4F9B-BCC2-A2469279E73B}"/>
    <cellStyle name="Calculation 2 2 5 8" xfId="11737" xr:uid="{4C41F78F-200A-4760-B869-F29B555C4C4D}"/>
    <cellStyle name="Calculation 2 2 6" xfId="7898" xr:uid="{343BF281-0FA8-43D7-A091-05EB17F3F172}"/>
    <cellStyle name="Calculation 2 2 6 2" xfId="12891" xr:uid="{47297A16-759F-45CF-9C34-13303EB2A31C}"/>
    <cellStyle name="Calculation 2 2 6 3" xfId="10090" xr:uid="{F4ED74D7-AD4F-40C5-8BA8-09216177686B}"/>
    <cellStyle name="Calculation 2 2 6 4" xfId="12392" xr:uid="{29A578E3-7FC8-46B5-A55F-3E2EE1B62767}"/>
    <cellStyle name="Calculation 2 2 6 5" xfId="10485" xr:uid="{A8DC3A84-E6AE-4646-8235-460BD2956293}"/>
    <cellStyle name="Calculation 2 2 6 6" xfId="11977" xr:uid="{08CF5151-04EC-4959-8736-2672E93F2E68}"/>
    <cellStyle name="Calculation 2 2 6 7" xfId="10851" xr:uid="{A5205D03-07ED-4392-92F3-B6423EB2DB29}"/>
    <cellStyle name="Calculation 2 2 6 8" xfId="11571" xr:uid="{AD7766C0-3C8F-4154-A426-157A105C839D}"/>
    <cellStyle name="Calculation 2 2 7" xfId="10195" xr:uid="{0435241F-BD96-4237-A283-5072969A4128}"/>
    <cellStyle name="Calculation 2 2 8" xfId="11993" xr:uid="{8DD66991-0769-4340-800B-DEEAA925F8E7}"/>
    <cellStyle name="Calculation 2 2 9" xfId="10836" xr:uid="{0C74E9BE-C379-4C8C-A878-CBC20DE87828}"/>
    <cellStyle name="Calculation 2 3" xfId="6871" xr:uid="{E73898CD-2832-4BFA-BDD7-3AB6A82F8C8E}"/>
    <cellStyle name="Calculation 2 3 10" xfId="10576" xr:uid="{69DEA22B-0FAE-4F35-83FF-8796EBF2E7A2}"/>
    <cellStyle name="Calculation 2 3 11" xfId="11689" xr:uid="{A142DB06-A165-423E-BB4C-9986055FD6C1}"/>
    <cellStyle name="Calculation 2 3 2" xfId="7229" xr:uid="{48510E7A-3C0D-449A-803B-C0CD63D78DF9}"/>
    <cellStyle name="Calculation 2 3 2 10" xfId="13609" xr:uid="{41DEF9DA-04F3-4645-8E5E-C4E461672A10}"/>
    <cellStyle name="Calculation 2 3 2 2" xfId="8869" xr:uid="{55EB1195-0F98-4FC6-9B9E-3E6108238716}"/>
    <cellStyle name="Calculation 2 3 2 2 2" xfId="13520" xr:uid="{FAD7BD60-95C9-4A80-8974-C916DADB4162}"/>
    <cellStyle name="Calculation 2 3 2 2 3" xfId="14524" xr:uid="{9BE4943A-C3F8-4B3C-80A2-5BD2CEE6F7C8}"/>
    <cellStyle name="Calculation 2 3 2 2 4" xfId="15482" xr:uid="{435D60DB-AA26-4FD0-B25F-BCC4514DA842}"/>
    <cellStyle name="Calculation 2 3 2 2 5" xfId="16407" xr:uid="{3FE2E315-1268-4756-BA8A-118F848E9F5D}"/>
    <cellStyle name="Calculation 2 3 2 2 6" xfId="17278" xr:uid="{17349449-13D6-41C2-99D0-8DF246A8CCDD}"/>
    <cellStyle name="Calculation 2 3 2 2 7" xfId="18124" xr:uid="{670BEE44-C5E0-43FD-94A0-CF8E5042A0CF}"/>
    <cellStyle name="Calculation 2 3 2 2 8" xfId="18888" xr:uid="{6FFE70EB-EB99-45EE-871D-23E7F14E9CF3}"/>
    <cellStyle name="Calculation 2 3 2 3" xfId="9715" xr:uid="{A3E9C34E-D806-4639-A542-C648D233C7D6}"/>
    <cellStyle name="Calculation 2 3 2 3 2" xfId="14119" xr:uid="{4EB5A2EA-81F1-48AE-96C6-BA05DBEF333F}"/>
    <cellStyle name="Calculation 2 3 2 3 3" xfId="15079" xr:uid="{BE4BFF6D-7DD0-4C7B-9CCF-BB177AA1D9D8}"/>
    <cellStyle name="Calculation 2 3 2 3 4" xfId="16031" xr:uid="{ED087041-FBF5-4370-AE6E-91CD984CADD7}"/>
    <cellStyle name="Calculation 2 3 2 3 5" xfId="16905" xr:uid="{2FE5EA7F-A9C3-4EF1-AD5E-35B7AE7ABB91}"/>
    <cellStyle name="Calculation 2 3 2 3 6" xfId="17770" xr:uid="{9D091BFE-3F86-410F-BF08-6E1E36E447EC}"/>
    <cellStyle name="Calculation 2 3 2 3 7" xfId="18546" xr:uid="{C60CB4DF-FB1B-41E5-A7AB-10182EE23268}"/>
    <cellStyle name="Calculation 2 3 2 3 8" xfId="19303" xr:uid="{6E6420E4-D23B-4302-B935-81E2507FD989}"/>
    <cellStyle name="Calculation 2 3 2 4" xfId="12492" xr:uid="{8F29B92B-9BD0-40C7-8F6F-7CBB89688BFB}"/>
    <cellStyle name="Calculation 2 3 2 5" xfId="10389" xr:uid="{C0AE808B-822F-4B33-B376-05FA3CD28C5B}"/>
    <cellStyle name="Calculation 2 3 2 6" xfId="13147" xr:uid="{4B8DE230-B069-4098-9FF8-318132D3138F}"/>
    <cellStyle name="Calculation 2 3 2 7" xfId="9883" xr:uid="{67BA2F56-A9B6-4693-802D-A0DEC92C4A11}"/>
    <cellStyle name="Calculation 2 3 2 8" xfId="12168" xr:uid="{219F097F-F808-417C-86D6-9A2A91451740}"/>
    <cellStyle name="Calculation 2 3 2 9" xfId="10695" xr:uid="{28C128D7-55F3-4FCC-97C3-BF636583B527}"/>
    <cellStyle name="Calculation 2 3 3" xfId="8511" xr:uid="{71DBE9DE-E384-4781-9CAB-15805F017733}"/>
    <cellStyle name="Calculation 2 3 3 2" xfId="13251" xr:uid="{902B0223-9B64-4904-BD1B-706E3A4F4A25}"/>
    <cellStyle name="Calculation 2 3 3 3" xfId="14271" xr:uid="{A30A3E86-5480-42CA-8264-776D76391E1E}"/>
    <cellStyle name="Calculation 2 3 3 4" xfId="15231" xr:uid="{C3173B74-F631-4AED-A8C4-83D4E9305D96}"/>
    <cellStyle name="Calculation 2 3 3 5" xfId="16180" xr:uid="{C091F525-FD8D-4DEC-A9F5-934B5AEFB064}"/>
    <cellStyle name="Calculation 2 3 3 6" xfId="17053" xr:uid="{BB3EEC7D-E9E8-4837-AC59-11D9DDB8EB24}"/>
    <cellStyle name="Calculation 2 3 3 7" xfId="17918" xr:uid="{342D8D87-0012-44FE-876E-0E7B134C4402}"/>
    <cellStyle name="Calculation 2 3 3 8" xfId="18694" xr:uid="{9E713D72-ED55-4762-8326-9A56BA37A00E}"/>
    <cellStyle name="Calculation 2 3 4" xfId="9521" xr:uid="{70CE0B89-5F1B-4E4E-AB5F-9818E1688B06}"/>
    <cellStyle name="Calculation 2 3 4 2" xfId="13925" xr:uid="{4143A2B0-FBFE-4FF9-AF60-4900946A367C}"/>
    <cellStyle name="Calculation 2 3 4 3" xfId="14885" xr:uid="{7BE010E4-0DE0-4F8B-8B61-21E66A79E359}"/>
    <cellStyle name="Calculation 2 3 4 4" xfId="15837" xr:uid="{A537B845-71EF-4DBC-9873-8EE4057391CD}"/>
    <cellStyle name="Calculation 2 3 4 5" xfId="16711" xr:uid="{A05C4188-D3F6-4990-B7C8-2C2F70F1806A}"/>
    <cellStyle name="Calculation 2 3 4 6" xfId="17576" xr:uid="{3B5FD7E4-606E-4A3B-BB8D-7ECDD902BD8A}"/>
    <cellStyle name="Calculation 2 3 4 7" xfId="18352" xr:uid="{E9FF720D-7DE6-423F-989B-E290EE3BB9AA}"/>
    <cellStyle name="Calculation 2 3 4 8" xfId="19109" xr:uid="{486E62A0-9A16-45A6-8C89-20540E49C463}"/>
    <cellStyle name="Calculation 2 3 5" xfId="12222" xr:uid="{2FC24588-770D-4E2D-A078-7C940D43FA93}"/>
    <cellStyle name="Calculation 2 3 6" xfId="10643" xr:uid="{369B240C-B51E-4D06-B608-C2ABEFF95591}"/>
    <cellStyle name="Calculation 2 3 7" xfId="13115" xr:uid="{3B68C754-8135-4C9A-9204-578417FD9328}"/>
    <cellStyle name="Calculation 2 3 8" xfId="9911" xr:uid="{D6B70549-B344-4FBE-B2D7-3C3718640AEE}"/>
    <cellStyle name="Calculation 2 3 9" xfId="12290" xr:uid="{B3C13C7D-F777-4134-B334-6B330B4FFEB8}"/>
    <cellStyle name="Calculation 2 4" xfId="6981" xr:uid="{6AC20EDC-DD7A-46FA-AE48-1D80328B528B}"/>
    <cellStyle name="Calculation 2 4 10" xfId="11663" xr:uid="{DAFFEECC-46C8-43B2-88C7-B14D361E634B}"/>
    <cellStyle name="Calculation 2 4 2" xfId="8620" xr:uid="{B9AC1691-6254-4684-A2CA-37C55A5A5439}"/>
    <cellStyle name="Calculation 2 4 2 2" xfId="13342" xr:uid="{38FA616C-E847-464A-A888-84FF9551A46F}"/>
    <cellStyle name="Calculation 2 4 2 3" xfId="14356" xr:uid="{A2A69663-E31A-49B0-9402-710796078E40}"/>
    <cellStyle name="Calculation 2 4 2 4" xfId="15316" xr:uid="{C6426C37-66CD-4BD3-A3D0-58C67786A6DB}"/>
    <cellStyle name="Calculation 2 4 2 5" xfId="16260" xr:uid="{E976A150-3E05-4311-98B2-9D65C1AB7419}"/>
    <cellStyle name="Calculation 2 4 2 6" xfId="17133" xr:uid="{9BDD84F9-6FCD-4C8E-A0D6-419FEC98D46C}"/>
    <cellStyle name="Calculation 2 4 2 7" xfId="17998" xr:uid="{13827045-84E1-4AA4-9328-D919B412DB95}"/>
    <cellStyle name="Calculation 2 4 2 8" xfId="18773" xr:uid="{DB76FF91-E68F-4EE4-A0B8-11EF23D29692}"/>
    <cellStyle name="Calculation 2 4 3" xfId="9600" xr:uid="{65DAD0C4-0067-468F-A943-F4D482D4477D}"/>
    <cellStyle name="Calculation 2 4 3 2" xfId="14004" xr:uid="{E4E31F48-18EA-4A98-A16B-55CA3494F2DD}"/>
    <cellStyle name="Calculation 2 4 3 3" xfId="14964" xr:uid="{8F9C804A-8690-4A5F-A706-CA77E013A498}"/>
    <cellStyle name="Calculation 2 4 3 4" xfId="15916" xr:uid="{D52CB996-FDA0-4009-A819-CA2B95BC0949}"/>
    <cellStyle name="Calculation 2 4 3 5" xfId="16790" xr:uid="{99C128FF-032B-4ED4-A22D-993095D488AF}"/>
    <cellStyle name="Calculation 2 4 3 6" xfId="17655" xr:uid="{1D65EEA0-99B4-4CF1-93FE-5A81864F6E0C}"/>
    <cellStyle name="Calculation 2 4 3 7" xfId="18431" xr:uid="{905111BE-5104-4320-A16E-04B27C508F16}"/>
    <cellStyle name="Calculation 2 4 3 8" xfId="19188" xr:uid="{D1D22C33-26B1-4E00-9836-5D9C893FEA12}"/>
    <cellStyle name="Calculation 2 4 4" xfId="12315" xr:uid="{414B2E38-A424-47DB-BAE4-7A03A03A04F4}"/>
    <cellStyle name="Calculation 2 4 5" xfId="10555" xr:uid="{DBFD4E7E-24A5-4535-8AA7-A140A7BFB8A5}"/>
    <cellStyle name="Calculation 2 4 6" xfId="12607" xr:uid="{3ED894B3-8DBC-4F79-964F-E43011E29AD5}"/>
    <cellStyle name="Calculation 2 4 7" xfId="10297" xr:uid="{9D33FE40-7636-4F52-9EE6-7ABD928C6DB5}"/>
    <cellStyle name="Calculation 2 4 8" xfId="12123" xr:uid="{8C0E35A1-BF2E-46B5-AE04-023F34794432}"/>
    <cellStyle name="Calculation 2 4 9" xfId="10732" xr:uid="{17689569-0EA3-4405-8F3D-7D65B6EB2498}"/>
    <cellStyle name="Calculation 2 5" xfId="7782" xr:uid="{C002CF6F-31FB-4A5B-A34A-E35BA57BF1B5}"/>
    <cellStyle name="Calculation 2 5 2" xfId="12809" xr:uid="{27FF12B5-3DEE-4315-AEFE-C6D57A40D5A3}"/>
    <cellStyle name="Calculation 2 5 3" xfId="10165" xr:uid="{69B764EE-3A09-4E38-A16E-E4514A4E6A1F}"/>
    <cellStyle name="Calculation 2 5 4" xfId="12793" xr:uid="{A53CD39C-30F5-470F-822C-B7DBCE1FD257}"/>
    <cellStyle name="Calculation 2 5 5" xfId="10177" xr:uid="{DE23A923-E06C-498D-B403-2C654B0678B8}"/>
    <cellStyle name="Calculation 2 5 6" xfId="11782" xr:uid="{2294194D-2A1A-4E38-BA90-E0EF650D322C}"/>
    <cellStyle name="Calculation 2 5 7" xfId="11022" xr:uid="{4A71CB7E-F198-4FD0-AFFE-221379A17F71}"/>
    <cellStyle name="Calculation 2 5 8" xfId="12063" xr:uid="{5C03BC86-F6A4-4711-98D3-B05DA3FC0DB0}"/>
    <cellStyle name="Calculation 2 6" xfId="7899" xr:uid="{2D7F5771-29BF-43A2-B515-1F5ED991AFDB}"/>
    <cellStyle name="Calculation 2 6 2" xfId="12892" xr:uid="{03AC2616-701C-4744-81C3-48B76E5FEC34}"/>
    <cellStyle name="Calculation 2 6 3" xfId="10089" xr:uid="{E5C75E97-92E1-42E7-93E2-A13B804FD8CD}"/>
    <cellStyle name="Calculation 2 6 4" xfId="13423" xr:uid="{BA06F152-2229-4F78-93CE-B741DF44C4D6}"/>
    <cellStyle name="Calculation 2 6 5" xfId="14430" xr:uid="{33290479-3081-41DB-A1A6-ADD47E8DD7DF}"/>
    <cellStyle name="Calculation 2 6 6" xfId="15388" xr:uid="{18F5A1F4-3D39-47C3-B353-7B4518571A71}"/>
    <cellStyle name="Calculation 2 6 7" xfId="16315" xr:uid="{66908647-A14B-4C34-8831-3799E8AD6896}"/>
    <cellStyle name="Calculation 2 6 8" xfId="17186" xr:uid="{22AC8BC8-44C0-4F55-843D-601A6CA50E87}"/>
    <cellStyle name="Calculation 2 7" xfId="10194" xr:uid="{DC310FEA-1F06-4A90-A54D-4F763048D2E8}"/>
    <cellStyle name="Calculation 2 8" xfId="12667" xr:uid="{7C6511D7-5C1C-4142-9935-AB38398BFBEB}"/>
    <cellStyle name="Calculation 2 9" xfId="10250" xr:uid="{49A4B250-73DD-4BC0-8F6D-B7DBBD4B43CD}"/>
    <cellStyle name="Calculation 3" xfId="821" xr:uid="{7799234A-DD01-4E09-AB5D-CB22A5EC1202}"/>
    <cellStyle name="Calculation 3 10" xfId="14222" xr:uid="{94845BB5-5B72-4696-B136-5A7D268836E1}"/>
    <cellStyle name="Calculation 3 11" xfId="15182" xr:uid="{8285853F-F9D7-4D39-8866-088C8AB8FC89}"/>
    <cellStyle name="Calculation 3 12" xfId="16132" xr:uid="{22F95324-6807-492F-80C1-74C693400E49}"/>
    <cellStyle name="Calculation 3 2" xfId="6869" xr:uid="{10EE2005-73CF-4C25-AB7B-030559236938}"/>
    <cellStyle name="Calculation 3 2 10" xfId="11044" xr:uid="{64FE7007-D7A6-428F-8629-17C887DDB4BE}"/>
    <cellStyle name="Calculation 3 2 11" xfId="12359" xr:uid="{7744941E-DCD1-44D3-A68A-D7B5C4E92E53}"/>
    <cellStyle name="Calculation 3 2 2" xfId="7230" xr:uid="{779F29FE-C3B2-40CA-B964-351ED12AF75F}"/>
    <cellStyle name="Calculation 3 2 2 10" xfId="13701" xr:uid="{5691DB35-5E6A-47D9-BFBB-BEEA806A21A0}"/>
    <cellStyle name="Calculation 3 2 2 2" xfId="8870" xr:uid="{61BD9C67-8A83-49A4-B00C-B2908AC15ED9}"/>
    <cellStyle name="Calculation 3 2 2 2 2" xfId="13521" xr:uid="{29A18615-3A6D-4C8D-9788-9E951E36E8F2}"/>
    <cellStyle name="Calculation 3 2 2 2 3" xfId="14525" xr:uid="{891AAE8D-59F2-49FC-A0A6-913C636D499A}"/>
    <cellStyle name="Calculation 3 2 2 2 4" xfId="15483" xr:uid="{888CBEEC-930E-4B91-86D8-E5A729100566}"/>
    <cellStyle name="Calculation 3 2 2 2 5" xfId="16408" xr:uid="{8392D99E-236A-4A38-B529-FA1E23D7917E}"/>
    <cellStyle name="Calculation 3 2 2 2 6" xfId="17279" xr:uid="{17B11716-9304-4DB4-8756-39E65C0D438B}"/>
    <cellStyle name="Calculation 3 2 2 2 7" xfId="18125" xr:uid="{32A0A968-4340-4222-A122-DDE3B3CD7C98}"/>
    <cellStyle name="Calculation 3 2 2 2 8" xfId="18889" xr:uid="{2CEF1C60-7B28-4AFF-B695-6C275A3C047A}"/>
    <cellStyle name="Calculation 3 2 2 3" xfId="9716" xr:uid="{99DC6516-0E79-4D1C-A26E-9473C10C53C0}"/>
    <cellStyle name="Calculation 3 2 2 3 2" xfId="14120" xr:uid="{C4B71C79-8CBB-4826-8301-76F4D0E53F5B}"/>
    <cellStyle name="Calculation 3 2 2 3 3" xfId="15080" xr:uid="{70F283EA-17A2-44DB-BFDC-E8BF79577C77}"/>
    <cellStyle name="Calculation 3 2 2 3 4" xfId="16032" xr:uid="{40B4252E-CF29-4634-8504-C32729501AB7}"/>
    <cellStyle name="Calculation 3 2 2 3 5" xfId="16906" xr:uid="{5CC1AAE6-009D-4B6D-9B1D-6BFE64077C02}"/>
    <cellStyle name="Calculation 3 2 2 3 6" xfId="17771" xr:uid="{8E2FCA36-DC30-4B7F-9599-DF92496103FE}"/>
    <cellStyle name="Calculation 3 2 2 3 7" xfId="18547" xr:uid="{3F7CFA93-8ED0-4738-8A85-9CCBC0CFBC46}"/>
    <cellStyle name="Calculation 3 2 2 3 8" xfId="19304" xr:uid="{C747D816-B70F-45CF-BD75-7F0A2D5EE1B7}"/>
    <cellStyle name="Calculation 3 2 2 4" xfId="12493" xr:uid="{05BEA60A-14F3-4475-BCB2-2EFA7F2DB606}"/>
    <cellStyle name="Calculation 3 2 2 5" xfId="10388" xr:uid="{69BA9245-79E0-445F-9133-54EFA6C4ABBC}"/>
    <cellStyle name="Calculation 3 2 2 6" xfId="12116" xr:uid="{4A741277-E0C6-41AF-AEE4-8FC0D80A8DEA}"/>
    <cellStyle name="Calculation 3 2 2 7" xfId="10736" xr:uid="{3CA1066D-0E60-4C89-BED4-5B1A462304EA}"/>
    <cellStyle name="Calculation 3 2 2 8" xfId="12906" xr:uid="{23BCC0E2-467B-4A76-BC1C-7629861F4B5E}"/>
    <cellStyle name="Calculation 3 2 2 9" xfId="10077" xr:uid="{BD6754F0-4456-4C7B-AC4F-E87F8C68C6A2}"/>
    <cellStyle name="Calculation 3 2 3" xfId="8509" xr:uid="{810323AE-63EE-41BE-B6FE-F15F9C3B077D}"/>
    <cellStyle name="Calculation 3 2 3 2" xfId="13249" xr:uid="{5442D4AA-734C-4967-BEEC-C60D1562830C}"/>
    <cellStyle name="Calculation 3 2 3 3" xfId="14269" xr:uid="{628C57C9-63D9-47FD-A859-19CC7FE26D0E}"/>
    <cellStyle name="Calculation 3 2 3 4" xfId="15229" xr:uid="{25F6FC79-D3BE-4DA7-B3B2-A790DD35F96F}"/>
    <cellStyle name="Calculation 3 2 3 5" xfId="16178" xr:uid="{D1E07D3C-6D94-4772-AAC5-1F7B3A522D9B}"/>
    <cellStyle name="Calculation 3 2 3 6" xfId="17051" xr:uid="{5B7486F5-FDBD-4FBF-8749-B98F4997499A}"/>
    <cellStyle name="Calculation 3 2 3 7" xfId="17916" xr:uid="{8D5D3630-E434-40C7-B182-8D4019945209}"/>
    <cellStyle name="Calculation 3 2 3 8" xfId="18692" xr:uid="{A88C5635-133D-49FF-93A5-114315D75698}"/>
    <cellStyle name="Calculation 3 2 4" xfId="9519" xr:uid="{7D8F6C5B-9BB1-4BEC-8DE9-CC7670163421}"/>
    <cellStyle name="Calculation 3 2 4 2" xfId="13923" xr:uid="{3A00753F-6ECB-4323-A622-41B8DA6F3C13}"/>
    <cellStyle name="Calculation 3 2 4 3" xfId="14883" xr:uid="{A09B3DEE-1E93-41E8-91D2-A954524E550C}"/>
    <cellStyle name="Calculation 3 2 4 4" xfId="15835" xr:uid="{8508BEF5-B7D9-47D6-9A53-5B43DA1F2031}"/>
    <cellStyle name="Calculation 3 2 4 5" xfId="16709" xr:uid="{DA7AF7D5-6428-4337-8E93-5D4FC676377C}"/>
    <cellStyle name="Calculation 3 2 4 6" xfId="17574" xr:uid="{CA2F2346-A54A-451E-BAC0-9C6B618AEC89}"/>
    <cellStyle name="Calculation 3 2 4 7" xfId="18350" xr:uid="{95D32246-6692-4FD3-9CB7-1C920C62EC22}"/>
    <cellStyle name="Calculation 3 2 4 8" xfId="19107" xr:uid="{4E2EBBAF-9A6F-447F-9821-3E4956B306A5}"/>
    <cellStyle name="Calculation 3 2 5" xfId="12220" xr:uid="{3AB37AD9-FBE5-428D-8C2B-EDA241006EFB}"/>
    <cellStyle name="Calculation 3 2 6" xfId="10645" xr:uid="{B6378C65-A211-4D1C-BC01-165AE47C40F5}"/>
    <cellStyle name="Calculation 3 2 7" xfId="12595" xr:uid="{AB424E9D-3E3B-4BA7-AE3B-4065FFB2B4E7}"/>
    <cellStyle name="Calculation 3 2 8" xfId="10309" xr:uid="{E78DC23B-DE27-4D32-8321-EABD40EC138F}"/>
    <cellStyle name="Calculation 3 2 9" xfId="11753" xr:uid="{E580A5A2-3E66-4BA3-BF99-7621832B08CB}"/>
    <cellStyle name="Calculation 3 3" xfId="6983" xr:uid="{B2EBBE1F-BA18-47C3-BF6C-9ED6F18F5F0F}"/>
    <cellStyle name="Calculation 3 3 10" xfId="11964" xr:uid="{8D3663A9-5548-47B1-B459-5CFAF514FCBF}"/>
    <cellStyle name="Calculation 3 3 2" xfId="8622" xr:uid="{507ECEF6-0298-4F61-8E3D-4CA36FE66B2D}"/>
    <cellStyle name="Calculation 3 3 2 2" xfId="13344" xr:uid="{44745762-16C1-4D1F-BDF4-0DBE7DDDC71D}"/>
    <cellStyle name="Calculation 3 3 2 3" xfId="14358" xr:uid="{B78D1B78-09B1-4ADF-AA92-8B68137C3D22}"/>
    <cellStyle name="Calculation 3 3 2 4" xfId="15318" xr:uid="{4FB70193-7E76-443A-9064-9DE21702C941}"/>
    <cellStyle name="Calculation 3 3 2 5" xfId="16262" xr:uid="{5622F75B-A04D-4BB5-B054-A45C9427C064}"/>
    <cellStyle name="Calculation 3 3 2 6" xfId="17135" xr:uid="{0063DE60-A228-4540-9595-C1D446EFDB80}"/>
    <cellStyle name="Calculation 3 3 2 7" xfId="18000" xr:uid="{43B4310A-2880-4335-BD87-9B538B10C482}"/>
    <cellStyle name="Calculation 3 3 2 8" xfId="18775" xr:uid="{EDD1A302-6E7F-4AD6-A859-BD77C7F81076}"/>
    <cellStyle name="Calculation 3 3 3" xfId="9602" xr:uid="{C9DB9507-3629-4EBB-B68A-5B2B5A6BC4C9}"/>
    <cellStyle name="Calculation 3 3 3 2" xfId="14006" xr:uid="{D2A14CB7-A3ED-44E5-9C0F-FA8539FDE098}"/>
    <cellStyle name="Calculation 3 3 3 3" xfId="14966" xr:uid="{95571ED1-D771-4422-AE35-13FABB4E0758}"/>
    <cellStyle name="Calculation 3 3 3 4" xfId="15918" xr:uid="{356E8EA8-026F-47EB-9817-05E30890485E}"/>
    <cellStyle name="Calculation 3 3 3 5" xfId="16792" xr:uid="{AC350CD0-1305-499A-90C8-65D30EF1B120}"/>
    <cellStyle name="Calculation 3 3 3 6" xfId="17657" xr:uid="{42785D76-2FD0-4C48-BF21-1DF93F5ACB59}"/>
    <cellStyle name="Calculation 3 3 3 7" xfId="18433" xr:uid="{156C5A03-C61B-4996-997C-9993BA889545}"/>
    <cellStyle name="Calculation 3 3 3 8" xfId="19190" xr:uid="{CEE0777A-156B-46D2-BCD7-2BAD2A0A6F50}"/>
    <cellStyle name="Calculation 3 3 4" xfId="12317" xr:uid="{2BBE6DCE-1F57-480B-AB32-29E3B44CA35D}"/>
    <cellStyle name="Calculation 3 3 5" xfId="10553" xr:uid="{E09E8B1F-D3D9-4D09-9871-60D0355A142E}"/>
    <cellStyle name="Calculation 3 3 6" xfId="12097" xr:uid="{DEF871C1-42C4-4114-9460-9AC63A5FBBEC}"/>
    <cellStyle name="Calculation 3 3 7" xfId="10755" xr:uid="{2F87A1C9-DDD9-48B4-B749-88ECAB5EADB8}"/>
    <cellStyle name="Calculation 3 3 8" xfId="11659" xr:uid="{825CA439-91AE-4D97-9948-65143D8BCA7B}"/>
    <cellStyle name="Calculation 3 3 9" xfId="11119" xr:uid="{9A359235-4300-4F5C-9080-B346171DFCD3}"/>
    <cellStyle name="Calculation 3 4" xfId="7784" xr:uid="{866002CA-4D68-4D37-94F7-B8D499E9128A}"/>
    <cellStyle name="Calculation 3 4 2" xfId="12811" xr:uid="{2B882D92-313E-46FC-A054-BA66F54D14C1}"/>
    <cellStyle name="Calculation 3 4 3" xfId="10163" xr:uid="{B2FD8FDB-0199-4A49-BC49-298933C9CEE5}"/>
    <cellStyle name="Calculation 3 4 4" xfId="11787" xr:uid="{2A8758D6-3B67-4842-8C44-27365679AF20}"/>
    <cellStyle name="Calculation 3 4 5" xfId="11017" xr:uid="{891B4064-783E-4B88-98BC-AE034CEF83BB}"/>
    <cellStyle name="Calculation 3 4 6" xfId="13595" xr:uid="{51DA1EB8-C97B-4679-AD31-B58A615038A4}"/>
    <cellStyle name="Calculation 3 4 7" xfId="14577" xr:uid="{E61B3417-775F-48A6-A93E-83194374031D}"/>
    <cellStyle name="Calculation 3 4 8" xfId="15532" xr:uid="{D5DD2FF6-EA23-4674-88E9-9D7937CB0654}"/>
    <cellStyle name="Calculation 3 5" xfId="7897" xr:uid="{133BAB43-7EED-45EA-8784-7BC9F609F57F}"/>
    <cellStyle name="Calculation 3 5 2" xfId="12890" xr:uid="{7C73693E-1427-4413-BD3E-032BCB6F73C2}"/>
    <cellStyle name="Calculation 3 5 3" xfId="10091" xr:uid="{65B24CB9-7178-48ED-9D72-FDD24D8BA42B}"/>
    <cellStyle name="Calculation 3 5 4" xfId="13058" xr:uid="{23480A5D-4753-4A0A-9937-1FA0A3361694}"/>
    <cellStyle name="Calculation 3 5 5" xfId="9945" xr:uid="{82021C98-B3BD-4A70-90EE-D8E0E0ABB69D}"/>
    <cellStyle name="Calculation 3 5 6" xfId="13719" xr:uid="{2BEDDBDA-A6D6-4DAA-948B-1EC1CC471F31}"/>
    <cellStyle name="Calculation 3 5 7" xfId="14682" xr:uid="{D745E604-7C95-4F2F-8D2C-0BB9211953D2}"/>
    <cellStyle name="Calculation 3 5 8" xfId="15634" xr:uid="{9B87D089-5EB4-4C73-9DD9-40A8DD78A7A6}"/>
    <cellStyle name="Calculation 3 6" xfId="10196" xr:uid="{FFD4E3EA-5A0E-40C1-88B7-640454740BDD}"/>
    <cellStyle name="Calculation 3 7" xfId="13165" xr:uid="{53F39DDE-061F-4E5E-9C93-DE99E9063988}"/>
    <cellStyle name="Calculation 3 8" xfId="9870" xr:uid="{0A2D362A-9BF9-46AA-A63E-50AE8B7A6BB7}"/>
    <cellStyle name="Calculation 3 9" xfId="13201" xr:uid="{73B5ACED-A992-40AA-B4C3-FDE49F078971}"/>
    <cellStyle name="Calculation 4" xfId="822" xr:uid="{A10DD75E-CA77-441D-9C51-8D839B939D60}"/>
    <cellStyle name="Calculation 4 10" xfId="16491" xr:uid="{C6C6E089-7916-481B-BCD0-2FE0D9749C66}"/>
    <cellStyle name="Calculation 4 11" xfId="17359" xr:uid="{E6013F9D-C40B-47D1-92A4-55F832AD6D6C}"/>
    <cellStyle name="Calculation 4 12" xfId="18157" xr:uid="{B96F53FE-E825-49FE-AD38-578CD0CF8D35}"/>
    <cellStyle name="Calculation 4 2" xfId="6868" xr:uid="{7005521E-7D29-4CA0-9662-697B7C4B43BA}"/>
    <cellStyle name="Calculation 4 2 10" xfId="11131" xr:uid="{1D55CD4D-3F0B-4F6F-A695-B0E21C28A664}"/>
    <cellStyle name="Calculation 4 2 11" xfId="13576" xr:uid="{3DCD2BC3-38ED-467D-83F2-8BE0720B1E66}"/>
    <cellStyle name="Calculation 4 2 2" xfId="7231" xr:uid="{83745F62-B7D5-4DB6-BCA1-8BAB87057192}"/>
    <cellStyle name="Calculation 4 2 2 10" xfId="15382" xr:uid="{FA4DA303-7C61-4344-8E7D-2CA8D164FECF}"/>
    <cellStyle name="Calculation 4 2 2 2" xfId="8871" xr:uid="{13E77DE9-5ED0-4929-97AE-6650AF773144}"/>
    <cellStyle name="Calculation 4 2 2 2 2" xfId="13522" xr:uid="{CD48E8F0-9D4C-4087-AFEC-2F17C7EC5424}"/>
    <cellStyle name="Calculation 4 2 2 2 3" xfId="14526" xr:uid="{D9BAA889-D747-4994-9E63-B78CACCF3C1E}"/>
    <cellStyle name="Calculation 4 2 2 2 4" xfId="15484" xr:uid="{5D5C2508-BA42-4837-9F0B-2E5B50109121}"/>
    <cellStyle name="Calculation 4 2 2 2 5" xfId="16409" xr:uid="{2045CF7A-E539-46F0-92CE-A2891412EEDF}"/>
    <cellStyle name="Calculation 4 2 2 2 6" xfId="17280" xr:uid="{67C47B64-006F-448B-80C8-E30BC07FF888}"/>
    <cellStyle name="Calculation 4 2 2 2 7" xfId="18126" xr:uid="{62F02D5A-FA67-4CCE-9CC3-60B860810A97}"/>
    <cellStyle name="Calculation 4 2 2 2 8" xfId="18890" xr:uid="{40DE1C66-DB82-490E-8F2E-9955BD3BF531}"/>
    <cellStyle name="Calculation 4 2 2 3" xfId="9717" xr:uid="{D0AC2746-D794-4F9E-868E-40988DE9C863}"/>
    <cellStyle name="Calculation 4 2 2 3 2" xfId="14121" xr:uid="{1D9AEBEB-8BDE-4AA6-87C6-E36C1F110A6D}"/>
    <cellStyle name="Calculation 4 2 2 3 3" xfId="15081" xr:uid="{0F711EC3-8709-4126-9034-F4A5452A9A06}"/>
    <cellStyle name="Calculation 4 2 2 3 4" xfId="16033" xr:uid="{1CB5E222-A45D-4842-931C-B47D5C820593}"/>
    <cellStyle name="Calculation 4 2 2 3 5" xfId="16907" xr:uid="{6B0FEED6-03FC-4569-A01B-67FAE3E925BE}"/>
    <cellStyle name="Calculation 4 2 2 3 6" xfId="17772" xr:uid="{9D9C1941-478B-4EEB-97EE-6C80DA26D9E3}"/>
    <cellStyle name="Calculation 4 2 2 3 7" xfId="18548" xr:uid="{F0F9AD9E-D85E-44E5-9039-F1DCB58A28B5}"/>
    <cellStyle name="Calculation 4 2 2 3 8" xfId="19305" xr:uid="{72834175-BF06-4A3E-B6C9-AF16872A534E}"/>
    <cellStyle name="Calculation 4 2 2 4" xfId="12494" xr:uid="{C2433648-0381-4EA7-90F6-DC26559BEFC2}"/>
    <cellStyle name="Calculation 4 2 2 5" xfId="10387" xr:uid="{250EBE54-82CD-4B48-B486-2BB18512669A}"/>
    <cellStyle name="Calculation 4 2 2 6" xfId="12639" xr:uid="{107D8AC9-085F-4AC3-91DD-BDE4C5C548EC}"/>
    <cellStyle name="Calculation 4 2 2 7" xfId="10272" xr:uid="{89820A43-2B9A-4899-B83C-BF3F994EB142}"/>
    <cellStyle name="Calculation 4 2 2 8" xfId="13416" xr:uid="{09406636-A8B9-48B7-AF27-1B8A7D9336A6}"/>
    <cellStyle name="Calculation 4 2 2 9" xfId="14424" xr:uid="{91AC2928-8882-4DE9-9C68-B9FE41DE11A2}"/>
    <cellStyle name="Calculation 4 2 3" xfId="8508" xr:uid="{3FF5C337-3D79-4250-9547-CD5BA6C84218}"/>
    <cellStyle name="Calculation 4 2 3 2" xfId="13248" xr:uid="{AB9164A5-C5DA-407B-B348-AE2633E86CCB}"/>
    <cellStyle name="Calculation 4 2 3 3" xfId="14268" xr:uid="{C487EC7E-F0E0-421B-81E2-38C616371901}"/>
    <cellStyle name="Calculation 4 2 3 4" xfId="15228" xr:uid="{09D09186-7236-463A-8B27-28560C55D8B2}"/>
    <cellStyle name="Calculation 4 2 3 5" xfId="16177" xr:uid="{A6387AA9-434C-4CB7-8B0D-04E40676D91F}"/>
    <cellStyle name="Calculation 4 2 3 6" xfId="17050" xr:uid="{442FDA59-9F27-40E9-AC1B-6A9EFD394C9C}"/>
    <cellStyle name="Calculation 4 2 3 7" xfId="17915" xr:uid="{5055CDF1-4298-442C-AA6C-F1DD6DD12934}"/>
    <cellStyle name="Calculation 4 2 3 8" xfId="18691" xr:uid="{859073C3-B7EF-458A-9E80-AABC714EF3D6}"/>
    <cellStyle name="Calculation 4 2 4" xfId="9518" xr:uid="{4AD32C8F-626A-4FFE-A0CE-1A9B4E2D05BC}"/>
    <cellStyle name="Calculation 4 2 4 2" xfId="13922" xr:uid="{F67C0FB9-04BA-46D3-B455-D52858FCF5D8}"/>
    <cellStyle name="Calculation 4 2 4 3" xfId="14882" xr:uid="{D565F08A-65C4-46F4-A05F-0BF776CEB337}"/>
    <cellStyle name="Calculation 4 2 4 4" xfId="15834" xr:uid="{F013B790-F0A6-4252-82BF-7BFE87703EEF}"/>
    <cellStyle name="Calculation 4 2 4 5" xfId="16708" xr:uid="{045536E3-58C9-4378-9B49-E5C22CDB4CD7}"/>
    <cellStyle name="Calculation 4 2 4 6" xfId="17573" xr:uid="{408A31B3-A4A3-4D4E-824B-C68348438C70}"/>
    <cellStyle name="Calculation 4 2 4 7" xfId="18349" xr:uid="{4E538FE0-272A-446D-B647-E3EA59099546}"/>
    <cellStyle name="Calculation 4 2 4 8" xfId="19106" xr:uid="{F4486F85-1DBF-4CB2-9410-56B246FB9FCD}"/>
    <cellStyle name="Calculation 4 2 5" xfId="12219" xr:uid="{A3753DF5-9186-4A87-BCD4-5344FD44A368}"/>
    <cellStyle name="Calculation 4 2 6" xfId="10646" xr:uid="{22BA82BE-BEB7-45AB-A75D-C601710432EE}"/>
    <cellStyle name="Calculation 4 2 7" xfId="12082" xr:uid="{6AD1AA2A-E89E-4548-B56A-89450E62963D}"/>
    <cellStyle name="Calculation 4 2 8" xfId="10768" xr:uid="{3F01A3A2-CB74-4F64-916C-E667C0A1FFC1}"/>
    <cellStyle name="Calculation 4 2 9" xfId="11646" xr:uid="{4FD248E1-9C09-4F58-A1AD-C3F3537754AE}"/>
    <cellStyle name="Calculation 4 3" xfId="6984" xr:uid="{C3C6941E-AB9D-43C6-B2BC-7262419698C4}"/>
    <cellStyle name="Calculation 4 3 10" xfId="11636" xr:uid="{E9080BAD-C1A6-4FC9-9443-8FB4BBE9EF72}"/>
    <cellStyle name="Calculation 4 3 2" xfId="8623" xr:uid="{1868A17C-E1CC-4C09-8974-370696843064}"/>
    <cellStyle name="Calculation 4 3 2 2" xfId="13345" xr:uid="{54476A55-626A-40B8-81EA-C5B35FA87BCC}"/>
    <cellStyle name="Calculation 4 3 2 3" xfId="14359" xr:uid="{13EE3E17-67FD-46F0-91FA-A5FB95A28A83}"/>
    <cellStyle name="Calculation 4 3 2 4" xfId="15319" xr:uid="{FD9C5DA9-6208-4C0A-A04E-210D24E53C97}"/>
    <cellStyle name="Calculation 4 3 2 5" xfId="16263" xr:uid="{1DE6929C-AF9C-4AEA-BCA5-795F8654A4FB}"/>
    <cellStyle name="Calculation 4 3 2 6" xfId="17136" xr:uid="{7FBF5F8E-186E-499B-8B50-F043C859D636}"/>
    <cellStyle name="Calculation 4 3 2 7" xfId="18001" xr:uid="{4AE11B32-2B74-4A38-B235-241AA48CA8A3}"/>
    <cellStyle name="Calculation 4 3 2 8" xfId="18776" xr:uid="{8A3F8227-B764-424E-BD5B-438F1A529733}"/>
    <cellStyle name="Calculation 4 3 3" xfId="9603" xr:uid="{5480D53A-0406-40E1-A966-41764E3112E7}"/>
    <cellStyle name="Calculation 4 3 3 2" xfId="14007" xr:uid="{B29E5270-D191-460B-9081-325DAB89C2C7}"/>
    <cellStyle name="Calculation 4 3 3 3" xfId="14967" xr:uid="{8B29E53A-B02B-455A-95A3-085F9C3C9991}"/>
    <cellStyle name="Calculation 4 3 3 4" xfId="15919" xr:uid="{D3B29A42-56FB-4DF0-A7BA-F1E62F708E71}"/>
    <cellStyle name="Calculation 4 3 3 5" xfId="16793" xr:uid="{F5305078-2270-421F-AAA2-91378A9259F0}"/>
    <cellStyle name="Calculation 4 3 3 6" xfId="17658" xr:uid="{30A5C8EA-64F7-4E64-9DB3-C1CF617CFE9F}"/>
    <cellStyle name="Calculation 4 3 3 7" xfId="18434" xr:uid="{0EAC8066-C289-41D5-AF33-72A6A1AA0CD9}"/>
    <cellStyle name="Calculation 4 3 3 8" xfId="19191" xr:uid="{649DADB2-638D-4FFD-9657-ACC441D841F5}"/>
    <cellStyle name="Calculation 4 3 4" xfId="12318" xr:uid="{F26C4A6E-388F-4FD5-8D12-A559722C3A71}"/>
    <cellStyle name="Calculation 4 3 5" xfId="10552" xr:uid="{1BB80CC9-656A-4929-9B12-8E9C3830BEDA}"/>
    <cellStyle name="Calculation 4 3 6" xfId="12098" xr:uid="{4B6AC421-0B11-40B1-88C2-CA0DB5ACEE9D}"/>
    <cellStyle name="Calculation 4 3 7" xfId="10754" xr:uid="{3D47530E-FF20-49DF-8922-90F509D8A384}"/>
    <cellStyle name="Calculation 4 3 8" xfId="12070" xr:uid="{CA91D620-FFDC-49B5-B8CB-8051813E71A7}"/>
    <cellStyle name="Calculation 4 3 9" xfId="10778" xr:uid="{A53E63CE-1088-4C17-93E7-D869BE4F3EF4}"/>
    <cellStyle name="Calculation 4 4" xfId="7785" xr:uid="{62C25402-0054-4803-B4AA-BA8927D702FC}"/>
    <cellStyle name="Calculation 4 4 2" xfId="12812" xr:uid="{B16B090C-45F2-4029-AA08-0055CB562A8C}"/>
    <cellStyle name="Calculation 4 4 3" xfId="10162" xr:uid="{B163DF16-56DB-42B7-A401-5759E75DE459}"/>
    <cellStyle name="Calculation 4 4 4" xfId="11788" xr:uid="{73D8AA7F-0D87-456A-9085-4FAFAFB054D4}"/>
    <cellStyle name="Calculation 4 4 5" xfId="11016" xr:uid="{2722D73E-FCA4-4ED6-AD69-D195DA7AFD36}"/>
    <cellStyle name="Calculation 4 4 6" xfId="13028" xr:uid="{369EE6D5-C993-455C-B116-91807408D832}"/>
    <cellStyle name="Calculation 4 4 7" xfId="9970" xr:uid="{C035AF96-E1D3-4CEA-9D50-9E3EA068E680}"/>
    <cellStyle name="Calculation 4 4 8" xfId="12696" xr:uid="{D2AD44FE-8028-448A-9716-BDE2E53F32C0}"/>
    <cellStyle name="Calculation 4 5" xfId="7896" xr:uid="{DC9C6736-1934-4E91-8DD1-F8853F28BE10}"/>
    <cellStyle name="Calculation 4 5 2" xfId="12889" xr:uid="{B2330316-25FD-4E4C-816E-D0F63734F0F9}"/>
    <cellStyle name="Calculation 4 5 3" xfId="10092" xr:uid="{02B39A15-6850-48AF-A0DC-FF8CD9A495D0}"/>
    <cellStyle name="Calculation 4 5 4" xfId="13698" xr:uid="{194234E7-237F-4D29-9ADB-084C7488BD8D}"/>
    <cellStyle name="Calculation 4 5 5" xfId="14664" xr:uid="{C09CB97A-5D23-4AD2-B78F-574487396236}"/>
    <cellStyle name="Calculation 4 5 6" xfId="15616" xr:uid="{FA06A9F9-380E-4471-9A43-7F6BE5A025EC}"/>
    <cellStyle name="Calculation 4 5 7" xfId="16501" xr:uid="{E461243A-ECA2-4815-9069-4849E63A87F4}"/>
    <cellStyle name="Calculation 4 5 8" xfId="17369" xr:uid="{2B5A60F3-1634-4582-B593-2006B6A7CF8D}"/>
    <cellStyle name="Calculation 4 6" xfId="10197" xr:uid="{FBC4436E-009C-4105-9871-C50681976B39}"/>
    <cellStyle name="Calculation 4 7" xfId="13686" xr:uid="{C11565FE-F881-4768-A63C-36F7E1055318}"/>
    <cellStyle name="Calculation 4 8" xfId="14654" xr:uid="{51855675-0163-419E-ADA4-F1340DFB251D}"/>
    <cellStyle name="Calculation 4 9" xfId="15606" xr:uid="{11D10B45-FE63-4D7D-B5C5-E7F0198DDA4A}"/>
    <cellStyle name="Calculation 5" xfId="823" xr:uid="{05FEEA6D-2E6E-4AA9-A8BD-82829F2B3908}"/>
    <cellStyle name="Calculation 5 10" xfId="14645" xr:uid="{D9699D8C-2C98-4CEC-804D-07296C30C0B3}"/>
    <cellStyle name="Calculation 5 11" xfId="15597" xr:uid="{9E0E354F-86E1-4E21-938D-725DE58806FA}"/>
    <cellStyle name="Calculation 5 12" xfId="16486" xr:uid="{732865A8-EC22-44E4-BB9C-0811682C243E}"/>
    <cellStyle name="Calculation 5 2" xfId="6867" xr:uid="{D4244B27-18DD-40BB-A389-25FD0D2420B7}"/>
    <cellStyle name="Calculation 5 2 10" xfId="11286" xr:uid="{B27BDF11-D466-482D-9FB7-07AC24021066}"/>
    <cellStyle name="Calculation 5 2 11" xfId="11948" xr:uid="{A5AC7F36-BB0D-4FA8-864E-A0530FFB893E}"/>
    <cellStyle name="Calculation 5 2 2" xfId="7232" xr:uid="{47F520F4-5EAE-4779-9EF6-A60FDFA64CB8}"/>
    <cellStyle name="Calculation 5 2 2 10" xfId="17350" xr:uid="{E70E2083-46D7-4056-9ADD-90CAA624CE90}"/>
    <cellStyle name="Calculation 5 2 2 2" xfId="8872" xr:uid="{1F2BBFEB-FC89-4012-ACAB-B2494C59D3E8}"/>
    <cellStyle name="Calculation 5 2 2 2 2" xfId="13523" xr:uid="{1E0F213A-BF2F-466A-8644-6F8EA22BDF45}"/>
    <cellStyle name="Calculation 5 2 2 2 3" xfId="14527" xr:uid="{1F9EE14A-E15E-4BED-8E7D-652745FCAE5F}"/>
    <cellStyle name="Calculation 5 2 2 2 4" xfId="15485" xr:uid="{6F4E9A55-D786-4092-89E7-15C669DF4B8E}"/>
    <cellStyle name="Calculation 5 2 2 2 5" xfId="16410" xr:uid="{289C6D53-A39F-41FA-A022-01DD8CEAFC23}"/>
    <cellStyle name="Calculation 5 2 2 2 6" xfId="17281" xr:uid="{62F87918-0DFC-4DDD-8BBB-64327C9B8DDE}"/>
    <cellStyle name="Calculation 5 2 2 2 7" xfId="18127" xr:uid="{37CBEFB4-3017-49DD-868F-F6B0A94CFE47}"/>
    <cellStyle name="Calculation 5 2 2 2 8" xfId="18891" xr:uid="{C95F48E9-A470-448A-A2B6-A637F8557AD5}"/>
    <cellStyle name="Calculation 5 2 2 3" xfId="9718" xr:uid="{348E1153-9AC1-480F-A275-1A0219104AA1}"/>
    <cellStyle name="Calculation 5 2 2 3 2" xfId="14122" xr:uid="{07C6520C-527F-42D4-9A64-F7C4C59B1FB5}"/>
    <cellStyle name="Calculation 5 2 2 3 3" xfId="15082" xr:uid="{BEB139FB-B734-4204-9DCE-C9887D5AB71D}"/>
    <cellStyle name="Calculation 5 2 2 3 4" xfId="16034" xr:uid="{6447B188-871A-49F9-9B9C-B03CE4455DAF}"/>
    <cellStyle name="Calculation 5 2 2 3 5" xfId="16908" xr:uid="{4605E9C5-101E-471C-9270-E8A4772055C8}"/>
    <cellStyle name="Calculation 5 2 2 3 6" xfId="17773" xr:uid="{71B91954-DB7D-4C94-96D0-12B0A9B89A94}"/>
    <cellStyle name="Calculation 5 2 2 3 7" xfId="18549" xr:uid="{09B5058F-E6F8-4D24-B868-518ED94DF41C}"/>
    <cellStyle name="Calculation 5 2 2 3 8" xfId="19306" xr:uid="{09927EAA-AC5E-415B-B794-30555B670BAF}"/>
    <cellStyle name="Calculation 5 2 2 4" xfId="12495" xr:uid="{07A8FFEC-BF66-4F9A-B3F0-89137CAD0A40}"/>
    <cellStyle name="Calculation 5 2 2 5" xfId="10386" xr:uid="{EAB10B83-CF41-4927-8011-B98DAFAEA4BC}"/>
    <cellStyle name="Calculation 5 2 2 6" xfId="13658" xr:uid="{5E2C0DA4-E66C-40DA-AFD5-DC1C4354359A}"/>
    <cellStyle name="Calculation 5 2 2 7" xfId="14634" xr:uid="{36D272BF-33C8-4125-97CC-0FDD30C7E4E0}"/>
    <cellStyle name="Calculation 5 2 2 8" xfId="15586" xr:uid="{E3AF98B4-E60F-45D3-AC15-5FA5384F2B9E}"/>
    <cellStyle name="Calculation 5 2 2 9" xfId="16481" xr:uid="{56A89694-C9C6-4DDA-A7BA-E594771A94DA}"/>
    <cellStyle name="Calculation 5 2 3" xfId="8507" xr:uid="{AC9309D0-DA81-41EC-8FEB-FE885C46812A}"/>
    <cellStyle name="Calculation 5 2 3 2" xfId="13247" xr:uid="{39B8A766-DF80-4F9A-935C-2822AFB2DF9E}"/>
    <cellStyle name="Calculation 5 2 3 3" xfId="14267" xr:uid="{9AB9CCB5-E45D-4FF8-9B1B-7B462AF0B4EC}"/>
    <cellStyle name="Calculation 5 2 3 4" xfId="15227" xr:uid="{8B4A0D8E-9408-41CB-BB7B-800FCA5B4478}"/>
    <cellStyle name="Calculation 5 2 3 5" xfId="16176" xr:uid="{E414C4D8-D0CC-4681-90C1-0EB0D7A68C91}"/>
    <cellStyle name="Calculation 5 2 3 6" xfId="17049" xr:uid="{09106382-25CD-4639-B01A-203EA5CCA202}"/>
    <cellStyle name="Calculation 5 2 3 7" xfId="17914" xr:uid="{497E4256-521D-4A2A-BDCC-EF4CAC8EDB18}"/>
    <cellStyle name="Calculation 5 2 3 8" xfId="18690" xr:uid="{47F9EC20-1236-4F32-87C1-52FCF49C31BE}"/>
    <cellStyle name="Calculation 5 2 4" xfId="9517" xr:uid="{2569E835-DE8F-4760-8AFF-0BFAB3B6E49D}"/>
    <cellStyle name="Calculation 5 2 4 2" xfId="13921" xr:uid="{02C5FF2B-A0F3-48DF-994D-FD2C0EEDB3E4}"/>
    <cellStyle name="Calculation 5 2 4 3" xfId="14881" xr:uid="{A67D7282-2D67-4E17-BC49-4AD311BF912B}"/>
    <cellStyle name="Calculation 5 2 4 4" xfId="15833" xr:uid="{83FC1026-3390-4300-8FA8-51DC0556A411}"/>
    <cellStyle name="Calculation 5 2 4 5" xfId="16707" xr:uid="{9C1BFB9E-53CB-48C7-977E-FA6A61CC6539}"/>
    <cellStyle name="Calculation 5 2 4 6" xfId="17572" xr:uid="{7E506A7E-6096-4385-A06E-DB3FD3E46918}"/>
    <cellStyle name="Calculation 5 2 4 7" xfId="18348" xr:uid="{26CAB4BB-CE32-4FA0-BEC7-CD7BCED0B327}"/>
    <cellStyle name="Calculation 5 2 4 8" xfId="19105" xr:uid="{16987F36-AD9A-4C32-8F0B-19B4E0000584}"/>
    <cellStyle name="Calculation 5 2 5" xfId="12218" xr:uid="{C1D3E915-F1DC-40C8-9F46-CF52964ADC69}"/>
    <cellStyle name="Calculation 5 2 6" xfId="10647" xr:uid="{05A723C9-4E30-4D99-B4F1-FD867E603D03}"/>
    <cellStyle name="Calculation 5 2 7" xfId="11679" xr:uid="{211187B3-780B-44F5-AA43-54DA10E61AEB}"/>
    <cellStyle name="Calculation 5 2 8" xfId="11102" xr:uid="{13D9A27E-384C-423D-AB61-3B0BCAEC74F8}"/>
    <cellStyle name="Calculation 5 2 9" xfId="11442" xr:uid="{177DCC13-E3B1-4927-872A-A3AD640A0007}"/>
    <cellStyle name="Calculation 5 3" xfId="6985" xr:uid="{5E894FBE-CE8C-42E4-8597-9B834069756F}"/>
    <cellStyle name="Calculation 5 3 10" xfId="13673" xr:uid="{94C90500-A617-42C9-8578-74592EC8EE7B}"/>
    <cellStyle name="Calculation 5 3 2" xfId="8624" xr:uid="{6E218633-840D-4B2D-91F9-7B85BA0A213D}"/>
    <cellStyle name="Calculation 5 3 2 2" xfId="13346" xr:uid="{A31C684C-1F44-48FA-BB3A-A8B049FE5097}"/>
    <cellStyle name="Calculation 5 3 2 3" xfId="14360" xr:uid="{FAAE4386-3F90-4DF5-BF59-C1198834A0FB}"/>
    <cellStyle name="Calculation 5 3 2 4" xfId="15320" xr:uid="{ED8A5B95-DF58-4354-80CC-30E7FAAD3A9D}"/>
    <cellStyle name="Calculation 5 3 2 5" xfId="16264" xr:uid="{8908F343-E382-41A8-A491-A2AF39E57FF0}"/>
    <cellStyle name="Calculation 5 3 2 6" xfId="17137" xr:uid="{21A113E5-7C0A-4CAD-AA1F-B6E41147586F}"/>
    <cellStyle name="Calculation 5 3 2 7" xfId="18002" xr:uid="{0F04F46F-5E63-432A-AA28-B49C767D9BED}"/>
    <cellStyle name="Calculation 5 3 2 8" xfId="18777" xr:uid="{45D9B1A5-3982-4A38-801A-7E5F400F1C4B}"/>
    <cellStyle name="Calculation 5 3 3" xfId="9604" xr:uid="{C788E76A-7B18-4845-86CA-A105E32CE904}"/>
    <cellStyle name="Calculation 5 3 3 2" xfId="14008" xr:uid="{AAD18FAA-C5D0-44AF-98D2-D78C351BBAF6}"/>
    <cellStyle name="Calculation 5 3 3 3" xfId="14968" xr:uid="{66D5B5CE-267C-4B6B-9528-1CC77AEB6196}"/>
    <cellStyle name="Calculation 5 3 3 4" xfId="15920" xr:uid="{7F0532AE-8365-4522-9495-D4B7D020BB76}"/>
    <cellStyle name="Calculation 5 3 3 5" xfId="16794" xr:uid="{9934CBE2-14CA-4D64-A63F-1A4C67700FB4}"/>
    <cellStyle name="Calculation 5 3 3 6" xfId="17659" xr:uid="{1BFE8706-9D2C-40A4-9E2C-20A1867A76FB}"/>
    <cellStyle name="Calculation 5 3 3 7" xfId="18435" xr:uid="{5DD48862-0285-4BB5-82A7-A19BCD8EAA3F}"/>
    <cellStyle name="Calculation 5 3 3 8" xfId="19192" xr:uid="{A5534712-B6DE-4C30-96FD-BEE2CF8E45D9}"/>
    <cellStyle name="Calculation 5 3 4" xfId="12319" xr:uid="{1C2EE9A9-7E17-4BC8-9B1C-7F50986BFCD2}"/>
    <cellStyle name="Calculation 5 3 5" xfId="10551" xr:uid="{9925B79B-D270-45D0-81F3-04959EE2ADD1}"/>
    <cellStyle name="Calculation 5 3 6" xfId="12612" xr:uid="{0CAA8D7A-147F-4E8D-BB17-B8BD823E65C7}"/>
    <cellStyle name="Calculation 5 3 7" xfId="10293" xr:uid="{8F5B8CE9-64EE-461F-B66D-A45AF705D90A}"/>
    <cellStyle name="Calculation 5 3 8" xfId="12650" xr:uid="{A13C1D7E-6106-41DC-8C1C-6FAFEFC36294}"/>
    <cellStyle name="Calculation 5 3 9" xfId="10264" xr:uid="{BD7754BB-43C0-4B84-90E8-F30361495CC3}"/>
    <cellStyle name="Calculation 5 4" xfId="7786" xr:uid="{4B9A4B3F-5B3C-4B8E-ACA4-7BB0657268B7}"/>
    <cellStyle name="Calculation 5 4 2" xfId="12813" xr:uid="{CB3DE2BB-A37B-4CE8-B3AA-022B0B1EDC53}"/>
    <cellStyle name="Calculation 5 4 3" xfId="10161" xr:uid="{7EE7997D-52E1-43B3-B372-2F2DF8DC8E65}"/>
    <cellStyle name="Calculation 5 4 4" xfId="11789" xr:uid="{BE2DE3B9-3711-45C2-B042-B5BF39BADD1F}"/>
    <cellStyle name="Calculation 5 4 5" xfId="11015" xr:uid="{79D54607-EFD0-4E35-91E8-7ACDB4D5E987}"/>
    <cellStyle name="Calculation 5 4 6" xfId="12361" xr:uid="{A2A9EE50-E284-4B4B-9C50-7331E35C1799}"/>
    <cellStyle name="Calculation 5 4 7" xfId="10512" xr:uid="{CD33D497-DDF9-4599-A9BF-AE208E4CAF62}"/>
    <cellStyle name="Calculation 5 4 8" xfId="12622" xr:uid="{295A29A6-0F7F-4232-A41C-8199F87C66CB}"/>
    <cellStyle name="Calculation 5 5" xfId="7895" xr:uid="{6EF916AC-8D12-433F-AA04-C6475EE3B611}"/>
    <cellStyle name="Calculation 5 5 2" xfId="12888" xr:uid="{097E5140-0E9E-435F-8FC4-6EA991F87C5F}"/>
    <cellStyle name="Calculation 5 5 3" xfId="10093" xr:uid="{BA628FED-3F87-4090-BCB9-F1D95C5E152E}"/>
    <cellStyle name="Calculation 5 5 4" xfId="12678" xr:uid="{4A110B5A-DAEA-4FED-B738-5C4FE1538AD7}"/>
    <cellStyle name="Calculation 5 5 5" xfId="10241" xr:uid="{D3EA7668-2118-4322-B853-9A51019CC158}"/>
    <cellStyle name="Calculation 5 5 6" xfId="11992" xr:uid="{D60BC934-42E7-448A-A67B-857662519CC5}"/>
    <cellStyle name="Calculation 5 5 7" xfId="10837" xr:uid="{9F05513E-28C5-421F-A4C7-8C28D5BF17D6}"/>
    <cellStyle name="Calculation 5 5 8" xfId="11585" xr:uid="{8F4A832B-3EE4-4FEA-B591-97E8114894E4}"/>
    <cellStyle name="Calculation 5 6" xfId="10198" xr:uid="{836054FD-41FD-4FF8-84AD-223DA7A981B5}"/>
    <cellStyle name="Calculation 5 7" xfId="12666" xr:uid="{B6DE20EF-745E-4C52-8F2E-B48AB56F8CAA}"/>
    <cellStyle name="Calculation 5 8" xfId="10251" xr:uid="{C0695C96-D9F7-4747-B2B3-4844F9D0A8DA}"/>
    <cellStyle name="Calculation 5 9" xfId="13676" xr:uid="{50C966DD-27CE-4E65-883C-95AB46AB763F}"/>
    <cellStyle name="Calculation 6" xfId="824" xr:uid="{E24C9123-3E0E-4B8D-943F-75F5E7855203}"/>
    <cellStyle name="Calculation 6 10" xfId="11116" xr:uid="{F690C82D-7B42-440D-8395-251FF2F6F413}"/>
    <cellStyle name="Calculation 6 11" xfId="11437" xr:uid="{4B2A8FE5-F474-4331-A07F-942E58D23EB5}"/>
    <cellStyle name="Calculation 6 12" xfId="11291" xr:uid="{11981658-3751-49C6-9797-28A48463D7EF}"/>
    <cellStyle name="Calculation 6 2" xfId="6866" xr:uid="{684C21AF-8C8C-48E1-88D6-1C9BADE5CBD1}"/>
    <cellStyle name="Calculation 6 2 10" xfId="11287" xr:uid="{0B85BF41-17D2-4427-B538-2DE872CDF519}"/>
    <cellStyle name="Calculation 6 2 11" xfId="9841" xr:uid="{A7548145-F97C-46CD-B23E-017F82F22C05}"/>
    <cellStyle name="Calculation 6 2 2" xfId="7233" xr:uid="{CE19CCF7-CA0D-4B4C-BEB5-EBDF2121FBB4}"/>
    <cellStyle name="Calculation 6 2 2 10" xfId="11595" xr:uid="{72D55604-7668-4345-B795-95F239ADFAC8}"/>
    <cellStyle name="Calculation 6 2 2 2" xfId="8873" xr:uid="{30B50ACA-380F-437B-B3EB-D6766FA7476D}"/>
    <cellStyle name="Calculation 6 2 2 2 2" xfId="13524" xr:uid="{99CE6A39-6CC3-4B94-BB28-E742001D2560}"/>
    <cellStyle name="Calculation 6 2 2 2 3" xfId="14528" xr:uid="{08018FE8-99CF-4153-98D0-465F0F31E7A7}"/>
    <cellStyle name="Calculation 6 2 2 2 4" xfId="15486" xr:uid="{773CBC79-FCBE-40BB-BEBA-5EB1167DF6CD}"/>
    <cellStyle name="Calculation 6 2 2 2 5" xfId="16411" xr:uid="{87479FC5-B4C1-4855-88F4-6C90F0646F91}"/>
    <cellStyle name="Calculation 6 2 2 2 6" xfId="17282" xr:uid="{D896EB87-2D1B-4BDE-8AC4-537967738606}"/>
    <cellStyle name="Calculation 6 2 2 2 7" xfId="18128" xr:uid="{839F6A91-6612-4B90-8DC2-144DE6F054C6}"/>
    <cellStyle name="Calculation 6 2 2 2 8" xfId="18892" xr:uid="{2E6BC053-BA5A-471C-95D2-FA52B1D116E6}"/>
    <cellStyle name="Calculation 6 2 2 3" xfId="9719" xr:uid="{4EF302A9-3D32-4ABF-914D-0A91F8124F23}"/>
    <cellStyle name="Calculation 6 2 2 3 2" xfId="14123" xr:uid="{ACE1805E-0FA5-4CAA-BAE2-D47C03064573}"/>
    <cellStyle name="Calculation 6 2 2 3 3" xfId="15083" xr:uid="{CB7341B7-68E9-4888-89C5-F1CA4A3C7B82}"/>
    <cellStyle name="Calculation 6 2 2 3 4" xfId="16035" xr:uid="{8BCAF48B-E6FA-4350-82F8-7AE67BA621CD}"/>
    <cellStyle name="Calculation 6 2 2 3 5" xfId="16909" xr:uid="{C0E352FF-6900-4FB9-9262-D7F3CCDB1A64}"/>
    <cellStyle name="Calculation 6 2 2 3 6" xfId="17774" xr:uid="{7C57EDDB-AE75-4ACB-9C5E-2C98C5D196A7}"/>
    <cellStyle name="Calculation 6 2 2 3 7" xfId="18550" xr:uid="{3667FFE5-2EF9-4334-B712-594B74269456}"/>
    <cellStyle name="Calculation 6 2 2 3 8" xfId="19307" xr:uid="{49099D83-7EA5-4CD8-82D0-9BA4ACF1AC28}"/>
    <cellStyle name="Calculation 6 2 2 4" xfId="12496" xr:uid="{2F6E6DFF-BD7C-4AF4-97F3-255F96D10434}"/>
    <cellStyle name="Calculation 6 2 2 5" xfId="10385" xr:uid="{0D5A93D7-6210-4CCA-B93C-2BBDF36C04CE}"/>
    <cellStyle name="Calculation 6 2 2 6" xfId="13148" xr:uid="{ED20C0AE-61DE-4392-B0F5-2CD8CF27F69A}"/>
    <cellStyle name="Calculation 6 2 2 7" xfId="9882" xr:uid="{6F007223-9791-43C4-B45D-FA3106F2AFD9}"/>
    <cellStyle name="Calculation 6 2 2 8" xfId="12005" xr:uid="{3A92FF5C-9AEF-4402-9ACD-C335BC10C880}"/>
    <cellStyle name="Calculation 6 2 2 9" xfId="10827" xr:uid="{56C6180C-2D24-4F06-BBAC-32C829385066}"/>
    <cellStyle name="Calculation 6 2 3" xfId="8506" xr:uid="{FA341101-B293-449A-8966-0F8F6D4451E7}"/>
    <cellStyle name="Calculation 6 2 3 2" xfId="13246" xr:uid="{B82F514A-A50B-4A36-9F2D-45EC62EC120D}"/>
    <cellStyle name="Calculation 6 2 3 3" xfId="14266" xr:uid="{27EDE2E7-FBEC-48F5-B9C7-4FDEEC20B9E8}"/>
    <cellStyle name="Calculation 6 2 3 4" xfId="15226" xr:uid="{6C391A15-97FC-40E6-8BD5-90F7F1A820FF}"/>
    <cellStyle name="Calculation 6 2 3 5" xfId="16175" xr:uid="{57946058-E47C-45B5-A905-A17C56214712}"/>
    <cellStyle name="Calculation 6 2 3 6" xfId="17048" xr:uid="{1204A651-27A5-483A-9373-793AF79D8742}"/>
    <cellStyle name="Calculation 6 2 3 7" xfId="17913" xr:uid="{9624037A-943A-44D6-87EE-6CC7FAC68721}"/>
    <cellStyle name="Calculation 6 2 3 8" xfId="18689" xr:uid="{9D18C713-6F32-4F66-902E-B2BE99C04884}"/>
    <cellStyle name="Calculation 6 2 4" xfId="9516" xr:uid="{C6490329-98FC-461C-8E57-73A6C600E770}"/>
    <cellStyle name="Calculation 6 2 4 2" xfId="13920" xr:uid="{4BB59167-8EF8-4163-87DF-15CFEDF565F5}"/>
    <cellStyle name="Calculation 6 2 4 3" xfId="14880" xr:uid="{8C8CD44A-2ECE-46F1-BA8E-1EBF51007FE4}"/>
    <cellStyle name="Calculation 6 2 4 4" xfId="15832" xr:uid="{70A88750-CCE5-4CF6-99D3-100C61DEFB7C}"/>
    <cellStyle name="Calculation 6 2 4 5" xfId="16706" xr:uid="{F5917223-DEDE-4042-B221-287C013D224D}"/>
    <cellStyle name="Calculation 6 2 4 6" xfId="17571" xr:uid="{CE58BBC3-826F-4976-A039-F03A1E0A3EEE}"/>
    <cellStyle name="Calculation 6 2 4 7" xfId="18347" xr:uid="{6CEC84F0-A8A7-47AD-AEB3-ADD919EC200F}"/>
    <cellStyle name="Calculation 6 2 4 8" xfId="19104" xr:uid="{E8669B35-13E0-4615-A206-305AFB4B9C99}"/>
    <cellStyle name="Calculation 6 2 5" xfId="12217" xr:uid="{77C90EB8-8837-41E1-B65F-9B664D72C2BC}"/>
    <cellStyle name="Calculation 6 2 6" xfId="10648" xr:uid="{908D7648-A09C-461D-A902-7C34561E10AE}"/>
    <cellStyle name="Calculation 6 2 7" xfId="11678" xr:uid="{E114771A-9507-4C8E-9744-F1F68CB35D4D}"/>
    <cellStyle name="Calculation 6 2 8" xfId="11103" xr:uid="{07EF88EE-DFF6-49B0-9705-CEB5D3F82872}"/>
    <cellStyle name="Calculation 6 2 9" xfId="11441" xr:uid="{B1055DF1-1E76-4136-AF8D-E5B26768EADC}"/>
    <cellStyle name="Calculation 6 3" xfId="6986" xr:uid="{A2708A9A-30D2-435E-BE3A-BAEFC2E130DE}"/>
    <cellStyle name="Calculation 6 3 10" xfId="17334" xr:uid="{4857CC67-11E4-47FB-9C6A-A60707FC6A88}"/>
    <cellStyle name="Calculation 6 3 2" xfId="8625" xr:uid="{605DD36E-6277-47CC-B88B-EC09D81C4493}"/>
    <cellStyle name="Calculation 6 3 2 2" xfId="13347" xr:uid="{EDD3C20B-F05A-4F41-B6DF-F975FD868577}"/>
    <cellStyle name="Calculation 6 3 2 3" xfId="14361" xr:uid="{A8BCA91E-BD85-4C39-AF58-9543DE4DD784}"/>
    <cellStyle name="Calculation 6 3 2 4" xfId="15321" xr:uid="{D6D6925C-3213-4B22-A652-26DDC0CDC671}"/>
    <cellStyle name="Calculation 6 3 2 5" xfId="16265" xr:uid="{477D68C3-BA11-490F-866E-7B9EEF5F8B40}"/>
    <cellStyle name="Calculation 6 3 2 6" xfId="17138" xr:uid="{7B5306CE-71E0-4399-9C4C-D1D3BC5F0B94}"/>
    <cellStyle name="Calculation 6 3 2 7" xfId="18003" xr:uid="{BBA863E9-8087-4019-836D-4ABDA7CF54A9}"/>
    <cellStyle name="Calculation 6 3 2 8" xfId="18778" xr:uid="{9B73B1F1-21D5-4FC8-9FC5-7CF41F66D899}"/>
    <cellStyle name="Calculation 6 3 3" xfId="9605" xr:uid="{EF4031E5-EA97-4F23-96BD-92E488569005}"/>
    <cellStyle name="Calculation 6 3 3 2" xfId="14009" xr:uid="{77F02D47-D83E-4885-BE77-5B521DC7563E}"/>
    <cellStyle name="Calculation 6 3 3 3" xfId="14969" xr:uid="{9EE5B75F-3838-461F-BBBD-FBEFFA88778D}"/>
    <cellStyle name="Calculation 6 3 3 4" xfId="15921" xr:uid="{22AF5113-B2AA-41C2-BFF5-0664C3BC0D3A}"/>
    <cellStyle name="Calculation 6 3 3 5" xfId="16795" xr:uid="{1B47245A-46D1-4ACA-BFF7-7A5C17F74CCF}"/>
    <cellStyle name="Calculation 6 3 3 6" xfId="17660" xr:uid="{EF59930C-17A7-451E-89B7-2BF8F751C8D1}"/>
    <cellStyle name="Calculation 6 3 3 7" xfId="18436" xr:uid="{FE2BBB78-CFF4-44B7-A795-D960CFF544AC}"/>
    <cellStyle name="Calculation 6 3 3 8" xfId="19193" xr:uid="{B97F8B47-4618-49D1-A11A-36F80DE4E7C9}"/>
    <cellStyle name="Calculation 6 3 4" xfId="12320" xr:uid="{E4AA96CA-1040-4CFB-A920-39A228CA4BF0}"/>
    <cellStyle name="Calculation 6 3 5" xfId="10550" xr:uid="{675CB50F-B4B4-4F2F-924D-7786CE2DF043}"/>
    <cellStyle name="Calculation 6 3 6" xfId="13633" xr:uid="{F96F1C6F-5C15-4F23-BD3D-D4DB8C68BA48}"/>
    <cellStyle name="Calculation 6 3 7" xfId="14611" xr:uid="{BFC4F2A6-F263-404A-A185-613098BBB4EC}"/>
    <cellStyle name="Calculation 6 3 8" xfId="15564" xr:uid="{1F12AA43-59F9-4D26-B898-C0200D01D97C}"/>
    <cellStyle name="Calculation 6 3 9" xfId="16463" xr:uid="{305AFBD2-97CE-413F-952F-963329F5E6B5}"/>
    <cellStyle name="Calculation 6 4" xfId="7787" xr:uid="{2AC29670-658A-4708-89D2-D4733F60EC68}"/>
    <cellStyle name="Calculation 6 4 2" xfId="12814" xr:uid="{EB11C471-DBCF-48A9-834D-079E86417AAF}"/>
    <cellStyle name="Calculation 6 4 3" xfId="10160" xr:uid="{B1864D00-67B2-4238-8EE4-C9B5DF9BB666}"/>
    <cellStyle name="Calculation 6 4 4" xfId="11790" xr:uid="{1A18331C-45C0-4D7F-A494-2F8740B3CA18}"/>
    <cellStyle name="Calculation 6 4 5" xfId="11014" xr:uid="{49122549-5BA8-4C1C-B545-D39D9ECE9619}"/>
    <cellStyle name="Calculation 6 4 6" xfId="13392" xr:uid="{B655D7BB-2422-468D-BE12-E07D47167131}"/>
    <cellStyle name="Calculation 6 4 7" xfId="14401" xr:uid="{A2E7B42F-ACBC-4361-B620-C50DE0F6C626}"/>
    <cellStyle name="Calculation 6 4 8" xfId="15359" xr:uid="{16DE14E7-F391-4C2B-AE65-0EFB28018BAF}"/>
    <cellStyle name="Calculation 6 5" xfId="7894" xr:uid="{DAC5D4A7-D3D1-4A48-81FD-E313C9A33460}"/>
    <cellStyle name="Calculation 6 5 2" xfId="12887" xr:uid="{16E25C8A-873B-4E1E-B9D7-971B8BD3A7C4}"/>
    <cellStyle name="Calculation 6 5 3" xfId="10094" xr:uid="{3029C004-C3A5-4927-90F4-99AF695424DB}"/>
    <cellStyle name="Calculation 6 5 4" xfId="11997" xr:uid="{7F6F255F-B743-4BF0-933C-1088A4F7CDCC}"/>
    <cellStyle name="Calculation 6 5 5" xfId="10833" xr:uid="{5E7EB227-082C-4AF4-AF4C-AD8374E3B511}"/>
    <cellStyle name="Calculation 6 5 6" xfId="11589" xr:uid="{9151458D-2D70-4275-A3F1-9CCC5617EFA2}"/>
    <cellStyle name="Calculation 6 5 7" xfId="11168" xr:uid="{1DEE9908-D821-4304-85DB-A235D09B5098}"/>
    <cellStyle name="Calculation 6 5 8" xfId="12869" xr:uid="{5836C775-3ED9-40A7-B0F3-C0F603E76E97}"/>
    <cellStyle name="Calculation 6 6" xfId="10199" xr:uid="{8381B101-CF5F-4FEA-9818-E44967539CED}"/>
    <cellStyle name="Calculation 6 7" xfId="12132" xr:uid="{7EA14414-DE2A-4D89-8417-91D99A5C70C6}"/>
    <cellStyle name="Calculation 6 8" xfId="10723" xr:uid="{A2F3761B-1705-4855-9882-E41AA9A82709}"/>
    <cellStyle name="Calculation 6 9" xfId="11664" xr:uid="{0E479CE3-96E6-431B-B742-52C2C1105B39}"/>
    <cellStyle name="Calculation 7" xfId="825" xr:uid="{D40B6CED-0B34-4559-AEC1-C80BC1BE65CE}"/>
    <cellStyle name="Calculation 7 10" xfId="14725" xr:uid="{F1D3A5CE-B835-4EAC-BE16-22F9106F7DC9}"/>
    <cellStyle name="Calculation 7 11" xfId="15677" xr:uid="{F82A581A-4BEE-4C40-A507-B68485A24A78}"/>
    <cellStyle name="Calculation 7 12" xfId="16557" xr:uid="{1D0F17F8-3364-4508-A11D-312BDF2DEF46}"/>
    <cellStyle name="Calculation 7 2" xfId="6865" xr:uid="{EDC9D17B-A057-4BD7-BE98-EC7B8B9BF9D8}"/>
    <cellStyle name="Calculation 7 2 10" xfId="11288" xr:uid="{18D415A8-AA66-4DF7-B938-645D972C89D0}"/>
    <cellStyle name="Calculation 7 2 11" xfId="12794" xr:uid="{11D3189C-3CC6-4B66-80AD-F7713AD8AE83}"/>
    <cellStyle name="Calculation 7 2 2" xfId="7234" xr:uid="{3EA9412D-1667-41CD-B08C-476BF10CF918}"/>
    <cellStyle name="Calculation 7 2 2 10" xfId="13570" xr:uid="{956286D9-C820-4C34-AA31-042F31D1F1B5}"/>
    <cellStyle name="Calculation 7 2 2 2" xfId="8874" xr:uid="{5D2D211E-BEB9-4BEC-88B0-C548A9411420}"/>
    <cellStyle name="Calculation 7 2 2 2 2" xfId="13525" xr:uid="{CFA336D8-E902-40B7-8354-CAB971F7DA29}"/>
    <cellStyle name="Calculation 7 2 2 2 3" xfId="14529" xr:uid="{FE791DAE-818A-4089-9E4A-47A8CB60DAFD}"/>
    <cellStyle name="Calculation 7 2 2 2 4" xfId="15487" xr:uid="{C55AFEE3-6FF1-4065-A9B2-7E14D8011E68}"/>
    <cellStyle name="Calculation 7 2 2 2 5" xfId="16412" xr:uid="{216415BD-8673-401E-A3D1-18D736BB379C}"/>
    <cellStyle name="Calculation 7 2 2 2 6" xfId="17283" xr:uid="{52FA82A5-720B-4B97-B0E6-2C9DDCA0717D}"/>
    <cellStyle name="Calculation 7 2 2 2 7" xfId="18129" xr:uid="{EFE6ADC0-3D53-447D-AB9C-486F08251F17}"/>
    <cellStyle name="Calculation 7 2 2 2 8" xfId="18893" xr:uid="{CA5235AF-DD50-4BA5-88AE-0300BF06BD2A}"/>
    <cellStyle name="Calculation 7 2 2 3" xfId="9720" xr:uid="{54507864-C978-431D-9ADA-3D301525A737}"/>
    <cellStyle name="Calculation 7 2 2 3 2" xfId="14124" xr:uid="{DFEBEAD9-F61B-4CAE-B3AB-838674A8DFD6}"/>
    <cellStyle name="Calculation 7 2 2 3 3" xfId="15084" xr:uid="{A79215A7-DCF5-45B1-BD32-40D687CA5C50}"/>
    <cellStyle name="Calculation 7 2 2 3 4" xfId="16036" xr:uid="{6DF41F8D-000F-4D74-BBB7-14FB5C54742A}"/>
    <cellStyle name="Calculation 7 2 2 3 5" xfId="16910" xr:uid="{E0119406-BE67-4267-B69E-E361368FD4D2}"/>
    <cellStyle name="Calculation 7 2 2 3 6" xfId="17775" xr:uid="{B0D3C79B-5596-41B0-A069-2D497FD6CCE5}"/>
    <cellStyle name="Calculation 7 2 2 3 7" xfId="18551" xr:uid="{61424EC0-EA42-4D91-AF51-049FE02FF647}"/>
    <cellStyle name="Calculation 7 2 2 3 8" xfId="19308" xr:uid="{C011F137-4C04-48AE-960B-768A401C0576}"/>
    <cellStyle name="Calculation 7 2 2 4" xfId="12497" xr:uid="{D9C4D455-50EF-45B0-8F8A-0CF4694C2E80}"/>
    <cellStyle name="Calculation 7 2 2 5" xfId="10384" xr:uid="{EBFC1DA4-0563-4330-AD0E-39837A149341}"/>
    <cellStyle name="Calculation 7 2 2 6" xfId="11988" xr:uid="{9444FD53-8B07-45B9-B1EA-ECF6D81DCF7C}"/>
    <cellStyle name="Calculation 7 2 2 7" xfId="10841" xr:uid="{D344E230-2E54-4BF9-9C57-95C2B2A33915}"/>
    <cellStyle name="Calculation 7 2 2 8" xfId="11581" xr:uid="{D0F772CB-7B26-4F79-90B7-BFC65C289116}"/>
    <cellStyle name="Calculation 7 2 2 9" xfId="11173" xr:uid="{19B745B6-F779-4DA3-80B2-3ECD2070DCF2}"/>
    <cellStyle name="Calculation 7 2 3" xfId="8505" xr:uid="{1FB1B986-9107-4DD4-AD11-FA58386E9294}"/>
    <cellStyle name="Calculation 7 2 3 2" xfId="13245" xr:uid="{6BBCDE8E-435C-4F15-B331-8FE180D429E4}"/>
    <cellStyle name="Calculation 7 2 3 3" xfId="14265" xr:uid="{9E7AA52D-75F3-4B5E-BEF0-B378AA9C622A}"/>
    <cellStyle name="Calculation 7 2 3 4" xfId="15225" xr:uid="{31F4A6FD-882C-484A-BFD3-CDAB143E3D95}"/>
    <cellStyle name="Calculation 7 2 3 5" xfId="16174" xr:uid="{64636976-77BB-4381-9C06-2D8D1D98EFB7}"/>
    <cellStyle name="Calculation 7 2 3 6" xfId="17047" xr:uid="{B4E96D41-1930-4024-AA43-9DEA33A48851}"/>
    <cellStyle name="Calculation 7 2 3 7" xfId="17912" xr:uid="{44E8430F-64A5-42A2-8505-A505C4C69973}"/>
    <cellStyle name="Calculation 7 2 3 8" xfId="18688" xr:uid="{A0D4C015-F721-45E4-8CC3-7B7AAEB275E9}"/>
    <cellStyle name="Calculation 7 2 4" xfId="9515" xr:uid="{8EA95B7C-811D-46E6-B98D-CC1A46876CFF}"/>
    <cellStyle name="Calculation 7 2 4 2" xfId="13919" xr:uid="{CE1F6AB3-20E1-498E-82BE-7BD6CAE4E0F5}"/>
    <cellStyle name="Calculation 7 2 4 3" xfId="14879" xr:uid="{F116AD22-9CB6-4542-A66F-7987A49950E7}"/>
    <cellStyle name="Calculation 7 2 4 4" xfId="15831" xr:uid="{0C4952C3-79C1-42FF-B77F-8648C317408F}"/>
    <cellStyle name="Calculation 7 2 4 5" xfId="16705" xr:uid="{60CD9818-A191-4153-9302-663AF8D901B0}"/>
    <cellStyle name="Calculation 7 2 4 6" xfId="17570" xr:uid="{939859D0-4434-494E-B5E0-4BBF521F99C5}"/>
    <cellStyle name="Calculation 7 2 4 7" xfId="18346" xr:uid="{B148BD4E-FFCB-453E-BC07-C8BE5F700EEF}"/>
    <cellStyle name="Calculation 7 2 4 8" xfId="19103" xr:uid="{CB77A384-10EE-4651-B3B9-D2A564210477}"/>
    <cellStyle name="Calculation 7 2 5" xfId="12216" xr:uid="{FDBE9011-6A80-4392-B186-0A8E7FBB3F2D}"/>
    <cellStyle name="Calculation 7 2 6" xfId="10649" xr:uid="{282559C5-047E-467C-8A8D-08BE710DFC0F}"/>
    <cellStyle name="Calculation 7 2 7" xfId="11677" xr:uid="{AF10A1EA-5879-414C-9D0F-37B153AA06EF}"/>
    <cellStyle name="Calculation 7 2 8" xfId="11104" xr:uid="{98BE4938-529D-4C7B-A33D-073F4A4F784E}"/>
    <cellStyle name="Calculation 7 2 9" xfId="11440" xr:uid="{A52AA9D0-EC46-48D0-A3A3-8A1800ED26C8}"/>
    <cellStyle name="Calculation 7 3" xfId="6987" xr:uid="{A35D8BCB-1A61-430A-BB2F-A80A28CCDFB3}"/>
    <cellStyle name="Calculation 7 3 10" xfId="11730" xr:uid="{AD4EABCE-DD02-47F2-B0A5-9AAD3AFEAB2C}"/>
    <cellStyle name="Calculation 7 3 2" xfId="8626" xr:uid="{CD86D85C-A059-4F63-A0AF-FA45F3F59CF4}"/>
    <cellStyle name="Calculation 7 3 2 2" xfId="13348" xr:uid="{AECA1A6A-863A-433B-BA8E-F6A6D7C173AB}"/>
    <cellStyle name="Calculation 7 3 2 3" xfId="14362" xr:uid="{F8F2A93E-64A4-4442-8B0C-2211EE61026E}"/>
    <cellStyle name="Calculation 7 3 2 4" xfId="15322" xr:uid="{AB695711-6EAB-4F67-B526-716895A0FFEF}"/>
    <cellStyle name="Calculation 7 3 2 5" xfId="16266" xr:uid="{298EE418-549C-45DB-A9EF-15FC329B4B27}"/>
    <cellStyle name="Calculation 7 3 2 6" xfId="17139" xr:uid="{F6B37935-39AD-4780-83FA-BB0EA42F5068}"/>
    <cellStyle name="Calculation 7 3 2 7" xfId="18004" xr:uid="{F17A9069-1C7E-4EEB-A6B7-776781FB8A2F}"/>
    <cellStyle name="Calculation 7 3 2 8" xfId="18779" xr:uid="{5FA41D62-C041-410F-A7BE-10DEC3AF246E}"/>
    <cellStyle name="Calculation 7 3 3" xfId="9606" xr:uid="{16B3F457-B157-43FF-B514-BF1C7142E10A}"/>
    <cellStyle name="Calculation 7 3 3 2" xfId="14010" xr:uid="{5C6F7F7D-6566-4DED-9623-614E4AB50CE2}"/>
    <cellStyle name="Calculation 7 3 3 3" xfId="14970" xr:uid="{B938213E-06EC-481A-8E80-EF5B6E5B2032}"/>
    <cellStyle name="Calculation 7 3 3 4" xfId="15922" xr:uid="{8E61A25E-8023-461A-ABC8-4A0B8FF07342}"/>
    <cellStyle name="Calculation 7 3 3 5" xfId="16796" xr:uid="{0F56015C-AC82-4E9F-BFB4-1D26815A70D7}"/>
    <cellStyle name="Calculation 7 3 3 6" xfId="17661" xr:uid="{8E5AD0C7-9A44-48BE-9FD8-445179F084B3}"/>
    <cellStyle name="Calculation 7 3 3 7" xfId="18437" xr:uid="{6B59E838-1A14-4347-BABB-6B00AFB990AD}"/>
    <cellStyle name="Calculation 7 3 3 8" xfId="19194" xr:uid="{1E0CFE15-6B5C-4967-9666-6DA424307A93}"/>
    <cellStyle name="Calculation 7 3 4" xfId="12321" xr:uid="{2E44F244-35D4-43C4-8E1F-BD708B2B664E}"/>
    <cellStyle name="Calculation 7 3 5" xfId="10549" xr:uid="{0F010C65-FDEE-4F77-9B94-9455EA2278DF}"/>
    <cellStyle name="Calculation 7 3 6" xfId="13130" xr:uid="{888FB243-FE54-49AA-B3B2-710CCB069A1E}"/>
    <cellStyle name="Calculation 7 3 7" xfId="9897" xr:uid="{997148C8-5268-4C14-8CF0-940EE7C3BB53}"/>
    <cellStyle name="Calculation 7 3 8" xfId="12476" xr:uid="{27C6A999-4AAA-4B57-83D3-9A2344528EFA}"/>
    <cellStyle name="Calculation 7 3 9" xfId="10404" xr:uid="{B4B60887-8573-4AB8-89DB-D9FE07348D6B}"/>
    <cellStyle name="Calculation 7 4" xfId="7788" xr:uid="{E885C6F2-0EC0-463A-B5D2-E7C6BFF457D0}"/>
    <cellStyle name="Calculation 7 4 2" xfId="12815" xr:uid="{66B5AF0E-1E2B-420F-B9C5-6D035366CCD2}"/>
    <cellStyle name="Calculation 7 4 3" xfId="10159" xr:uid="{79FEAB8D-1F1B-4D6E-855C-752D44FE8643}"/>
    <cellStyle name="Calculation 7 4 4" xfId="11791" xr:uid="{889964B7-1461-4E32-A7C7-117DB6E746C5}"/>
    <cellStyle name="Calculation 7 4 5" xfId="11013" xr:uid="{3AAB4205-FA0A-4F4D-B73A-A813DD5CD856}"/>
    <cellStyle name="Calculation 7 4 6" xfId="12879" xr:uid="{9D454C46-4F20-42C2-8803-7580B2BEE5B9}"/>
    <cellStyle name="Calculation 7 4 7" xfId="10101" xr:uid="{6AF54ED1-51A5-4288-8D0C-0AAA4F90A348}"/>
    <cellStyle name="Calculation 7 4 8" xfId="12141" xr:uid="{89930A9E-956D-4D25-B8F1-8D8E02FB9AEA}"/>
    <cellStyle name="Calculation 7 5" xfId="7893" xr:uid="{BA2B708E-2F43-47CE-8555-65477E25620F}"/>
    <cellStyle name="Calculation 7 5 2" xfId="12886" xr:uid="{57CE1BDF-3495-4CC0-9AFE-346FABFEA343}"/>
    <cellStyle name="Calculation 7 5 3" xfId="10095" xr:uid="{BCAA6085-2519-4450-950E-018E6F858E6E}"/>
    <cellStyle name="Calculation 7 5 4" xfId="13171" xr:uid="{701AEC2B-E05B-4DB0-870C-245B2B1B2CB7}"/>
    <cellStyle name="Calculation 7 5 5" xfId="9865" xr:uid="{E86002F0-7596-466F-8A6B-2BCC257E05FF}"/>
    <cellStyle name="Calculation 7 5 6" xfId="13202" xr:uid="{E8C40D77-F6F1-4DF2-916D-5A11219BE818}"/>
    <cellStyle name="Calculation 7 5 7" xfId="14223" xr:uid="{1CA91A9A-566A-4365-8BEC-76900D050DEB}"/>
    <cellStyle name="Calculation 7 5 8" xfId="15183" xr:uid="{41825BB7-C370-450D-A107-A3A57FBEC85A}"/>
    <cellStyle name="Calculation 7 6" xfId="10200" xr:uid="{C3E45A46-56E2-482D-94CB-4D75D05A730B}"/>
    <cellStyle name="Calculation 7 7" xfId="13164" xr:uid="{26EE2366-10D2-45C8-81A0-AD27F3EBBA18}"/>
    <cellStyle name="Calculation 7 8" xfId="9871" xr:uid="{119E8A22-93EE-428B-84C2-A435E23B45C7}"/>
    <cellStyle name="Calculation 7 9" xfId="13763" xr:uid="{0977592F-2FC9-46D3-9322-0A54D3D0BF98}"/>
    <cellStyle name="Calculation 8" xfId="826" xr:uid="{6F808257-4A51-4CF9-BD2D-7BDD92AE65E8}"/>
    <cellStyle name="Calculation 8 10" xfId="16490" xr:uid="{4CA0CA1F-857E-41FB-81FB-0A93AF15D741}"/>
    <cellStyle name="Calculation 8 11" xfId="17358" xr:uid="{DC536C8C-B828-4D78-980B-0F0EC9D7DEE5}"/>
    <cellStyle name="Calculation 8 12" xfId="18156" xr:uid="{5DE8589A-95BD-47FB-A8B9-69FAC960C691}"/>
    <cellStyle name="Calculation 8 2" xfId="6864" xr:uid="{ED0E22F8-6012-4030-89FA-E05B6F3E64A9}"/>
    <cellStyle name="Calculation 8 2 10" xfId="11289" xr:uid="{29368D27-B128-490C-B048-56024121640F}"/>
    <cellStyle name="Calculation 8 2 11" xfId="13327" xr:uid="{A3326C6C-EE04-42A9-B84E-61A4D618E741}"/>
    <cellStyle name="Calculation 8 2 2" xfId="7235" xr:uid="{37759779-55BD-4BBE-8A9C-7900B32880AA}"/>
    <cellStyle name="Calculation 8 2 2 10" xfId="13179" xr:uid="{FEB2242D-EE9F-4275-918F-41C6664E9466}"/>
    <cellStyle name="Calculation 8 2 2 2" xfId="8875" xr:uid="{539854FE-4A35-43B0-870C-CEB4880D0FFB}"/>
    <cellStyle name="Calculation 8 2 2 2 2" xfId="13526" xr:uid="{04D46940-F109-4C56-9E0A-57EDAB38B24E}"/>
    <cellStyle name="Calculation 8 2 2 2 3" xfId="14530" xr:uid="{36B87E20-5F01-42E7-A3C3-772AF13FC0F2}"/>
    <cellStyle name="Calculation 8 2 2 2 4" xfId="15488" xr:uid="{CC2AF963-265A-48F3-997E-E1F59777CF69}"/>
    <cellStyle name="Calculation 8 2 2 2 5" xfId="16413" xr:uid="{CAA72D7D-C249-4A13-B963-0CCD3C12EC4E}"/>
    <cellStyle name="Calculation 8 2 2 2 6" xfId="17284" xr:uid="{7BB88531-68A1-4F1E-AFC8-1A46A02189AA}"/>
    <cellStyle name="Calculation 8 2 2 2 7" xfId="18130" xr:uid="{CC82E426-FD6F-470C-95F2-11100F60ABA3}"/>
    <cellStyle name="Calculation 8 2 2 2 8" xfId="18894" xr:uid="{01BE8B1C-3323-4791-87F8-389F2547BEAB}"/>
    <cellStyle name="Calculation 8 2 2 3" xfId="9721" xr:uid="{C4B96676-6950-4E70-A7BB-0A90D543CA83}"/>
    <cellStyle name="Calculation 8 2 2 3 2" xfId="14125" xr:uid="{F9293653-BF90-4B39-B686-DEB5B10E04D4}"/>
    <cellStyle name="Calculation 8 2 2 3 3" xfId="15085" xr:uid="{036FD368-C0CB-402A-8695-F9BEBBD956BD}"/>
    <cellStyle name="Calculation 8 2 2 3 4" xfId="16037" xr:uid="{FC75FD2F-8B76-45D1-9997-44CD0FA37C30}"/>
    <cellStyle name="Calculation 8 2 2 3 5" xfId="16911" xr:uid="{568BFE56-F84F-4444-9142-9395229908F5}"/>
    <cellStyle name="Calculation 8 2 2 3 6" xfId="17776" xr:uid="{F91E8E68-66E1-4E4A-856E-C4E98B0EF263}"/>
    <cellStyle name="Calculation 8 2 2 3 7" xfId="18552" xr:uid="{54A04EC8-D3E7-4DB3-8040-46587E51B486}"/>
    <cellStyle name="Calculation 8 2 2 3 8" xfId="19309" xr:uid="{D84D83D7-BBD7-4458-BCE9-F69369BAF07D}"/>
    <cellStyle name="Calculation 8 2 2 4" xfId="12498" xr:uid="{70049D78-0E21-482F-BE7E-31C62B2D0717}"/>
    <cellStyle name="Calculation 8 2 2 5" xfId="10383" xr:uid="{FD28BD1A-E7DD-4F20-8FF2-575522CCEB29}"/>
    <cellStyle name="Calculation 8 2 2 6" xfId="12640" xr:uid="{44C89C3F-EBEA-4DF5-A28D-F05DCC555DD6}"/>
    <cellStyle name="Calculation 8 2 2 7" xfId="10271" xr:uid="{0E801AB7-63AD-4B32-82CE-D9869B7DD0FB}"/>
    <cellStyle name="Calculation 8 2 2 8" xfId="12927" xr:uid="{3755A662-E5EF-4D9A-9D3B-1781186FC5D8}"/>
    <cellStyle name="Calculation 8 2 2 9" xfId="10058" xr:uid="{ADFE8069-3361-431F-8BA4-85DF7C737D5F}"/>
    <cellStyle name="Calculation 8 2 3" xfId="8504" xr:uid="{6F35771E-DBDF-4F94-B663-486813B2DD50}"/>
    <cellStyle name="Calculation 8 2 3 2" xfId="13244" xr:uid="{551F1B3D-A300-4909-B934-7270E9CDEFB4}"/>
    <cellStyle name="Calculation 8 2 3 3" xfId="14264" xr:uid="{D02C1B5E-07F0-4891-A169-2A589BF140CB}"/>
    <cellStyle name="Calculation 8 2 3 4" xfId="15224" xr:uid="{A9923162-FD67-4A54-895F-62497B503A9E}"/>
    <cellStyle name="Calculation 8 2 3 5" xfId="16173" xr:uid="{994FE9CD-AFAF-47F0-974A-1BC93F233D5E}"/>
    <cellStyle name="Calculation 8 2 3 6" xfId="17046" xr:uid="{F8B44F7C-6C23-41FF-B4D2-F0A99671A7EB}"/>
    <cellStyle name="Calculation 8 2 3 7" xfId="17911" xr:uid="{318B2831-0797-49F8-B09E-0E3FA32AF613}"/>
    <cellStyle name="Calculation 8 2 3 8" xfId="18687" xr:uid="{F4D151FC-A93F-4A20-8414-1ABE5F3E2AEF}"/>
    <cellStyle name="Calculation 8 2 4" xfId="9514" xr:uid="{89449F9C-3401-4B51-B953-D4C248AE1385}"/>
    <cellStyle name="Calculation 8 2 4 2" xfId="13918" xr:uid="{1F8EA5AC-BD38-424C-87EF-D18F694DD457}"/>
    <cellStyle name="Calculation 8 2 4 3" xfId="14878" xr:uid="{57209FC3-1EEB-4B06-A3B5-7F32E0DEABBE}"/>
    <cellStyle name="Calculation 8 2 4 4" xfId="15830" xr:uid="{422FF329-BBED-46CC-B294-F17B3C4C6FDF}"/>
    <cellStyle name="Calculation 8 2 4 5" xfId="16704" xr:uid="{57FCACDB-7CF3-49CF-84DD-2009D4EBFEBA}"/>
    <cellStyle name="Calculation 8 2 4 6" xfId="17569" xr:uid="{65BE5D3F-904C-4278-B677-A9E97C6F41E4}"/>
    <cellStyle name="Calculation 8 2 4 7" xfId="18345" xr:uid="{BB2BB262-DA14-4C34-9CCE-ACE522E08835}"/>
    <cellStyle name="Calculation 8 2 4 8" xfId="19102" xr:uid="{38ACB309-2A40-44CF-B52A-30AA9142A0BB}"/>
    <cellStyle name="Calculation 8 2 5" xfId="12215" xr:uid="{3CA6C52F-8B1A-4F08-85F5-2FB5920BA803}"/>
    <cellStyle name="Calculation 8 2 6" xfId="10650" xr:uid="{FFFD05D3-A3F1-4275-A3DB-D00E09137C84}"/>
    <cellStyle name="Calculation 8 2 7" xfId="11676" xr:uid="{26BC10EA-2A07-4A7D-A091-4809A020CC0D}"/>
    <cellStyle name="Calculation 8 2 8" xfId="11105" xr:uid="{51CBE51B-B25E-4F4D-93BB-DAF8A4BE42B8}"/>
    <cellStyle name="Calculation 8 2 9" xfId="11439" xr:uid="{D91B770E-273C-4F36-B396-882B42ADB4C5}"/>
    <cellStyle name="Calculation 8 3" xfId="6988" xr:uid="{5E3FC2EF-8B31-49E0-9951-243D99329A51}"/>
    <cellStyle name="Calculation 8 3 10" xfId="12553" xr:uid="{F2191633-7041-4118-AEF9-D29EE5553CB1}"/>
    <cellStyle name="Calculation 8 3 2" xfId="8627" xr:uid="{2D60F728-55CE-446E-87E0-2C0229F09234}"/>
    <cellStyle name="Calculation 8 3 2 2" xfId="13349" xr:uid="{A1016EB3-D04B-4F19-9503-EF680928421A}"/>
    <cellStyle name="Calculation 8 3 2 3" xfId="14363" xr:uid="{ABEEC2DB-71C9-4696-BBF8-91DE063AE9FD}"/>
    <cellStyle name="Calculation 8 3 2 4" xfId="15323" xr:uid="{13E2C87C-1DA9-4D92-855A-896D8D8CBF5C}"/>
    <cellStyle name="Calculation 8 3 2 5" xfId="16267" xr:uid="{0CB5E026-DD94-412C-AE15-9E573F80BDDB}"/>
    <cellStyle name="Calculation 8 3 2 6" xfId="17140" xr:uid="{17BA17B5-7C6C-48AF-9D96-A781DDEC53D8}"/>
    <cellStyle name="Calculation 8 3 2 7" xfId="18005" xr:uid="{1450B2D5-1C3D-467C-BF8D-55A737D5032A}"/>
    <cellStyle name="Calculation 8 3 2 8" xfId="18780" xr:uid="{55F0171D-AF02-4DCB-9A1A-8B8167306D97}"/>
    <cellStyle name="Calculation 8 3 3" xfId="9607" xr:uid="{E891E84B-44A5-4A0F-93FC-8AB0E27CA6B8}"/>
    <cellStyle name="Calculation 8 3 3 2" xfId="14011" xr:uid="{3E51B402-612D-4BB3-A29A-8AC753EAEF15}"/>
    <cellStyle name="Calculation 8 3 3 3" xfId="14971" xr:uid="{5DAD08FC-2B1A-4AA6-B369-2D486A8F55BD}"/>
    <cellStyle name="Calculation 8 3 3 4" xfId="15923" xr:uid="{D5E1A52F-1DBA-41FB-896F-6B89BD22010B}"/>
    <cellStyle name="Calculation 8 3 3 5" xfId="16797" xr:uid="{3EFEC3A4-5A66-4103-A00B-37700D4B3CDD}"/>
    <cellStyle name="Calculation 8 3 3 6" xfId="17662" xr:uid="{B5E588A1-E4A9-4564-8429-ED7A71A5BB99}"/>
    <cellStyle name="Calculation 8 3 3 7" xfId="18438" xr:uid="{F471E098-3D1B-4214-B35D-C122F8377FE3}"/>
    <cellStyle name="Calculation 8 3 3 8" xfId="19195" xr:uid="{EE4A6490-3C8A-4310-96C4-A8D734BCF163}"/>
    <cellStyle name="Calculation 8 3 4" xfId="12322" xr:uid="{F2931659-D69A-4A3C-BA55-51670353D04A}"/>
    <cellStyle name="Calculation 8 3 5" xfId="10548" xr:uid="{35053A87-9138-438D-AFE9-CC84051D9863}"/>
    <cellStyle name="Calculation 8 3 6" xfId="12099" xr:uid="{E10D1431-684D-4DD4-A129-3A06B46374EB}"/>
    <cellStyle name="Calculation 8 3 7" xfId="10753" xr:uid="{F6187F7D-B47A-4FF9-B167-CAF129F06326}"/>
    <cellStyle name="Calculation 8 3 8" xfId="11660" xr:uid="{8A0822BA-58F5-4162-9A33-C41424FBD7FF}"/>
    <cellStyle name="Calculation 8 3 9" xfId="11118" xr:uid="{3768094C-1C05-4697-AAB4-F873C0957EC1}"/>
    <cellStyle name="Calculation 8 4" xfId="7789" xr:uid="{668E2C83-786F-4A48-A38F-9A29794A8D46}"/>
    <cellStyle name="Calculation 8 4 2" xfId="12816" xr:uid="{EF4F293E-E5FE-4F92-AA62-7BCCC5F2D684}"/>
    <cellStyle name="Calculation 8 4 3" xfId="10158" xr:uid="{2CE143D5-6C8A-4B17-977C-CFE53FD9C90F}"/>
    <cellStyle name="Calculation 8 4 4" xfId="12133" xr:uid="{A696132E-9B78-4601-8A71-D64A8E5D2EF2}"/>
    <cellStyle name="Calculation 8 4 5" xfId="10722" xr:uid="{8A86AE46-1F73-487F-8BA4-EAADDA7E59F3}"/>
    <cellStyle name="Calculation 8 4 6" xfId="11665" xr:uid="{ADDEDB76-8DAD-4D54-9853-818F9C87820E}"/>
    <cellStyle name="Calculation 8 4 7" xfId="11115" xr:uid="{4A1BA68E-13A6-4814-BA0C-77FA27EE62C2}"/>
    <cellStyle name="Calculation 8 4 8" xfId="12052" xr:uid="{8F70ACE4-A539-46CB-BE73-16E295A1D199}"/>
    <cellStyle name="Calculation 8 5" xfId="7892" xr:uid="{4D42899E-1B35-4162-9121-CE0799E8E19C}"/>
    <cellStyle name="Calculation 8 5 2" xfId="12885" xr:uid="{87537792-559B-4780-9344-19972F4F0E2F}"/>
    <cellStyle name="Calculation 8 5 3" xfId="10096" xr:uid="{B0ECE725-B4F0-481C-BC8E-6ABC927B210A}"/>
    <cellStyle name="Calculation 8 5 4" xfId="13697" xr:uid="{F14F1FF5-AA25-4182-AFFD-4387E6284831}"/>
    <cellStyle name="Calculation 8 5 5" xfId="14663" xr:uid="{FC138333-30F3-4C7D-B988-34444650F638}"/>
    <cellStyle name="Calculation 8 5 6" xfId="15615" xr:uid="{63F4C4FF-D506-4F89-A452-AF730515137F}"/>
    <cellStyle name="Calculation 8 5 7" xfId="16500" xr:uid="{D5ACB5B5-36F7-4B66-B03A-AF072035DF0B}"/>
    <cellStyle name="Calculation 8 5 8" xfId="17368" xr:uid="{FFC59023-79BB-4836-A7C4-1C2C967A7D8D}"/>
    <cellStyle name="Calculation 8 6" xfId="10201" xr:uid="{8AF326E4-8E26-4591-859B-027A6A239BD0}"/>
    <cellStyle name="Calculation 8 7" xfId="13685" xr:uid="{068EBE74-4B64-4FA8-ACB2-DB5CF340BDFB}"/>
    <cellStyle name="Calculation 8 8" xfId="14653" xr:uid="{9D6C571A-65D0-42B0-A17F-9CD32C821B42}"/>
    <cellStyle name="Calculation 8 9" xfId="15605" xr:uid="{CFC02757-8B48-4B4A-A11B-24426747364F}"/>
    <cellStyle name="Calculation 9" xfId="827" xr:uid="{83CA8B4B-BC7F-45CA-80B8-0ECF2705560C}"/>
    <cellStyle name="Calculation 9 10" xfId="10259" xr:uid="{75AD9D4C-AB90-4D52-8F8C-4D03E2918F53}"/>
    <cellStyle name="Calculation 9 11" xfId="13050" xr:uid="{F922F929-A901-467D-9123-C42010CE7B3B}"/>
    <cellStyle name="Calculation 9 12" xfId="9953" xr:uid="{CEB3435F-E4E8-4D1C-891A-65F73D983F95}"/>
    <cellStyle name="Calculation 9 2" xfId="6863" xr:uid="{A691EF27-E446-4706-855D-D2F47FA363D3}"/>
    <cellStyle name="Calculation 9 2 10" xfId="11290" xr:uid="{31941CEA-CD96-404C-9107-FA060A3CB851}"/>
    <cellStyle name="Calculation 9 2 11" xfId="12298" xr:uid="{2299DB01-E650-41FC-A71C-517A67C524FC}"/>
    <cellStyle name="Calculation 9 2 2" xfId="7236" xr:uid="{B11ECE00-123B-4A99-A910-6E94C200A770}"/>
    <cellStyle name="Calculation 9 2 2 10" xfId="17351" xr:uid="{80FBDEBB-86F8-4A5D-B770-09516203EFF8}"/>
    <cellStyle name="Calculation 9 2 2 2" xfId="8876" xr:uid="{51471CC7-27F3-4F36-909E-100693A6A58F}"/>
    <cellStyle name="Calculation 9 2 2 2 2" xfId="13527" xr:uid="{A327B381-F131-4FF8-9A2E-7A7B3C2827FC}"/>
    <cellStyle name="Calculation 9 2 2 2 3" xfId="14531" xr:uid="{F56B146C-B2E9-4801-8893-F452A5DB7424}"/>
    <cellStyle name="Calculation 9 2 2 2 4" xfId="15489" xr:uid="{85B51700-3722-46FA-9C3F-E073EC330DDE}"/>
    <cellStyle name="Calculation 9 2 2 2 5" xfId="16414" xr:uid="{F8253F25-A95B-47EF-911B-499C94DC3A32}"/>
    <cellStyle name="Calculation 9 2 2 2 6" xfId="17285" xr:uid="{1B126009-78BD-4813-B23D-37636EE7D937}"/>
    <cellStyle name="Calculation 9 2 2 2 7" xfId="18131" xr:uid="{D96CA63D-87FC-48FA-953D-39C5DEFF6F80}"/>
    <cellStyle name="Calculation 9 2 2 2 8" xfId="18895" xr:uid="{2C65C631-E48F-4057-81DA-DCA5B32F4A7F}"/>
    <cellStyle name="Calculation 9 2 2 3" xfId="9722" xr:uid="{8BB9BA0D-E462-427E-B361-77242D60B375}"/>
    <cellStyle name="Calculation 9 2 2 3 2" xfId="14126" xr:uid="{B96C3D93-A7CD-46CE-94D7-56078B98BC29}"/>
    <cellStyle name="Calculation 9 2 2 3 3" xfId="15086" xr:uid="{0F471CFA-50BE-4133-A251-A36A48CAABAA}"/>
    <cellStyle name="Calculation 9 2 2 3 4" xfId="16038" xr:uid="{EE54B3BC-8FED-4754-9638-26485859D090}"/>
    <cellStyle name="Calculation 9 2 2 3 5" xfId="16912" xr:uid="{10CEB8CF-C310-4F2D-80F2-58F43CFD50D2}"/>
    <cellStyle name="Calculation 9 2 2 3 6" xfId="17777" xr:uid="{350F510D-A0DF-4C7F-8987-227BFF67FDED}"/>
    <cellStyle name="Calculation 9 2 2 3 7" xfId="18553" xr:uid="{300582A4-1F05-4A7B-897E-D61C81690961}"/>
    <cellStyle name="Calculation 9 2 2 3 8" xfId="19310" xr:uid="{5E08C580-F9E2-4231-A2ED-F5341C4DE65A}"/>
    <cellStyle name="Calculation 9 2 2 4" xfId="12499" xr:uid="{3FAD2C73-366E-4E87-A33F-D9258E6A0357}"/>
    <cellStyle name="Calculation 9 2 2 5" xfId="10382" xr:uid="{89780B1F-1D6A-4F8A-B3C5-14D8119355A7}"/>
    <cellStyle name="Calculation 9 2 2 6" xfId="13659" xr:uid="{CA17E480-CEA1-4151-97A3-47EB1B35954A}"/>
    <cellStyle name="Calculation 9 2 2 7" xfId="14635" xr:uid="{7B496816-A810-4F6C-B62A-7CAD841933A8}"/>
    <cellStyle name="Calculation 9 2 2 8" xfId="15587" xr:uid="{C6BC3CEA-E38A-4EFC-B288-F1983EADB10E}"/>
    <cellStyle name="Calculation 9 2 2 9" xfId="16482" xr:uid="{CF6B64CA-E366-4A2F-A519-F993151CB485}"/>
    <cellStyle name="Calculation 9 2 3" xfId="8503" xr:uid="{3F05AE79-2062-4FFE-9B52-ECD63EF0A000}"/>
    <cellStyle name="Calculation 9 2 3 2" xfId="13243" xr:uid="{E48F85FE-5FCD-455B-BC8A-7517F4C45B03}"/>
    <cellStyle name="Calculation 9 2 3 3" xfId="14263" xr:uid="{34571F3E-B911-4D2E-AF28-E362289C9EBE}"/>
    <cellStyle name="Calculation 9 2 3 4" xfId="15223" xr:uid="{9C6CC91A-E405-4963-BD22-237A205A4299}"/>
    <cellStyle name="Calculation 9 2 3 5" xfId="16172" xr:uid="{E7D81D74-C3C9-4811-BA2F-8FF2A3F1EF13}"/>
    <cellStyle name="Calculation 9 2 3 6" xfId="17045" xr:uid="{1F3B10D0-9721-4C64-BA1E-E5E1AC8A7D80}"/>
    <cellStyle name="Calculation 9 2 3 7" xfId="17910" xr:uid="{7AF7B493-E733-4B82-A4CE-D9E903E2EB43}"/>
    <cellStyle name="Calculation 9 2 3 8" xfId="18686" xr:uid="{9CE63FF6-1070-4844-9B8B-D0D963A16036}"/>
    <cellStyle name="Calculation 9 2 4" xfId="9513" xr:uid="{055B683F-1CB0-4F2F-96FD-DEFEC0A6C914}"/>
    <cellStyle name="Calculation 9 2 4 2" xfId="13917" xr:uid="{4E6F2CCE-DF54-4F0B-AE99-399750C7F745}"/>
    <cellStyle name="Calculation 9 2 4 3" xfId="14877" xr:uid="{9588C1DA-AC62-46A8-9D68-1627BAA1D18E}"/>
    <cellStyle name="Calculation 9 2 4 4" xfId="15829" xr:uid="{73F5D9E6-DD0B-4910-8951-4CADF1D86D9B}"/>
    <cellStyle name="Calculation 9 2 4 5" xfId="16703" xr:uid="{8B8AABD6-ADA2-4315-8B37-30318D231F57}"/>
    <cellStyle name="Calculation 9 2 4 6" xfId="17568" xr:uid="{CB60877A-3EAD-4CC7-9B80-913899EE98EC}"/>
    <cellStyle name="Calculation 9 2 4 7" xfId="18344" xr:uid="{1CF050B1-2732-44FC-8FEE-AD1372EBAACF}"/>
    <cellStyle name="Calculation 9 2 4 8" xfId="19101" xr:uid="{01BB6950-098A-4F74-B7F2-E4A47DD88125}"/>
    <cellStyle name="Calculation 9 2 5" xfId="12214" xr:uid="{60265BAF-0D15-42D0-8A0B-073B68CA253A}"/>
    <cellStyle name="Calculation 9 2 6" xfId="10651" xr:uid="{C1F2E5BE-B6E2-41E2-85E2-075BD57BE418}"/>
    <cellStyle name="Calculation 9 2 7" xfId="11675" xr:uid="{2BB7C411-E61B-44F8-8BAD-C75F5B9D70C3}"/>
    <cellStyle name="Calculation 9 2 8" xfId="11106" xr:uid="{573C5B57-1C4A-40EB-A2AF-03F0FEF2ACE0}"/>
    <cellStyle name="Calculation 9 2 9" xfId="11438" xr:uid="{54080582-1325-45DC-99E7-9AFBF614B32F}"/>
    <cellStyle name="Calculation 9 3" xfId="6989" xr:uid="{12D9DEF3-4F7F-4516-9D57-01749826D513}"/>
    <cellStyle name="Calculation 9 3 10" xfId="15592" xr:uid="{1A62ABAC-42CC-440A-8DCF-989C8F2E9D8A}"/>
    <cellStyle name="Calculation 9 3 2" xfId="8628" xr:uid="{6B039510-1E95-4552-92CD-7DC28BEC928A}"/>
    <cellStyle name="Calculation 9 3 2 2" xfId="13350" xr:uid="{6AD0D848-349B-4E42-BE39-985C25276663}"/>
    <cellStyle name="Calculation 9 3 2 3" xfId="14364" xr:uid="{D482FC2A-AB21-4AFF-9C39-409E09A2EC55}"/>
    <cellStyle name="Calculation 9 3 2 4" xfId="15324" xr:uid="{541620FD-9621-4B7B-AEEE-51783825E53E}"/>
    <cellStyle name="Calculation 9 3 2 5" xfId="16268" xr:uid="{842AD8F2-3AAD-48D2-9266-F34BB4E42A10}"/>
    <cellStyle name="Calculation 9 3 2 6" xfId="17141" xr:uid="{4DD224D2-53C9-4C2F-A87F-54944E1AEF94}"/>
    <cellStyle name="Calculation 9 3 2 7" xfId="18006" xr:uid="{EC8AE731-878C-4739-B805-CC9965CF2F87}"/>
    <cellStyle name="Calculation 9 3 2 8" xfId="18781" xr:uid="{CFA90672-3C35-45B4-B12F-72FF0DE6F528}"/>
    <cellStyle name="Calculation 9 3 3" xfId="9608" xr:uid="{D1624F5D-AD22-482D-A7C1-464EEAE89B50}"/>
    <cellStyle name="Calculation 9 3 3 2" xfId="14012" xr:uid="{80B95A9D-A24B-4CEC-A6A9-2B4565B9BD3C}"/>
    <cellStyle name="Calculation 9 3 3 3" xfId="14972" xr:uid="{63E98E92-3D03-4FCC-B09E-95BDA0228547}"/>
    <cellStyle name="Calculation 9 3 3 4" xfId="15924" xr:uid="{EF7E8511-2513-4BC7-88FB-F97ECF692F4B}"/>
    <cellStyle name="Calculation 9 3 3 5" xfId="16798" xr:uid="{3F20421C-8589-472B-BA42-E44354D3E31C}"/>
    <cellStyle name="Calculation 9 3 3 6" xfId="17663" xr:uid="{DDD2798D-A641-4337-892E-68757DE4BFDE}"/>
    <cellStyle name="Calculation 9 3 3 7" xfId="18439" xr:uid="{2E1BE630-4724-4CB5-88D7-5CC401D9A1A0}"/>
    <cellStyle name="Calculation 9 3 3 8" xfId="19196" xr:uid="{B5DA34E4-8FC8-47FF-A110-AE6D10FFBE80}"/>
    <cellStyle name="Calculation 9 3 4" xfId="12323" xr:uid="{F35E1467-4416-456C-82B9-BA7E2BBF6E53}"/>
    <cellStyle name="Calculation 9 3 5" xfId="10547" xr:uid="{CAC4E32B-87F8-4338-896D-C93A5833EA95}"/>
    <cellStyle name="Calculation 9 3 6" xfId="12613" xr:uid="{94EC205E-EE5A-4817-9D02-105CE1CEDE1F}"/>
    <cellStyle name="Calculation 9 3 7" xfId="10292" xr:uid="{C9E7C097-C3A1-45CE-A6ED-B9C121C27682}"/>
    <cellStyle name="Calculation 9 3 8" xfId="13669" xr:uid="{9DB9327B-D0F7-463D-A650-52B3E86D7FE1}"/>
    <cellStyle name="Calculation 9 3 9" xfId="14640" xr:uid="{B5A00957-ADA4-44F5-BCBE-10A3ED64A0B5}"/>
    <cellStyle name="Calculation 9 4" xfId="7790" xr:uid="{83E6AECF-23F1-4F5C-B7F9-0D15B4446815}"/>
    <cellStyle name="Calculation 9 4 2" xfId="12817" xr:uid="{9E0C466C-772A-4B04-A9CB-315D24E9FED0}"/>
    <cellStyle name="Calculation 9 4 3" xfId="10157" xr:uid="{0AF76B75-5FF3-48A2-84A2-2F1DD0AE7E90}"/>
    <cellStyle name="Calculation 9 4 4" xfId="12300" xr:uid="{EF9EDC60-E147-42E0-A33D-37363C264438}"/>
    <cellStyle name="Calculation 9 4 5" xfId="10569" xr:uid="{A57438D7-62DC-4EDB-BBF5-7ACA2CC28053}"/>
    <cellStyle name="Calculation 9 4 6" xfId="12093" xr:uid="{4C20A82D-FA49-4552-A38D-DC3A56FC35A9}"/>
    <cellStyle name="Calculation 9 4 7" xfId="10759" xr:uid="{A1D10C38-72C1-4D7E-832A-DA7FE63C5DE5}"/>
    <cellStyle name="Calculation 9 4 8" xfId="11655" xr:uid="{DB3E029C-16FF-4DDA-86AB-B750F71B6DFB}"/>
    <cellStyle name="Calculation 9 5" xfId="7891" xr:uid="{EA96E469-262E-47FF-9D2C-5572EFD8F313}"/>
    <cellStyle name="Calculation 9 5 2" xfId="12884" xr:uid="{F8DA2692-56C1-4B7D-84C3-405AF183E453}"/>
    <cellStyle name="Calculation 9 5 3" xfId="10097" xr:uid="{0B465D97-D1F0-4C4A-BC42-69DCA4834826}"/>
    <cellStyle name="Calculation 9 5 4" xfId="12677" xr:uid="{92AAD2B6-CCA5-4AB3-A241-5A3CC350B614}"/>
    <cellStyle name="Calculation 9 5 5" xfId="10242" xr:uid="{8375F696-515E-4310-BFA2-60138785DC38}"/>
    <cellStyle name="Calculation 9 5 6" xfId="13161" xr:uid="{5793E9CF-DF2A-4838-A100-01DEFBA712A2}"/>
    <cellStyle name="Calculation 9 5 7" xfId="9874" xr:uid="{DEEA17E3-95DD-49DF-93D0-2CDC07CEC7CC}"/>
    <cellStyle name="Calculation 9 5 8" xfId="11888" xr:uid="{CA1A6F2A-A307-4D2C-9F30-DA5A48A3FD69}"/>
    <cellStyle name="Calculation 9 6" xfId="10202" xr:uid="{E4B3B51D-7952-4174-BBC1-4C3ACB28EB81}"/>
    <cellStyle name="Calculation 9 7" xfId="12665" xr:uid="{4EF610C2-1F52-42C2-8ED3-109CF31AD054}"/>
    <cellStyle name="Calculation 9 8" xfId="10252" xr:uid="{5BEFC301-A900-4AE6-A486-7021894816DA}"/>
    <cellStyle name="Calculation 9 9" xfId="12657" xr:uid="{0B1F7045-EBD4-44B3-AF77-261BE18D2675}"/>
    <cellStyle name="Check Cell 10" xfId="828" xr:uid="{542F4D51-2790-4DD5-9531-A42B60AFD437}"/>
    <cellStyle name="Check Cell 11" xfId="829" xr:uid="{40B92492-C3D7-4406-BAA4-3F031BA634A2}"/>
    <cellStyle name="Check Cell 12" xfId="830" xr:uid="{F2921E63-4159-45FE-9AFB-DF3C0D5B05F9}"/>
    <cellStyle name="Check Cell 13" xfId="831" xr:uid="{2B121D20-88EA-4406-87D5-50C5C961F379}"/>
    <cellStyle name="Check Cell 14" xfId="832" xr:uid="{B2401F23-66D6-4CAA-A9B2-8CB1474FA5DD}"/>
    <cellStyle name="Check Cell 15" xfId="833" xr:uid="{84B9FC49-6D47-4FA8-9FB2-958695816AF1}"/>
    <cellStyle name="Check Cell 16" xfId="834" xr:uid="{53332AB3-EDF3-4C66-829E-F4625BC242B5}"/>
    <cellStyle name="Check Cell 17" xfId="835" xr:uid="{8DB3EC5C-EE2F-49F0-B137-47A9F3D391C0}"/>
    <cellStyle name="Check Cell 18" xfId="836" xr:uid="{CCD7D218-8453-4891-86D0-CE956C65AFD8}"/>
    <cellStyle name="Check Cell 18 2" xfId="837" xr:uid="{CE331D15-FF80-493A-A1C5-4149D65348CB}"/>
    <cellStyle name="Check Cell 19" xfId="838" xr:uid="{8609A936-F877-4127-959E-7EEF7A05973E}"/>
    <cellStyle name="Check Cell 19 2" xfId="839" xr:uid="{43C94DBA-64FE-47FA-8DAF-3565877D7BE3}"/>
    <cellStyle name="Check Cell 2" xfId="840" xr:uid="{99DE858A-A4B5-4A39-ADA6-826F0752C1FF}"/>
    <cellStyle name="Check Cell 2 2" xfId="841" xr:uid="{C0F25307-1B32-4178-A3E0-6108C807E094}"/>
    <cellStyle name="Check Cell 2 2 2" xfId="6494" xr:uid="{01548A47-AFB2-4184-A608-0C12D9324C7F}"/>
    <cellStyle name="Check Cell 3" xfId="842" xr:uid="{3118818B-3938-43CF-AE6F-AD848DDCD8A3}"/>
    <cellStyle name="Check Cell 4" xfId="843" xr:uid="{852E6FCA-4E94-4053-ADCD-4032A531F612}"/>
    <cellStyle name="Check Cell 5" xfId="844" xr:uid="{795534DD-3AE1-4363-940D-AF070A1ECF5E}"/>
    <cellStyle name="Check Cell 6" xfId="845" xr:uid="{572F150E-841C-4071-8B0C-DB4958C36639}"/>
    <cellStyle name="Check Cell 7" xfId="846" xr:uid="{81168054-2B9D-404B-B90B-C6E1992BF760}"/>
    <cellStyle name="Check Cell 8" xfId="847" xr:uid="{4E36784F-059D-499F-A305-DDD2FC0B7AC0}"/>
    <cellStyle name="Check Cell 9" xfId="848" xr:uid="{93BFD2B9-006A-4B66-8B8B-54F2565F8FB2}"/>
    <cellStyle name="Comma" xfId="65" builtinId="3"/>
    <cellStyle name="Comma 10" xfId="139" xr:uid="{2DED8E99-6584-4274-AC84-7C764B040FB9}"/>
    <cellStyle name="Comma 11" xfId="19415" xr:uid="{B540EA64-CCB4-4892-AE92-6BF9505C3ECB}"/>
    <cellStyle name="Comma 2" xfId="27" xr:uid="{562E7DB4-B4B6-43BB-8F8C-01C3BD32562F}"/>
    <cellStyle name="Comma 2 2" xfId="47" xr:uid="{385AF00C-AD64-4005-B4D1-6E8459AA0FE6}"/>
    <cellStyle name="Comma 2 2 2" xfId="121" xr:uid="{133C41D8-09A3-4DA9-B1A5-D9BAD9328EF1}"/>
    <cellStyle name="Comma 2 2 2 2" xfId="7201" xr:uid="{C3F39737-5C7A-46AD-A16E-A1C16CC3874E}"/>
    <cellStyle name="Comma 2 2 2 2 2" xfId="8841" xr:uid="{61DFAC43-556B-4E99-8E76-474E9A655723}"/>
    <cellStyle name="Comma 2 2 2 3" xfId="8169" xr:uid="{A43AB988-F2F4-4A16-AE9C-A534F19A6144}"/>
    <cellStyle name="Comma 2 2 2 4" xfId="6496" xr:uid="{728F778F-DC4F-49F8-B217-1877A0D99499}"/>
    <cellStyle name="Comma 2 2 3" xfId="6990" xr:uid="{27689C00-B9CF-4EFA-A454-A59E4AEEA124}"/>
    <cellStyle name="Comma 2 2 3 2" xfId="8629" xr:uid="{F9CA6F98-03CC-426A-8EC3-DF336C5AA353}"/>
    <cellStyle name="Comma 2 2 4" xfId="7768" xr:uid="{5C86698F-54C4-4A3A-AEE0-008C9635CC4B}"/>
    <cellStyle name="Comma 2 2 5" xfId="138" xr:uid="{BF48A79A-AE29-4990-95D8-C0A5EB4BDBFB}"/>
    <cellStyle name="Comma 2 3" xfId="52" xr:uid="{32D95426-62D4-439E-8DE6-42EF5634292A}"/>
    <cellStyle name="Comma 2 3 2" xfId="126" xr:uid="{6498F94C-0FE8-4B4F-9EE1-7153EFD5621D}"/>
    <cellStyle name="Comma 2 3 2 2" xfId="8842" xr:uid="{C0469545-50CC-42C0-8AFE-645E5665AB56}"/>
    <cellStyle name="Comma 2 3 2 3" xfId="7202" xr:uid="{0FA9DF6C-A7D0-48C8-8805-2296D2F04D6C}"/>
    <cellStyle name="Comma 2 3 3" xfId="8168" xr:uid="{CD22BEA6-4130-4772-B018-F51D5373E762}"/>
    <cellStyle name="Comma 2 3 4" xfId="6495" xr:uid="{19DED0FB-6D0D-4901-B47C-FD12C47AAC5A}"/>
    <cellStyle name="Comma 2 4" xfId="80" xr:uid="{C5C01D5C-BA6F-4962-8A73-D57E6C137D63}"/>
    <cellStyle name="Comma 2 4 2" xfId="152" xr:uid="{E95AC3A7-0574-4C68-8209-47FF1F145DBB}"/>
    <cellStyle name="Comma 2 5" xfId="103" xr:uid="{A8E507FA-A086-4DEA-B6B3-188B65CFC266}"/>
    <cellStyle name="Comma 3" xfId="18" xr:uid="{17DCA06A-86AB-4AE4-99D3-AE6B69E2D7C9}"/>
    <cellStyle name="Comma 3 2" xfId="51" xr:uid="{C2887366-62B5-4BA4-BD03-C86A516CE4D2}"/>
    <cellStyle name="Comma 3 2 2" xfId="125" xr:uid="{30DB4CE0-CC44-4D79-AAB3-09C70EE4860D}"/>
    <cellStyle name="Comma 3 2 2 2" xfId="7237" xr:uid="{CC0F5260-72ED-48FE-9A69-FAB925652387}"/>
    <cellStyle name="Comma 3 2 2 2 2" xfId="8877" xr:uid="{88210FF2-5585-4446-B554-B4B08BB48139}"/>
    <cellStyle name="Comma 3 2 2 3" xfId="8177" xr:uid="{9200AC88-AEEC-4FD8-9037-499C670C4EA5}"/>
    <cellStyle name="Comma 3 2 3" xfId="6992" xr:uid="{A2846826-4E7E-40D6-AE67-0446A84FF029}"/>
    <cellStyle name="Comma 3 2 3 2" xfId="8631" xr:uid="{348305C5-B96C-450E-A0BE-415A8C1F607A}"/>
    <cellStyle name="Comma 3 2 4" xfId="7792" xr:uid="{D0E0BC37-2476-41E0-8785-39B79F223AEB}"/>
    <cellStyle name="Comma 3 3" xfId="79" xr:uid="{33CC4F7C-3BA7-4865-A8F5-88FAD3F6A585}"/>
    <cellStyle name="Comma 3 3 2" xfId="151" xr:uid="{95D93873-9A73-4C66-94C2-0540604D5591}"/>
    <cellStyle name="Comma 3 3 2 2" xfId="8632" xr:uid="{07183265-5B0F-4A6D-BB3E-6F836ECDB80E}"/>
    <cellStyle name="Comma 3 3 3" xfId="7793" xr:uid="{1FB7B9CE-8EA7-41B2-A2A9-62D713157124}"/>
    <cellStyle name="Comma 3 4" xfId="95" xr:uid="{1B8D3309-1728-4A9B-BED5-F68C3DA06037}"/>
    <cellStyle name="Comma 3 4 2" xfId="6524" xr:uid="{95CF2E31-2AF6-4B52-BC9D-AE73D2BC7A68}"/>
    <cellStyle name="Comma 3 5" xfId="6991" xr:uid="{57302013-73A8-49AD-B066-992AA1BB780E}"/>
    <cellStyle name="Comma 3 5 2" xfId="8630" xr:uid="{D1C9AC65-3D9A-4303-881C-29BE4FDC088F}"/>
    <cellStyle name="Comma 3 6" xfId="7791" xr:uid="{2290841A-1558-48FA-BC70-90B837FDB9AF}"/>
    <cellStyle name="Comma 4" xfId="49" xr:uid="{2B1FA761-BFE0-4CB4-85B3-D5D6D1F9FADC}"/>
    <cellStyle name="Comma 4 2" xfId="123" xr:uid="{9D92224C-FDC7-4795-BED1-461F7000AF90}"/>
    <cellStyle name="Comma 4 2 2" xfId="6994" xr:uid="{AF406A29-93A8-44E3-8EA8-32B0FF26854A}"/>
    <cellStyle name="Comma 4 2 2 2" xfId="8634" xr:uid="{62B40063-FCC5-4F13-A3D0-6FECD7029B41}"/>
    <cellStyle name="Comma 4 2 3" xfId="7795" xr:uid="{DAA2E4BA-C27A-4BE0-BE42-29DB250607EC}"/>
    <cellStyle name="Comma 4 2 4" xfId="850" xr:uid="{08924523-44A0-4372-BE84-4B67D9596A79}"/>
    <cellStyle name="Comma 4 3" xfId="6993" xr:uid="{A2D84798-768E-4002-B597-60267A578A03}"/>
    <cellStyle name="Comma 4 3 2" xfId="8633" xr:uid="{A1D4FCE9-DF08-4FBF-A419-B703F9F297DA}"/>
    <cellStyle name="Comma 4 4" xfId="7794" xr:uid="{20D79D45-F9A1-49B6-8A49-B932BA07E53F}"/>
    <cellStyle name="Comma 4 5" xfId="849" xr:uid="{09CE545C-A2E3-488A-9EA8-FFB7C8B0012F}"/>
    <cellStyle name="Comma 5" xfId="59" xr:uid="{63790BB5-A4CC-4687-BD6B-E9BBC7B755E9}"/>
    <cellStyle name="Comma 5 2" xfId="133" xr:uid="{93CF4B99-C9F3-418F-ACA5-D17BF1DADD49}"/>
    <cellStyle name="Comma 5 2 2" xfId="6996" xr:uid="{53710580-1E20-46E3-A1CE-E8AA27701A0F}"/>
    <cellStyle name="Comma 5 2 2 2" xfId="8636" xr:uid="{2FEAFD08-5332-4579-80A9-B0A956946E0B}"/>
    <cellStyle name="Comma 5 2 3" xfId="7797" xr:uid="{AB22A9C8-576D-44FC-B959-2EF2A2624543}"/>
    <cellStyle name="Comma 5 2 4" xfId="852" xr:uid="{1BB98854-EC81-4DD8-9F4C-BCFBDC31F51B}"/>
    <cellStyle name="Comma 5 3" xfId="6526" xr:uid="{5D18CF24-CEE7-4568-89B3-64CC7899704B}"/>
    <cellStyle name="Comma 5 3 2" xfId="7238" xr:uid="{67C0D6DC-4A5E-4D60-9B50-64014D94CFEB}"/>
    <cellStyle name="Comma 5 3 2 2" xfId="8878" xr:uid="{2547B300-6A9A-4345-A93C-C4DEF28F790D}"/>
    <cellStyle name="Comma 5 3 3" xfId="8178" xr:uid="{B4B7F104-2699-4589-B312-0D3F28A7665F}"/>
    <cellStyle name="Comma 5 4" xfId="6995" xr:uid="{E8BEC734-5AA0-4996-9C68-815F03779A51}"/>
    <cellStyle name="Comma 5 4 2" xfId="8635" xr:uid="{B19BE4AA-C7DF-4249-9A58-D057EAE67004}"/>
    <cellStyle name="Comma 5 5" xfId="7796" xr:uid="{0FDA6617-8ABF-426A-803C-5892D30FAF56}"/>
    <cellStyle name="Comma 5 6" xfId="851" xr:uid="{9D889FD4-CBD2-4B29-B3F5-0B451A9933E7}"/>
    <cellStyle name="Comma 6" xfId="66" xr:uid="{7DF21DFC-C468-47E9-86F3-E0FEC5C0DD7D}"/>
    <cellStyle name="Comma 6 2" xfId="140" xr:uid="{6A56D29D-B045-49E9-836C-C61E949624F5}"/>
    <cellStyle name="Comma 6 2 2" xfId="7203" xr:uid="{5D4A0C3F-396B-48A0-8589-41684B86150D}"/>
    <cellStyle name="Comma 6 2 2 2" xfId="8843" xr:uid="{678A9CC1-2125-4BD4-90AE-114999D1A4E4}"/>
    <cellStyle name="Comma 6 2 3" xfId="8170" xr:uid="{751EECC7-602A-4AAA-9009-B64953F62187}"/>
    <cellStyle name="Comma 6 2 4" xfId="6497" xr:uid="{4AAF9ACB-98F4-4F99-855A-AEF9A7B8BAE1}"/>
    <cellStyle name="Comma 6 3" xfId="6997" xr:uid="{1AB6128E-9015-4E88-B2B2-AFEB1392EB25}"/>
    <cellStyle name="Comma 6 3 2" xfId="8637" xr:uid="{9BB5CEF5-E078-42B4-9636-3B5A86B3A248}"/>
    <cellStyle name="Comma 6 4" xfId="7798" xr:uid="{5D79209A-70AB-4957-BED9-CCD4C7DBA8BC}"/>
    <cellStyle name="Comma 6 5" xfId="853" xr:uid="{B877995E-B6D6-4675-82F4-A5C5C821CE4A}"/>
    <cellStyle name="Comma 7" xfId="68" xr:uid="{4F69FD18-E2F0-4E3B-8A0D-2CDFA9C1488C}"/>
    <cellStyle name="Comma 7 2" xfId="142" xr:uid="{FFFD2264-5427-4873-BE55-3430AB393AFE}"/>
    <cellStyle name="Comma 7 2 2" xfId="6999" xr:uid="{83805BB0-DF1E-4FC8-8BCD-E219F86CC7F4}"/>
    <cellStyle name="Comma 7 2 2 2" xfId="8639" xr:uid="{9BEFB52C-0926-49D8-B3F2-8D9D2AEB40F7}"/>
    <cellStyle name="Comma 7 2 3" xfId="7800" xr:uid="{31CD7B0D-1506-423D-B230-5837B00BD97C}"/>
    <cellStyle name="Comma 7 2 4" xfId="855" xr:uid="{124F5CBD-A583-4F0C-B07C-CB4B91AD1451}"/>
    <cellStyle name="Comma 7 3" xfId="6998" xr:uid="{39E16A55-D751-4C31-B94C-A7D8249F2830}"/>
    <cellStyle name="Comma 7 3 2" xfId="8638" xr:uid="{EF004662-A630-403F-A4F1-978B8D90D904}"/>
    <cellStyle name="Comma 7 4" xfId="7799" xr:uid="{063A4F41-9651-40D0-A8B9-999C51F4996C}"/>
    <cellStyle name="Comma 7 5" xfId="854" xr:uid="{A581AE76-CD00-4B45-A6DB-9A6941FB4740}"/>
    <cellStyle name="Comma 8" xfId="78" xr:uid="{13C62FDD-913C-4D3A-9EAB-9C73B9D260F3}"/>
    <cellStyle name="Comma 8 2" xfId="150" xr:uid="{51299A72-36CA-4655-A2C2-E40BF6B36179}"/>
    <cellStyle name="Comma 8 2 2" xfId="8879" xr:uid="{4AA49167-B655-434F-A933-026C6B5C9B62}"/>
    <cellStyle name="Comma 8 2 3" xfId="7239" xr:uid="{89B12032-0E2C-487E-8257-8BF876A151AC}"/>
    <cellStyle name="Comma 8 3" xfId="8179" xr:uid="{A937E7FC-AEA0-4673-ACC8-4212EF8C5D66}"/>
    <cellStyle name="Comma 8 4" xfId="6527" xr:uid="{AB3EE06A-417D-44CB-B170-F7A969B307F3}"/>
    <cellStyle name="Comma 9" xfId="81" xr:uid="{FE9CAE49-FD59-40A8-8B71-E2F2F990491C}"/>
    <cellStyle name="Comma 9 2" xfId="153" xr:uid="{03666DA5-38E3-4C23-BD75-8DEA6F3EF90C}"/>
    <cellStyle name="Currency 2" xfId="44" xr:uid="{185E86D4-183A-458E-8FE2-E9199121E0A2}"/>
    <cellStyle name="Currency 2 2" xfId="6528" xr:uid="{51A8F3AA-FC0A-4A42-B4F2-857CC250F536}"/>
    <cellStyle name="Currency 2 2 2" xfId="7240" xr:uid="{183928C8-4DD6-44A2-B64F-EBE2E66EE04D}"/>
    <cellStyle name="Currency 2 2 2 2" xfId="8880" xr:uid="{9E36C030-41EB-4D2B-98D5-23F0215714D2}"/>
    <cellStyle name="Currency 2 2 3" xfId="8180" xr:uid="{1DE9D96E-9D7B-4A0D-9165-0D7664BCC0C3}"/>
    <cellStyle name="Currency 2 3" xfId="6523" xr:uid="{E56A6DA0-EAF4-4E61-AC50-C5E678E4878D}"/>
    <cellStyle name="Currency 2 4" xfId="7801" xr:uid="{3363E728-CC77-416F-9360-E6F59AF096B0}"/>
    <cellStyle name="Currency 2 5" xfId="856" xr:uid="{E00049BF-84B7-449D-AEA4-C3507131331F}"/>
    <cellStyle name="Currency 3" xfId="143" xr:uid="{E9D3C82B-2D79-4AEC-9234-D9FEB2B8262F}"/>
    <cellStyle name="Currency 3 2" xfId="6963" xr:uid="{9D12BB94-D113-4D95-9D4D-76A427C319A7}"/>
    <cellStyle name="Currency 3 2 2" xfId="8602" xr:uid="{8E8B16AC-53B2-4DDD-9E70-F484400800F1}"/>
    <cellStyle name="Currency 3 3" xfId="7802" xr:uid="{3DEF8E58-C18C-4549-83AC-083D1F760997}"/>
    <cellStyle name="Currency 3 4" xfId="857" xr:uid="{E0615655-7773-4D3C-89BB-7E16E96B3BBA}"/>
    <cellStyle name="exo" xfId="6529" xr:uid="{AD4484F6-9D27-4578-BDF1-62E019EF5251}"/>
    <cellStyle name="Explanatory Text 10" xfId="858" xr:uid="{FC973965-A997-4BE8-8B1A-AF0513D87525}"/>
    <cellStyle name="Explanatory Text 11" xfId="859" xr:uid="{F0C45111-B218-4DD0-973C-6CD3DEBB6C25}"/>
    <cellStyle name="Explanatory Text 12" xfId="860" xr:uid="{80B78D8F-A7D1-4620-83AA-F1A852D0EFC9}"/>
    <cellStyle name="Explanatory Text 13" xfId="861" xr:uid="{DFAFF20D-CF44-434F-BF1D-F6D1FCAAC6A1}"/>
    <cellStyle name="Explanatory Text 14" xfId="862" xr:uid="{73052E76-869A-461B-9EF4-055BDBB4DCF0}"/>
    <cellStyle name="Explanatory Text 15" xfId="863" xr:uid="{329937F1-3343-4AC7-8392-9DBAFE800B23}"/>
    <cellStyle name="Explanatory Text 16" xfId="864" xr:uid="{15C1D8B6-886F-439E-AE4E-9D088BE52F17}"/>
    <cellStyle name="Explanatory Text 17" xfId="865" xr:uid="{8FADC445-6273-4BC8-BB54-80A56DF68A61}"/>
    <cellStyle name="Explanatory Text 18" xfId="866" xr:uid="{3FF1CD7C-F189-4E4D-9829-21E9FA5AB68C}"/>
    <cellStyle name="Explanatory Text 18 2" xfId="867" xr:uid="{FFFED8BF-9E95-4F33-9E9D-1B121E98596E}"/>
    <cellStyle name="Explanatory Text 19" xfId="868" xr:uid="{9DA4D218-45D2-4D58-9212-ECD50ACE2CC4}"/>
    <cellStyle name="Explanatory Text 19 2" xfId="869" xr:uid="{C1402FF3-5B9C-4E33-AA29-16F1426707B8}"/>
    <cellStyle name="Explanatory Text 2" xfId="870" xr:uid="{FBF671E0-E3E4-42EE-A54B-83F03AC642FF}"/>
    <cellStyle name="Explanatory Text 2 2" xfId="871" xr:uid="{BCE8710F-A9B4-4843-923C-DAC6A0BE95B3}"/>
    <cellStyle name="Explanatory Text 2 2 2" xfId="6498" xr:uid="{068ACCCD-BD30-4E9F-A06D-7A888298091F}"/>
    <cellStyle name="Explanatory Text 3" xfId="872" xr:uid="{6A08D1C6-AB1D-44CA-A709-BA5AC41CF77D}"/>
    <cellStyle name="Explanatory Text 4" xfId="873" xr:uid="{B6A8EA80-66CE-4F12-A012-717673684D63}"/>
    <cellStyle name="Explanatory Text 5" xfId="874" xr:uid="{0D799B61-9F22-418E-9F41-5275A661D90F}"/>
    <cellStyle name="Explanatory Text 6" xfId="875" xr:uid="{42DC08C5-B122-45CA-B7C8-353ABE934512}"/>
    <cellStyle name="Explanatory Text 7" xfId="876" xr:uid="{8851F2CD-75A1-4CD8-AC88-1B83E9290F43}"/>
    <cellStyle name="Explanatory Text 8" xfId="877" xr:uid="{6C738622-7363-493F-9037-74C2A204D1C6}"/>
    <cellStyle name="Explanatory Text 9" xfId="878" xr:uid="{ACB5ED6E-E9AA-49B3-B80E-38BD0E7A2369}"/>
    <cellStyle name="Good 10" xfId="879" xr:uid="{3DB7A345-07B6-40BD-8D07-B65C06EE0B8D}"/>
    <cellStyle name="Good 11" xfId="880" xr:uid="{9D96B701-48B8-426C-A630-E5D4ED26450E}"/>
    <cellStyle name="Good 12" xfId="881" xr:uid="{13ECDDC0-5FA4-42A4-AA82-716F004C5559}"/>
    <cellStyle name="Good 13" xfId="882" xr:uid="{7C805D88-7675-42A7-A11A-2396AE66ABC1}"/>
    <cellStyle name="Good 14" xfId="883" xr:uid="{9E71C3C5-8A63-45C6-88F6-EF41305BD14D}"/>
    <cellStyle name="Good 15" xfId="884" xr:uid="{552329FE-1C7E-4FDD-917E-20EE969CE334}"/>
    <cellStyle name="Good 16" xfId="885" xr:uid="{970294B9-D670-4250-937E-6360D7170E6C}"/>
    <cellStyle name="Good 17" xfId="886" xr:uid="{895B5C51-B5BB-4AE6-A538-7451C01220E3}"/>
    <cellStyle name="Good 18" xfId="887" xr:uid="{3DB99FFA-442F-4193-BFB2-00FF44F9E608}"/>
    <cellStyle name="Good 18 2" xfId="888" xr:uid="{6649DF48-6400-4747-8553-D5610369A627}"/>
    <cellStyle name="Good 19" xfId="889" xr:uid="{EA3E7B79-9291-4F16-92A6-C9EB56912C40}"/>
    <cellStyle name="Good 19 2" xfId="890" xr:uid="{7F535E6D-3B49-4EA7-865F-82983E758F31}"/>
    <cellStyle name="Good 2" xfId="891" xr:uid="{178F0E27-8606-457A-A88D-09F04415A5D8}"/>
    <cellStyle name="Good 2 2" xfId="892" xr:uid="{B9A83E69-A47A-46FB-9518-662C4BAD2E6C}"/>
    <cellStyle name="Good 2 2 2" xfId="6499" xr:uid="{D3F57001-E6D1-4051-81F4-A90FC3FA8630}"/>
    <cellStyle name="Good 3" xfId="893" xr:uid="{35FA5641-B669-4048-A815-84EDB122ADCA}"/>
    <cellStyle name="Good 4" xfId="894" xr:uid="{672F1E75-6935-47D1-9260-2A81D2327813}"/>
    <cellStyle name="Good 5" xfId="895" xr:uid="{D7EC29C1-981F-4215-8564-A00E7B1D4614}"/>
    <cellStyle name="Good 6" xfId="896" xr:uid="{0E3698AB-6B3F-4260-A884-F8E2370C3A00}"/>
    <cellStyle name="Good 7" xfId="897" xr:uid="{B3490010-9476-4282-BDF8-EF0ACAA7F21A}"/>
    <cellStyle name="Good 8" xfId="898" xr:uid="{21FB5AC9-C556-464C-B1B0-4F8D4D6B3429}"/>
    <cellStyle name="Good 9" xfId="899" xr:uid="{CC68E2EE-A787-4F5A-8CCA-90FF4696E8BB}"/>
    <cellStyle name="Heading 1 10" xfId="900" xr:uid="{317692AB-B490-4168-9A75-062401D18A73}"/>
    <cellStyle name="Heading 1 11" xfId="901" xr:uid="{57F1E85B-1C55-4A57-AF93-88467BC0EDA9}"/>
    <cellStyle name="Heading 1 12" xfId="902" xr:uid="{BD96B712-0915-4799-A389-B564D974C941}"/>
    <cellStyle name="Heading 1 13" xfId="903" xr:uid="{F892910B-EC3A-4119-AB4B-A5AF970700C2}"/>
    <cellStyle name="Heading 1 14" xfId="904" xr:uid="{B9E6BDC2-F4D6-4D01-A8EC-4ED7CA10E9D8}"/>
    <cellStyle name="Heading 1 15" xfId="905" xr:uid="{12344158-FB71-4465-95FD-ADA307219C32}"/>
    <cellStyle name="Heading 1 16" xfId="906" xr:uid="{6F96F24F-23C5-41FE-A55C-B452DBE4AFE4}"/>
    <cellStyle name="Heading 1 17" xfId="907" xr:uid="{46E0201D-F19A-44DF-8531-85D87A210951}"/>
    <cellStyle name="Heading 1 18" xfId="908" xr:uid="{E2962A18-64B8-48A8-9C4E-F994CD4EF2E1}"/>
    <cellStyle name="Heading 1 18 2" xfId="909" xr:uid="{0E755372-0C81-42D4-897E-91E2DE124BD0}"/>
    <cellStyle name="Heading 1 19" xfId="910" xr:uid="{E811A5FE-7EA6-4717-9E93-463EEC05AFE0}"/>
    <cellStyle name="Heading 1 19 2" xfId="911" xr:uid="{C4BC9C0D-AB8C-41D6-9A54-A8E800817A7B}"/>
    <cellStyle name="Heading 1 2" xfId="912" xr:uid="{0DACB1F4-F66A-475E-9E69-4140AF1E6685}"/>
    <cellStyle name="Heading 1 2 2" xfId="913" xr:uid="{56E39439-3ACF-4E2F-B78F-6235ADAE6441}"/>
    <cellStyle name="Heading 1 2 2 2" xfId="6500" xr:uid="{287CF509-D1D3-49F4-A94E-04C0680F3BA5}"/>
    <cellStyle name="Heading 1 3" xfId="914" xr:uid="{53B09429-79B3-4B10-8A6F-FBFA0BC63697}"/>
    <cellStyle name="Heading 1 4" xfId="915" xr:uid="{E30C9D39-1A01-48A2-ABAA-5C929708B249}"/>
    <cellStyle name="Heading 1 5" xfId="916" xr:uid="{471B8BF4-64EF-4EF7-98D3-0C7609AF9EA7}"/>
    <cellStyle name="Heading 1 6" xfId="917" xr:uid="{C70D45AE-79FE-4B58-860A-19738B1B4F16}"/>
    <cellStyle name="Heading 1 7" xfId="918" xr:uid="{47B3A8BB-B0B7-42DF-986B-A5C67D426B1F}"/>
    <cellStyle name="Heading 1 8" xfId="919" xr:uid="{82A4A74A-C55A-44A9-8883-EFF3A31C65C1}"/>
    <cellStyle name="Heading 1 9" xfId="920" xr:uid="{B7D20671-81C2-43F4-A44A-A4B676040309}"/>
    <cellStyle name="Heading 2 10" xfId="921" xr:uid="{823B0362-294B-4DD0-9BAA-373AAEEF665F}"/>
    <cellStyle name="Heading 2 11" xfId="922" xr:uid="{158F06E8-12A6-4194-A831-E1570FE817F8}"/>
    <cellStyle name="Heading 2 12" xfId="923" xr:uid="{ABCB2849-A372-4EB8-B766-237C2232EEE4}"/>
    <cellStyle name="Heading 2 13" xfId="924" xr:uid="{48AF00D7-A60E-415F-9A66-A80431C5FDC7}"/>
    <cellStyle name="Heading 2 14" xfId="925" xr:uid="{49A74E29-9FBE-4FC2-9F88-7ACBE6D5292A}"/>
    <cellStyle name="Heading 2 15" xfId="926" xr:uid="{4A93E0F3-AFF1-4356-BEE1-9DAB810E14FE}"/>
    <cellStyle name="Heading 2 16" xfId="927" xr:uid="{F573C483-032C-44C1-8B86-DC59CC023AC3}"/>
    <cellStyle name="Heading 2 17" xfId="928" xr:uid="{306132A4-36F8-4AA6-AB51-0F95C6E3C244}"/>
    <cellStyle name="Heading 2 18" xfId="929" xr:uid="{19B68E27-0C45-4F2C-9EB9-8CCE4F4D2BB6}"/>
    <cellStyle name="Heading 2 18 2" xfId="930" xr:uid="{B18F8466-CB02-41AF-8043-79A286E54393}"/>
    <cellStyle name="Heading 2 19" xfId="931" xr:uid="{DA088D73-8D71-41DA-95A5-B88455F507F7}"/>
    <cellStyle name="Heading 2 19 2" xfId="932" xr:uid="{28EEC095-73DF-4DEB-8F86-0BBCC3A9022D}"/>
    <cellStyle name="Heading 2 2" xfId="933" xr:uid="{7989726E-A41F-4AA4-8738-30C80727F2AE}"/>
    <cellStyle name="Heading 2 2 2" xfId="934" xr:uid="{8BC9EBA2-5995-48AD-BF51-D64F09AD957A}"/>
    <cellStyle name="Heading 2 2 2 2" xfId="6501" xr:uid="{E7081214-4A28-496B-BB86-73D970EF2B1E}"/>
    <cellStyle name="Heading 2 3" xfId="935" xr:uid="{D45F0B73-F2B1-47D2-A634-4162051C5324}"/>
    <cellStyle name="Heading 2 4" xfId="936" xr:uid="{99351D1D-9CE7-41D3-9321-1C92099D1355}"/>
    <cellStyle name="Heading 2 5" xfId="937" xr:uid="{0F52DB9D-7F2D-430D-A5D0-555C3222B625}"/>
    <cellStyle name="Heading 2 6" xfId="938" xr:uid="{3914A555-FE4A-41C8-9319-5686A7B5F0D0}"/>
    <cellStyle name="Heading 2 7" xfId="939" xr:uid="{C81B8C31-2615-47B5-885A-CEE075EB6D28}"/>
    <cellStyle name="Heading 2 8" xfId="940" xr:uid="{AEB0F3EA-1348-4069-A98A-8CE492B639D7}"/>
    <cellStyle name="Heading 2 9" xfId="941" xr:uid="{ABDE0D80-FFAF-4301-A35A-E08D26D0DBBD}"/>
    <cellStyle name="Heading 3 10" xfId="942" xr:uid="{355E29B1-C5F4-48CD-B255-13875441592F}"/>
    <cellStyle name="Heading 3 10 10" xfId="943" xr:uid="{36D15FEA-7ED1-4B32-84AF-E1C44AFC69F2}"/>
    <cellStyle name="Heading 3 10 10 2" xfId="944" xr:uid="{D1F93C66-81C4-44C4-90AE-58F787D693C6}"/>
    <cellStyle name="Heading 3 10 10 2 2" xfId="945" xr:uid="{E3EC1E64-05F0-4206-BC12-322FEDEFEC7D}"/>
    <cellStyle name="Heading 3 10 10 3" xfId="946" xr:uid="{5D629EF6-1287-4D94-8E5A-A15CBC85D245}"/>
    <cellStyle name="Heading 3 10 10 3 2" xfId="947" xr:uid="{000A57D0-55DA-4E3D-8A04-2893CB9BB924}"/>
    <cellStyle name="Heading 3 10 10 4" xfId="948" xr:uid="{12FB3931-9F7C-4207-8845-706AD6205FEA}"/>
    <cellStyle name="Heading 3 10 10 4 2" xfId="949" xr:uid="{967F9FE5-48E8-466F-8D38-AFD31C6A6CC1}"/>
    <cellStyle name="Heading 3 10 11" xfId="950" xr:uid="{FCAF92AE-9680-4DF0-B1BF-449BDF9E1DF4}"/>
    <cellStyle name="Heading 3 10 11 2" xfId="951" xr:uid="{CDCB7C96-6990-44EE-B9EF-BF92BD406389}"/>
    <cellStyle name="Heading 3 10 11 2 2" xfId="952" xr:uid="{E124E14F-7170-40BB-B4CB-355D1A66A72B}"/>
    <cellStyle name="Heading 3 10 11 3" xfId="953" xr:uid="{38320F33-963A-4778-B41A-F530ED60ED7E}"/>
    <cellStyle name="Heading 3 10 11 3 2" xfId="954" xr:uid="{8F47ECC9-DE8F-4575-A3D6-314F0F73D6BE}"/>
    <cellStyle name="Heading 3 10 11 4" xfId="955" xr:uid="{77DB9668-45EB-4A18-B8B9-1EB26253E712}"/>
    <cellStyle name="Heading 3 10 11 4 2" xfId="956" xr:uid="{0740ED19-EE60-4E0F-A1C0-C0E8A9B96847}"/>
    <cellStyle name="Heading 3 10 12" xfId="957" xr:uid="{8117A10B-2FE1-42AC-9EA0-B03AA168A091}"/>
    <cellStyle name="Heading 3 10 12 2" xfId="958" xr:uid="{02822DE3-C0D6-45A7-9689-62C9785D818B}"/>
    <cellStyle name="Heading 3 10 12 2 2" xfId="959" xr:uid="{0B3F6C8D-CF62-46D5-8D3B-56B162519BBB}"/>
    <cellStyle name="Heading 3 10 12 3" xfId="960" xr:uid="{C11C54AE-C489-4C8E-8F7D-8F382814459D}"/>
    <cellStyle name="Heading 3 10 12 3 2" xfId="961" xr:uid="{4F0821DF-AA9C-435C-93E1-D0B5AD958917}"/>
    <cellStyle name="Heading 3 10 12 4" xfId="962" xr:uid="{7527004B-3091-4A7C-8175-4CA81ED49FE2}"/>
    <cellStyle name="Heading 3 10 12 4 2" xfId="963" xr:uid="{F10A6B15-68A4-4A10-AB00-A30A1CC7F756}"/>
    <cellStyle name="Heading 3 10 13" xfId="964" xr:uid="{C48C99DE-86DA-4948-B03E-1125F48099E7}"/>
    <cellStyle name="Heading 3 10 13 2" xfId="965" xr:uid="{4601DC66-D8C1-420D-AEDB-3A197AABC97A}"/>
    <cellStyle name="Heading 3 10 13 2 2" xfId="966" xr:uid="{28AD03BF-0F86-4402-BCEE-43FB2F32F619}"/>
    <cellStyle name="Heading 3 10 13 3" xfId="967" xr:uid="{BA067417-BA18-4AC8-B27D-B850FF78E6DA}"/>
    <cellStyle name="Heading 3 10 13 3 2" xfId="968" xr:uid="{979D8F6E-5148-4C0F-8EA0-CEE497715620}"/>
    <cellStyle name="Heading 3 10 13 4" xfId="969" xr:uid="{F3FEC519-B998-44B9-B91B-81DDFFDD5997}"/>
    <cellStyle name="Heading 3 10 13 4 2" xfId="970" xr:uid="{9D5256C8-C987-40EE-8D7B-099B2AE70F3C}"/>
    <cellStyle name="Heading 3 10 14" xfId="971" xr:uid="{A42F5A61-EFEE-425C-9A0D-7BC2A5784639}"/>
    <cellStyle name="Heading 3 10 14 2" xfId="972" xr:uid="{68311521-A585-4946-AE97-346F011E948A}"/>
    <cellStyle name="Heading 3 10 14 2 2" xfId="973" xr:uid="{E47242DF-6874-48A2-890F-4C6C75D2E467}"/>
    <cellStyle name="Heading 3 10 14 3" xfId="974" xr:uid="{F3223C99-7BE2-442B-A651-5BA6B948B7B8}"/>
    <cellStyle name="Heading 3 10 14 3 2" xfId="975" xr:uid="{3D939DBA-09F3-45BF-B961-FB25C6E313F9}"/>
    <cellStyle name="Heading 3 10 14 4" xfId="976" xr:uid="{022DDDC9-D455-47DF-B904-73E4B6497BBD}"/>
    <cellStyle name="Heading 3 10 14 4 2" xfId="977" xr:uid="{A7DBD0D9-1BFD-4BBC-8F4E-C1A436517EDC}"/>
    <cellStyle name="Heading 3 10 15" xfId="978" xr:uid="{69FE2B2A-D6A2-4A86-8069-41346F4AE0F0}"/>
    <cellStyle name="Heading 3 10 15 2" xfId="979" xr:uid="{D43967A4-A8A7-4E95-961F-870E87C02374}"/>
    <cellStyle name="Heading 3 10 15 2 2" xfId="980" xr:uid="{8CA90866-9739-45C4-9729-DD1748251DD4}"/>
    <cellStyle name="Heading 3 10 15 3" xfId="981" xr:uid="{150636B9-0123-46C9-A118-07537B30A3CE}"/>
    <cellStyle name="Heading 3 10 15 3 2" xfId="982" xr:uid="{9DFBCDDB-8F5C-4DB9-BD5E-AAD695FF1E15}"/>
    <cellStyle name="Heading 3 10 15 4" xfId="983" xr:uid="{61671B13-2D6B-4C34-9187-D7E6B2114B05}"/>
    <cellStyle name="Heading 3 10 15 4 2" xfId="984" xr:uid="{4024504B-6E8F-4E1F-86FD-DE5B8B021DC7}"/>
    <cellStyle name="Heading 3 10 16" xfId="985" xr:uid="{923C5971-48BC-4E15-B0AF-21C9F130B107}"/>
    <cellStyle name="Heading 3 10 16 2" xfId="986" xr:uid="{B6D1A2CF-A129-44A0-934E-12ECCB52B378}"/>
    <cellStyle name="Heading 3 10 17" xfId="987" xr:uid="{E0D2E960-9028-494E-8BF6-2276F1906938}"/>
    <cellStyle name="Heading 3 10 17 2" xfId="988" xr:uid="{AB11396D-B037-439A-A05E-AC6961889EAF}"/>
    <cellStyle name="Heading 3 10 18" xfId="989" xr:uid="{98E7D6CA-458B-4C20-947E-2C8EE5DFC6C1}"/>
    <cellStyle name="Heading 3 10 18 2" xfId="990" xr:uid="{6207F5DB-835F-4968-9C08-60D6E184745B}"/>
    <cellStyle name="Heading 3 10 19" xfId="991" xr:uid="{CDA20E81-4054-4235-BBE9-4A04194EFFF0}"/>
    <cellStyle name="Heading 3 10 2" xfId="992" xr:uid="{A42F793E-54E9-43C1-B0C7-AA98D3367C49}"/>
    <cellStyle name="Heading 3 10 2 2" xfId="993" xr:uid="{702CEE0E-631B-49B7-8BCB-E7F738DE0044}"/>
    <cellStyle name="Heading 3 10 2 2 2" xfId="994" xr:uid="{8CB8E0A2-2230-4769-8DAE-F261954C9EA9}"/>
    <cellStyle name="Heading 3 10 2 3" xfId="995" xr:uid="{BC052569-0929-4221-9B2C-60E6D82C11D0}"/>
    <cellStyle name="Heading 3 10 2 3 2" xfId="996" xr:uid="{FD738C11-B448-41ED-95AD-6F5688741BDF}"/>
    <cellStyle name="Heading 3 10 2 4" xfId="997" xr:uid="{842A1FFA-5C67-4C40-8E96-2500149B974C}"/>
    <cellStyle name="Heading 3 10 2 4 2" xfId="998" xr:uid="{07C756F7-4E4E-4C45-AE84-90EDDFBC6286}"/>
    <cellStyle name="Heading 3 10 20" xfId="999" xr:uid="{025FE6EB-A66A-489C-9BE1-D668324F0D86}"/>
    <cellStyle name="Heading 3 10 21" xfId="1000" xr:uid="{87725992-6B92-437F-AAE2-78899EC78B61}"/>
    <cellStyle name="Heading 3 10 22" xfId="1001" xr:uid="{43AD137C-F4FB-4911-A58C-5064285AB3B7}"/>
    <cellStyle name="Heading 3 10 23" xfId="1002" xr:uid="{E45CEE1D-18AF-4975-93FB-0DB9E4219803}"/>
    <cellStyle name="Heading 3 10 24" xfId="1003" xr:uid="{DCF1EACC-C2E9-430E-B8DF-307057CEEB1B}"/>
    <cellStyle name="Heading 3 10 25" xfId="1004" xr:uid="{A9F2BAD1-0DA6-41BD-B030-034A27FC191B}"/>
    <cellStyle name="Heading 3 10 3" xfId="1005" xr:uid="{FE2F135F-C02E-4E02-A44E-54175CE6EEC5}"/>
    <cellStyle name="Heading 3 10 3 2" xfId="1006" xr:uid="{9574A9F0-B5D8-4C73-9842-30C25C83BA73}"/>
    <cellStyle name="Heading 3 10 3 2 2" xfId="1007" xr:uid="{D131F97B-40F4-48F7-BBBD-A297224A9BB6}"/>
    <cellStyle name="Heading 3 10 3 3" xfId="1008" xr:uid="{961ED1BF-E854-422F-8623-25E92E5AC0C3}"/>
    <cellStyle name="Heading 3 10 3 3 2" xfId="1009" xr:uid="{43B32EFC-E76E-41D2-BE1F-117CD9AB9534}"/>
    <cellStyle name="Heading 3 10 3 4" xfId="1010" xr:uid="{230E99FC-DF66-47BF-8A1B-1B0FAE1DC75B}"/>
    <cellStyle name="Heading 3 10 3 4 2" xfId="1011" xr:uid="{2E06E2FB-57CD-4B9A-BD08-3155F57ECE9E}"/>
    <cellStyle name="Heading 3 10 4" xfId="1012" xr:uid="{083E022B-5BF9-44FA-BB78-2755E90D36AD}"/>
    <cellStyle name="Heading 3 10 4 2" xfId="1013" xr:uid="{04E6F985-393F-47E9-BA72-19B554DDCC77}"/>
    <cellStyle name="Heading 3 10 4 2 2" xfId="1014" xr:uid="{DF9AC14A-B74C-4364-A3E6-1D9D9256DC96}"/>
    <cellStyle name="Heading 3 10 4 3" xfId="1015" xr:uid="{9097D3FC-59FA-48DA-AD4D-3023F167E6A2}"/>
    <cellStyle name="Heading 3 10 4 3 2" xfId="1016" xr:uid="{F9F36510-CB28-4C83-9070-91BBADB32CB4}"/>
    <cellStyle name="Heading 3 10 4 4" xfId="1017" xr:uid="{67C16131-66F1-4B8A-8D14-5195A96F3ADD}"/>
    <cellStyle name="Heading 3 10 4 4 2" xfId="1018" xr:uid="{860F8179-E2D7-43E8-96B8-2DAB28C2CD51}"/>
    <cellStyle name="Heading 3 10 5" xfId="1019" xr:uid="{721E87BC-951A-42B0-BB1E-68F61BDE02BB}"/>
    <cellStyle name="Heading 3 10 5 2" xfId="1020" xr:uid="{68A7C23A-2A45-4209-A8F2-E322E24F68A0}"/>
    <cellStyle name="Heading 3 10 5 2 2" xfId="1021" xr:uid="{F3AC37C3-B05E-4CFA-90D5-C77010CAF032}"/>
    <cellStyle name="Heading 3 10 5 3" xfId="1022" xr:uid="{D865E4CD-062F-4F13-B8BF-79F4B9C8FEF6}"/>
    <cellStyle name="Heading 3 10 5 3 2" xfId="1023" xr:uid="{6AC717AF-C53E-4914-9B01-C91E3B1C5886}"/>
    <cellStyle name="Heading 3 10 5 4" xfId="1024" xr:uid="{6DAD2729-7462-4EDD-B97C-FFD1B4C60F4A}"/>
    <cellStyle name="Heading 3 10 5 4 2" xfId="1025" xr:uid="{208944FC-EAA1-43FC-81DB-C146B1CBFD15}"/>
    <cellStyle name="Heading 3 10 6" xfId="1026" xr:uid="{F3EB9B47-EE3C-4C62-9C9B-9AE770DBBA7C}"/>
    <cellStyle name="Heading 3 10 6 2" xfId="1027" xr:uid="{88ACA23D-3AC4-4267-B774-8ED5D5E07C30}"/>
    <cellStyle name="Heading 3 10 6 2 2" xfId="1028" xr:uid="{5C6F889A-62F9-4D18-94F3-54BDC40845E8}"/>
    <cellStyle name="Heading 3 10 6 3" xfId="1029" xr:uid="{F2F4E94A-5352-40E0-A7B9-CBC880E5D638}"/>
    <cellStyle name="Heading 3 10 6 3 2" xfId="1030" xr:uid="{ED1FF23C-44C5-46EC-9DDD-C8066E3B1DF8}"/>
    <cellStyle name="Heading 3 10 6 4" xfId="1031" xr:uid="{966BD636-B0D0-4127-A7A4-B65563023C20}"/>
    <cellStyle name="Heading 3 10 6 4 2" xfId="1032" xr:uid="{C7A826D1-497F-42FE-9B7B-C48B8EC88200}"/>
    <cellStyle name="Heading 3 10 7" xfId="1033" xr:uid="{C14299DD-7EE8-49D5-AC14-AA493F11237F}"/>
    <cellStyle name="Heading 3 10 7 2" xfId="1034" xr:uid="{6016EAE6-E89C-487A-B798-3568848C797D}"/>
    <cellStyle name="Heading 3 10 7 2 2" xfId="1035" xr:uid="{A3BF2F3D-37B5-4FC1-A221-3F7647D125B7}"/>
    <cellStyle name="Heading 3 10 7 3" xfId="1036" xr:uid="{52E2AF75-D3AD-457E-8C87-1D0C166087B7}"/>
    <cellStyle name="Heading 3 10 7 3 2" xfId="1037" xr:uid="{6741666F-CE23-4FCC-A574-2F320523C5D4}"/>
    <cellStyle name="Heading 3 10 7 4" xfId="1038" xr:uid="{55A3F4E2-AB65-45AE-B530-C24E09E44EE2}"/>
    <cellStyle name="Heading 3 10 7 4 2" xfId="1039" xr:uid="{8CFB4E9D-1E74-40A0-9EA7-B1DDF929D0B1}"/>
    <cellStyle name="Heading 3 10 8" xfId="1040" xr:uid="{48949E4D-2F0E-4D40-81C4-09C68B056A88}"/>
    <cellStyle name="Heading 3 10 8 2" xfId="1041" xr:uid="{62EEA0B6-93B6-4A03-9B25-A565EAD93F52}"/>
    <cellStyle name="Heading 3 10 8 2 2" xfId="1042" xr:uid="{FE4F877E-9059-439D-9416-D2301A865A54}"/>
    <cellStyle name="Heading 3 10 8 3" xfId="1043" xr:uid="{BDB78B55-93BD-42FE-82BF-17D684B5E233}"/>
    <cellStyle name="Heading 3 10 8 3 2" xfId="1044" xr:uid="{2B257E54-F630-4D7E-97E0-65D6A47C4509}"/>
    <cellStyle name="Heading 3 10 8 4" xfId="1045" xr:uid="{1CF0C927-0ED4-4F39-B4DF-5910450777B7}"/>
    <cellStyle name="Heading 3 10 8 4 2" xfId="1046" xr:uid="{4285FB66-F8C3-4300-B6E7-D8FACAF6DAC6}"/>
    <cellStyle name="Heading 3 10 9" xfId="1047" xr:uid="{37126B42-5965-47DE-82F9-389266EDC3EF}"/>
    <cellStyle name="Heading 3 10 9 2" xfId="1048" xr:uid="{14B5A622-746D-4F63-A025-92A59C67CC7C}"/>
    <cellStyle name="Heading 3 10 9 2 2" xfId="1049" xr:uid="{48EB7AE3-8DED-4DA0-AA6F-D987698F5585}"/>
    <cellStyle name="Heading 3 10 9 3" xfId="1050" xr:uid="{3BA290EB-BE59-44DA-AA54-733EE8B88B0E}"/>
    <cellStyle name="Heading 3 10 9 3 2" xfId="1051" xr:uid="{F04E70DA-E853-453F-9384-BBDC4DE76529}"/>
    <cellStyle name="Heading 3 10 9 4" xfId="1052" xr:uid="{4F59DA3B-E773-4287-9DA5-D3698BCF5F81}"/>
    <cellStyle name="Heading 3 10 9 4 2" xfId="1053" xr:uid="{21E10435-B5D1-4E06-83A2-4699DADD62DA}"/>
    <cellStyle name="Heading 3 11" xfId="1054" xr:uid="{A9358291-ADED-42FD-A236-E4524E787082}"/>
    <cellStyle name="Heading 3 11 10" xfId="1055" xr:uid="{8743F945-B000-4403-B56D-C7138DE3E127}"/>
    <cellStyle name="Heading 3 11 10 2" xfId="1056" xr:uid="{FF4D4547-3368-4D9B-90D5-733BDD32BE5A}"/>
    <cellStyle name="Heading 3 11 10 2 2" xfId="1057" xr:uid="{5982C10D-59BE-41F5-9FD8-4452E1697D54}"/>
    <cellStyle name="Heading 3 11 10 3" xfId="1058" xr:uid="{1BBBEC6E-19D2-41D0-B907-4B4FAC805AB5}"/>
    <cellStyle name="Heading 3 11 10 3 2" xfId="1059" xr:uid="{0C4FDA92-4E5C-418F-99EA-3EA1C2A6A1A7}"/>
    <cellStyle name="Heading 3 11 10 4" xfId="1060" xr:uid="{0D8136F1-4264-4733-A111-F7F33BAC4C52}"/>
    <cellStyle name="Heading 3 11 10 4 2" xfId="1061" xr:uid="{B1A5BF06-0CDF-4462-A29E-27EC2506DF38}"/>
    <cellStyle name="Heading 3 11 11" xfId="1062" xr:uid="{467BE95D-AFA5-4C87-B6F0-A3F3E740F177}"/>
    <cellStyle name="Heading 3 11 11 2" xfId="1063" xr:uid="{E60ECA28-C3FD-4859-849F-941DFB6B8350}"/>
    <cellStyle name="Heading 3 11 11 2 2" xfId="1064" xr:uid="{FCCBA4B6-1B3C-46E8-A8BC-AF4C5CDCC016}"/>
    <cellStyle name="Heading 3 11 11 3" xfId="1065" xr:uid="{4DBBC6A8-C417-43D4-9D9C-2683C9AE0C7E}"/>
    <cellStyle name="Heading 3 11 11 3 2" xfId="1066" xr:uid="{5736312F-C64F-49CA-9AC6-B8A634265EDD}"/>
    <cellStyle name="Heading 3 11 11 4" xfId="1067" xr:uid="{95E96681-4012-48B7-A78D-BA2608E4A91C}"/>
    <cellStyle name="Heading 3 11 11 4 2" xfId="1068" xr:uid="{6D219DA1-24B5-4EB7-AB6E-D03B2779C118}"/>
    <cellStyle name="Heading 3 11 12" xfId="1069" xr:uid="{000B8941-CB46-4395-B2D2-43A8B9E674EB}"/>
    <cellStyle name="Heading 3 11 12 2" xfId="1070" xr:uid="{5DF6B6F7-EF51-424C-AAA1-D6D4D21D2E54}"/>
    <cellStyle name="Heading 3 11 12 2 2" xfId="1071" xr:uid="{004C6D16-BB16-4817-AE7E-290A12420A18}"/>
    <cellStyle name="Heading 3 11 12 3" xfId="1072" xr:uid="{10013F6D-D4F9-480D-8795-CD86069DCFBD}"/>
    <cellStyle name="Heading 3 11 12 3 2" xfId="1073" xr:uid="{4162417A-3767-4593-A8A3-DABA70B100DA}"/>
    <cellStyle name="Heading 3 11 12 4" xfId="1074" xr:uid="{FEE06B2D-4F05-4210-A526-8340F0BFCD30}"/>
    <cellStyle name="Heading 3 11 12 4 2" xfId="1075" xr:uid="{F597BC84-3378-46BA-8818-0CDA1901034C}"/>
    <cellStyle name="Heading 3 11 13" xfId="1076" xr:uid="{30C74AAE-5B8A-4AA6-BEB9-F2367D1940E8}"/>
    <cellStyle name="Heading 3 11 13 2" xfId="1077" xr:uid="{4D48BCF4-B709-423B-8EF6-8F3668A906EA}"/>
    <cellStyle name="Heading 3 11 13 2 2" xfId="1078" xr:uid="{86AEC6FF-1C91-4D4E-979B-4C2EDCF15579}"/>
    <cellStyle name="Heading 3 11 13 3" xfId="1079" xr:uid="{2059106A-4348-4E3E-B590-4990E624034A}"/>
    <cellStyle name="Heading 3 11 13 3 2" xfId="1080" xr:uid="{B84FFCAC-A201-4038-A4F4-B00675B689A4}"/>
    <cellStyle name="Heading 3 11 13 4" xfId="1081" xr:uid="{C6CFA58F-95FE-4403-AE18-90347E89F711}"/>
    <cellStyle name="Heading 3 11 13 4 2" xfId="1082" xr:uid="{E4B418C8-4091-40CD-85AE-5C2C42009867}"/>
    <cellStyle name="Heading 3 11 14" xfId="1083" xr:uid="{7F14A35C-3F7F-459B-BAB0-BE7AC3A90C2F}"/>
    <cellStyle name="Heading 3 11 14 2" xfId="1084" xr:uid="{C08A656A-0FF2-45CE-86C2-767E71D5DFC0}"/>
    <cellStyle name="Heading 3 11 14 2 2" xfId="1085" xr:uid="{EED1E356-930C-476E-9C18-8A842569CED1}"/>
    <cellStyle name="Heading 3 11 14 3" xfId="1086" xr:uid="{4709726C-D2DF-4319-B10D-8134050BC331}"/>
    <cellStyle name="Heading 3 11 14 3 2" xfId="1087" xr:uid="{F7B0352C-969F-4629-9487-5198FFD1AF22}"/>
    <cellStyle name="Heading 3 11 14 4" xfId="1088" xr:uid="{7D2B9ECD-1778-460A-8157-6E59E54AF641}"/>
    <cellStyle name="Heading 3 11 14 4 2" xfId="1089" xr:uid="{B52EF3BF-DF43-4058-9A9D-0A0DC3D4FE83}"/>
    <cellStyle name="Heading 3 11 15" xfId="1090" xr:uid="{B0BE97E8-9F94-45A0-82F6-1DA1B908D4B7}"/>
    <cellStyle name="Heading 3 11 15 2" xfId="1091" xr:uid="{F80B095D-594A-4FE3-9CA7-FD933E0FC16F}"/>
    <cellStyle name="Heading 3 11 15 2 2" xfId="1092" xr:uid="{641F0244-B67C-4E1A-BBFA-C731F69DAB6A}"/>
    <cellStyle name="Heading 3 11 15 3" xfId="1093" xr:uid="{39B174D7-E669-421E-9D5F-4C16E9F63924}"/>
    <cellStyle name="Heading 3 11 15 3 2" xfId="1094" xr:uid="{4BD82EAE-1665-44B1-BEB0-603475E9561D}"/>
    <cellStyle name="Heading 3 11 15 4" xfId="1095" xr:uid="{69F1B384-A936-415A-8F98-44DB04E8ADE6}"/>
    <cellStyle name="Heading 3 11 15 4 2" xfId="1096" xr:uid="{BFC9A799-FCA7-439A-8D46-822989B481D7}"/>
    <cellStyle name="Heading 3 11 16" xfId="1097" xr:uid="{F2BD86C0-4BEC-4A99-8917-6EEE0A6D2ED3}"/>
    <cellStyle name="Heading 3 11 16 2" xfId="1098" xr:uid="{55ED663D-0921-4EF0-8013-196BF3D41A44}"/>
    <cellStyle name="Heading 3 11 17" xfId="1099" xr:uid="{9FAAC32D-3CD0-4906-A060-37E1D2D4981B}"/>
    <cellStyle name="Heading 3 11 17 2" xfId="1100" xr:uid="{6EFD901D-B1FF-4D62-9E78-209BD79FBB55}"/>
    <cellStyle name="Heading 3 11 18" xfId="1101" xr:uid="{14810E76-E790-449B-8E08-7DDF5C352CB2}"/>
    <cellStyle name="Heading 3 11 18 2" xfId="1102" xr:uid="{BB3C27C4-D6F4-47AB-9A96-AAB94D35E121}"/>
    <cellStyle name="Heading 3 11 19" xfId="1103" xr:uid="{868E88B0-0436-48B8-AA12-54D40AFDFB81}"/>
    <cellStyle name="Heading 3 11 2" xfId="1104" xr:uid="{F878726F-2B51-4EE8-A527-C81B95BFDC9E}"/>
    <cellStyle name="Heading 3 11 2 2" xfId="1105" xr:uid="{82A612DA-781E-48B1-B8B6-07E5E9AA237D}"/>
    <cellStyle name="Heading 3 11 2 2 2" xfId="1106" xr:uid="{C06D9FE5-005B-4EF4-B35A-218D99B8EF91}"/>
    <cellStyle name="Heading 3 11 2 3" xfId="1107" xr:uid="{DA5515F4-292E-4860-924F-6C991E37B6B8}"/>
    <cellStyle name="Heading 3 11 2 3 2" xfId="1108" xr:uid="{74D65ED5-FFDB-4201-B0ED-37BACF594F1C}"/>
    <cellStyle name="Heading 3 11 2 4" xfId="1109" xr:uid="{34F678FE-AB3B-4352-868C-5F23FA91F47A}"/>
    <cellStyle name="Heading 3 11 2 4 2" xfId="1110" xr:uid="{F62C045B-E26B-46F7-B838-1B4E493C18CD}"/>
    <cellStyle name="Heading 3 11 20" xfId="1111" xr:uid="{6736F87C-922F-4686-A20F-1759A907D857}"/>
    <cellStyle name="Heading 3 11 21" xfId="1112" xr:uid="{14C33EDC-02FB-4044-8EA5-4E156FFCA39C}"/>
    <cellStyle name="Heading 3 11 22" xfId="1113" xr:uid="{68E4BC5E-3C04-4DAC-9AE3-3B2362732AE2}"/>
    <cellStyle name="Heading 3 11 23" xfId="1114" xr:uid="{E7416059-BA81-43EB-8C34-8484C69335B4}"/>
    <cellStyle name="Heading 3 11 24" xfId="1115" xr:uid="{40BBFD3E-F32A-48B0-8E0C-26E76D3D88BD}"/>
    <cellStyle name="Heading 3 11 25" xfId="1116" xr:uid="{0FF9BE7C-17C6-4A47-B463-0E6C44E96341}"/>
    <cellStyle name="Heading 3 11 3" xfId="1117" xr:uid="{204F0EF0-EED2-4412-9581-58EC5148AE3E}"/>
    <cellStyle name="Heading 3 11 3 2" xfId="1118" xr:uid="{5B78D3F9-B96E-4318-8CCB-A17EC2A63E16}"/>
    <cellStyle name="Heading 3 11 3 2 2" xfId="1119" xr:uid="{A6A4E312-A178-4006-8A43-93B16DE833F1}"/>
    <cellStyle name="Heading 3 11 3 3" xfId="1120" xr:uid="{E3C96FEA-875D-4FC1-A558-91B2B386028D}"/>
    <cellStyle name="Heading 3 11 3 3 2" xfId="1121" xr:uid="{82D74AA0-8CBD-43FC-A17B-37993D1CFFDD}"/>
    <cellStyle name="Heading 3 11 3 4" xfId="1122" xr:uid="{0D1E86E0-9B40-4AD9-8C30-B526F4FBC5DF}"/>
    <cellStyle name="Heading 3 11 3 4 2" xfId="1123" xr:uid="{9023412A-1545-4CEB-A7BC-6A246854C5BC}"/>
    <cellStyle name="Heading 3 11 4" xfId="1124" xr:uid="{9F16D1FC-4BA5-477D-8ED0-657DF270ACC7}"/>
    <cellStyle name="Heading 3 11 4 2" xfId="1125" xr:uid="{AADBC184-2FF7-46ED-A0BE-E1CDF37F3466}"/>
    <cellStyle name="Heading 3 11 4 2 2" xfId="1126" xr:uid="{97369D12-C1C1-41F4-9A7C-C0A3F08D9EF1}"/>
    <cellStyle name="Heading 3 11 4 3" xfId="1127" xr:uid="{48A0D9B7-C1BF-4C0E-8677-21EA2E0C6DF2}"/>
    <cellStyle name="Heading 3 11 4 3 2" xfId="1128" xr:uid="{BBB46A5B-FAF5-47F8-845F-099383F9BF69}"/>
    <cellStyle name="Heading 3 11 4 4" xfId="1129" xr:uid="{EC0F4C2E-615F-4062-985B-2A68594AE9F3}"/>
    <cellStyle name="Heading 3 11 4 4 2" xfId="1130" xr:uid="{46BF3EEF-6ACA-4405-803B-2FF28772BA5E}"/>
    <cellStyle name="Heading 3 11 5" xfId="1131" xr:uid="{5933FB60-C39F-46AA-A119-7A9C7D0879FD}"/>
    <cellStyle name="Heading 3 11 5 2" xfId="1132" xr:uid="{961D1219-1BDD-4CA6-819A-56DC585CE296}"/>
    <cellStyle name="Heading 3 11 5 2 2" xfId="1133" xr:uid="{ED9ECD3A-387A-4939-9791-836189B8E96E}"/>
    <cellStyle name="Heading 3 11 5 3" xfId="1134" xr:uid="{7DEC7A63-4583-4C4E-A211-9278AB56B12B}"/>
    <cellStyle name="Heading 3 11 5 3 2" xfId="1135" xr:uid="{88DDC6E7-A100-452D-8AF3-67F7A720FF1B}"/>
    <cellStyle name="Heading 3 11 5 4" xfId="1136" xr:uid="{1C140A3E-0695-46F9-A990-EC32B245B0CF}"/>
    <cellStyle name="Heading 3 11 5 4 2" xfId="1137" xr:uid="{6099E6CF-F684-41A5-A02A-2E8C8925A4A3}"/>
    <cellStyle name="Heading 3 11 6" xfId="1138" xr:uid="{644DE195-864A-4FC6-9428-CB5DC69B9FC5}"/>
    <cellStyle name="Heading 3 11 6 2" xfId="1139" xr:uid="{37D9A8A6-03DE-4371-9A50-640416BB0D13}"/>
    <cellStyle name="Heading 3 11 6 2 2" xfId="1140" xr:uid="{585CE31A-CDB5-4E70-A2F6-559F8F2BAF4E}"/>
    <cellStyle name="Heading 3 11 6 3" xfId="1141" xr:uid="{1F068EF6-E293-4824-B618-F50284798BDA}"/>
    <cellStyle name="Heading 3 11 6 3 2" xfId="1142" xr:uid="{3F3B88C7-D44B-46F2-81F4-51809FDDDEEF}"/>
    <cellStyle name="Heading 3 11 6 4" xfId="1143" xr:uid="{FFB849E5-1921-4D59-98B8-71AE94D81383}"/>
    <cellStyle name="Heading 3 11 6 4 2" xfId="1144" xr:uid="{6B0EF857-51B3-46FC-8551-4680178AB7A2}"/>
    <cellStyle name="Heading 3 11 7" xfId="1145" xr:uid="{02BB1A92-8856-44AC-927B-34AA939C12B0}"/>
    <cellStyle name="Heading 3 11 7 2" xfId="1146" xr:uid="{F93E9E7B-D30A-4B23-AE49-020B6C3C1B33}"/>
    <cellStyle name="Heading 3 11 7 2 2" xfId="1147" xr:uid="{2D140133-07B1-4158-B8E1-15D83490469A}"/>
    <cellStyle name="Heading 3 11 7 3" xfId="1148" xr:uid="{F01FEDD3-46DD-4640-BE46-909E21B8F97C}"/>
    <cellStyle name="Heading 3 11 7 3 2" xfId="1149" xr:uid="{3AC8335D-2B4F-4E1A-857E-BEF677E043A0}"/>
    <cellStyle name="Heading 3 11 7 4" xfId="1150" xr:uid="{C6875E72-39BA-47E8-A83F-4156B1E34A60}"/>
    <cellStyle name="Heading 3 11 7 4 2" xfId="1151" xr:uid="{C94F07FF-B785-45DC-BABF-78A82B0FDB57}"/>
    <cellStyle name="Heading 3 11 8" xfId="1152" xr:uid="{49E0A5AF-74A1-44C0-AAEE-676419D25A10}"/>
    <cellStyle name="Heading 3 11 8 2" xfId="1153" xr:uid="{125643E0-A985-4E2E-AA3F-E88480042043}"/>
    <cellStyle name="Heading 3 11 8 2 2" xfId="1154" xr:uid="{F5DBCEFD-F9D2-4A87-BED8-7F519648C3A9}"/>
    <cellStyle name="Heading 3 11 8 3" xfId="1155" xr:uid="{01CADEF7-3E3D-4968-9F52-EE871BEE0B91}"/>
    <cellStyle name="Heading 3 11 8 3 2" xfId="1156" xr:uid="{EF74704E-8801-4E31-B62C-CD7058F26754}"/>
    <cellStyle name="Heading 3 11 8 4" xfId="1157" xr:uid="{BBEB8D30-B0A2-444A-83EF-5A9F439CEAFD}"/>
    <cellStyle name="Heading 3 11 8 4 2" xfId="1158" xr:uid="{8F87AE49-41E3-4318-B625-72585FF3B90D}"/>
    <cellStyle name="Heading 3 11 9" xfId="1159" xr:uid="{9DF70CD2-C332-4D43-928E-976FF13CBD8F}"/>
    <cellStyle name="Heading 3 11 9 2" xfId="1160" xr:uid="{4773E157-F0D7-4B9D-86C5-F2CD7ECE8670}"/>
    <cellStyle name="Heading 3 11 9 2 2" xfId="1161" xr:uid="{03B93052-5532-43B7-BBF7-5E32AB0E48F7}"/>
    <cellStyle name="Heading 3 11 9 3" xfId="1162" xr:uid="{1E1F8416-4954-44C7-A794-4444FCDBECB8}"/>
    <cellStyle name="Heading 3 11 9 3 2" xfId="1163" xr:uid="{50CF6505-CAEE-4AA2-8468-274E26C3EF32}"/>
    <cellStyle name="Heading 3 11 9 4" xfId="1164" xr:uid="{40589263-FE2F-4FDE-9028-A3D2F3901987}"/>
    <cellStyle name="Heading 3 11 9 4 2" xfId="1165" xr:uid="{002B65C6-3C50-4BF0-803E-3491774243AE}"/>
    <cellStyle name="Heading 3 12" xfId="1166" xr:uid="{27F05146-6A51-40D4-99FC-1EEB2A4CE491}"/>
    <cellStyle name="Heading 3 12 10" xfId="1167" xr:uid="{B70708EA-B3E4-4EE3-9268-4CBA6D3E7D50}"/>
    <cellStyle name="Heading 3 12 10 2" xfId="1168" xr:uid="{4224F302-72BC-47F0-A424-EFB5CE487BAF}"/>
    <cellStyle name="Heading 3 12 10 2 2" xfId="1169" xr:uid="{E7CDCD74-BAD5-44EF-89B2-16E38932DB98}"/>
    <cellStyle name="Heading 3 12 10 3" xfId="1170" xr:uid="{33A0F30E-E3BC-405E-93E7-534340850106}"/>
    <cellStyle name="Heading 3 12 10 3 2" xfId="1171" xr:uid="{5DF818BB-62A9-4ED4-B674-C15F4D9841CB}"/>
    <cellStyle name="Heading 3 12 10 4" xfId="1172" xr:uid="{93BA1A42-9538-4D4F-A1D3-5A890600FE58}"/>
    <cellStyle name="Heading 3 12 10 4 2" xfId="1173" xr:uid="{15F663CF-A352-47C4-AAF1-80EFCD050760}"/>
    <cellStyle name="Heading 3 12 11" xfId="1174" xr:uid="{6C21899F-8770-46B8-859D-354ED71ACA4F}"/>
    <cellStyle name="Heading 3 12 11 2" xfId="1175" xr:uid="{98E266DD-C216-43AB-B8C1-FAFB446FB055}"/>
    <cellStyle name="Heading 3 12 11 2 2" xfId="1176" xr:uid="{03B919B4-901D-45AF-905C-00EAE42E4835}"/>
    <cellStyle name="Heading 3 12 11 3" xfId="1177" xr:uid="{8D06A31A-9FCC-4E3B-A9B5-A5CBAB1FB557}"/>
    <cellStyle name="Heading 3 12 11 3 2" xfId="1178" xr:uid="{DCCDD678-D646-4132-B8ED-57AEAEF2690B}"/>
    <cellStyle name="Heading 3 12 11 4" xfId="1179" xr:uid="{6E8CF2F9-5487-467D-9500-50B71BF01C5C}"/>
    <cellStyle name="Heading 3 12 11 4 2" xfId="1180" xr:uid="{920EB486-6258-4CCC-AF54-36F08D4D352E}"/>
    <cellStyle name="Heading 3 12 12" xfId="1181" xr:uid="{9CC6AAF5-EF0B-4F28-99E9-5DB8D5544567}"/>
    <cellStyle name="Heading 3 12 12 2" xfId="1182" xr:uid="{6585AE7A-DC67-4FBC-B433-A7CE0CC44AEF}"/>
    <cellStyle name="Heading 3 12 12 2 2" xfId="1183" xr:uid="{DBDFA90E-964C-4CEF-BA0E-1F4FBB1799E8}"/>
    <cellStyle name="Heading 3 12 12 3" xfId="1184" xr:uid="{9A4B77FE-88D6-410A-BB7D-3B9EFFB7A7D8}"/>
    <cellStyle name="Heading 3 12 12 3 2" xfId="1185" xr:uid="{74E6FE9D-36CE-4B97-B6C4-48FFE5E13826}"/>
    <cellStyle name="Heading 3 12 12 4" xfId="1186" xr:uid="{B7739AC9-2BC2-40A1-A18E-C0FE6F1C6654}"/>
    <cellStyle name="Heading 3 12 12 4 2" xfId="1187" xr:uid="{0A297697-160F-42FC-A766-46B2A2724392}"/>
    <cellStyle name="Heading 3 12 13" xfId="1188" xr:uid="{05EF0313-8CC4-47F2-9F84-233AA245A565}"/>
    <cellStyle name="Heading 3 12 13 2" xfId="1189" xr:uid="{F3EDC496-A14C-4081-B426-CA5336FF0BD6}"/>
    <cellStyle name="Heading 3 12 13 2 2" xfId="1190" xr:uid="{9786B512-6A40-4E19-B53B-55B5197CB7C1}"/>
    <cellStyle name="Heading 3 12 13 3" xfId="1191" xr:uid="{3659C446-3ED4-43B3-9670-DDCB9C773901}"/>
    <cellStyle name="Heading 3 12 13 3 2" xfId="1192" xr:uid="{3DF73A69-DBD3-4E63-8D7F-29E318C24A2C}"/>
    <cellStyle name="Heading 3 12 13 4" xfId="1193" xr:uid="{72A60E7D-C5D4-4FCF-8110-FB958403390E}"/>
    <cellStyle name="Heading 3 12 13 4 2" xfId="1194" xr:uid="{6C51235C-6DFB-416B-BCA7-2BD82819C10B}"/>
    <cellStyle name="Heading 3 12 14" xfId="1195" xr:uid="{A3F42688-E99B-41E4-A6F8-7971BF3D0D0E}"/>
    <cellStyle name="Heading 3 12 14 2" xfId="1196" xr:uid="{16FC4B23-BD79-4159-9AD5-15AD8127BB3A}"/>
    <cellStyle name="Heading 3 12 14 2 2" xfId="1197" xr:uid="{FB39CE4F-623B-4B9A-9A51-29C7746386F9}"/>
    <cellStyle name="Heading 3 12 14 3" xfId="1198" xr:uid="{43227FF3-640F-48B9-8328-E25AB1098A33}"/>
    <cellStyle name="Heading 3 12 14 3 2" xfId="1199" xr:uid="{AE085A54-1C67-40BD-9E05-C1114B65D418}"/>
    <cellStyle name="Heading 3 12 14 4" xfId="1200" xr:uid="{B85A13D0-90FC-4F61-B26C-0CCE38FF5222}"/>
    <cellStyle name="Heading 3 12 14 4 2" xfId="1201" xr:uid="{B8F68C1F-21AC-4D5E-9072-912E956FD8C3}"/>
    <cellStyle name="Heading 3 12 15" xfId="1202" xr:uid="{2C913297-A8C6-40D3-881B-BD78AFC59FB0}"/>
    <cellStyle name="Heading 3 12 15 2" xfId="1203" xr:uid="{2C6521FA-F826-4C6E-9C59-D550517C2E57}"/>
    <cellStyle name="Heading 3 12 15 2 2" xfId="1204" xr:uid="{CFF3A4BA-154A-4F62-B0EF-43B3B1ED0E60}"/>
    <cellStyle name="Heading 3 12 15 3" xfId="1205" xr:uid="{878D9099-3DE2-431D-9DC7-FF6D56FFBBA6}"/>
    <cellStyle name="Heading 3 12 15 3 2" xfId="1206" xr:uid="{A700EEAF-2470-470C-9D54-6200796BAA81}"/>
    <cellStyle name="Heading 3 12 15 4" xfId="1207" xr:uid="{A119A095-A699-4651-B6B5-7A94AD5E2EBB}"/>
    <cellStyle name="Heading 3 12 15 4 2" xfId="1208" xr:uid="{FB214A90-E556-4708-96D4-8420B368D5E2}"/>
    <cellStyle name="Heading 3 12 16" xfId="1209" xr:uid="{591476CC-2563-4267-8A3E-744E104CCB36}"/>
    <cellStyle name="Heading 3 12 16 2" xfId="1210" xr:uid="{E65B79F1-C4D3-4D66-9AC6-21F726CB0733}"/>
    <cellStyle name="Heading 3 12 17" xfId="1211" xr:uid="{4A75562E-F80D-4626-B644-0778FB46A65A}"/>
    <cellStyle name="Heading 3 12 17 2" xfId="1212" xr:uid="{3A8524B9-ABDE-4926-B939-BDA3A1BC087E}"/>
    <cellStyle name="Heading 3 12 18" xfId="1213" xr:uid="{51EA833E-04BB-4A47-A8F3-330677223022}"/>
    <cellStyle name="Heading 3 12 18 2" xfId="1214" xr:uid="{C38429B4-7A51-4F99-9701-2DC70BFED55D}"/>
    <cellStyle name="Heading 3 12 19" xfId="1215" xr:uid="{57898EC8-78D6-4D23-8583-45BF5EFFBD18}"/>
    <cellStyle name="Heading 3 12 2" xfId="1216" xr:uid="{F36590DA-5B7C-4682-BF52-7AA574B7AE99}"/>
    <cellStyle name="Heading 3 12 2 2" xfId="1217" xr:uid="{425FF516-EC12-4531-A3E7-43BA0DE64A55}"/>
    <cellStyle name="Heading 3 12 2 2 2" xfId="1218" xr:uid="{1596F783-375D-4D0E-997D-178F7752DC34}"/>
    <cellStyle name="Heading 3 12 2 3" xfId="1219" xr:uid="{EBFC5E50-D423-4172-ADCC-BDDC0942D1C8}"/>
    <cellStyle name="Heading 3 12 2 3 2" xfId="1220" xr:uid="{741A1580-4331-4334-9F8F-7EBA3DE6CFEB}"/>
    <cellStyle name="Heading 3 12 2 4" xfId="1221" xr:uid="{9401413B-4619-4696-AA9F-745054C602D7}"/>
    <cellStyle name="Heading 3 12 2 4 2" xfId="1222" xr:uid="{BEAD3C8F-D877-482A-B0EE-2115EDC63EF1}"/>
    <cellStyle name="Heading 3 12 20" xfId="1223" xr:uid="{9DEBF232-6626-4B1F-BF65-88FA0A5664D2}"/>
    <cellStyle name="Heading 3 12 21" xfId="1224" xr:uid="{97E2B3E7-3C03-4A9B-89F0-7B8E7035D416}"/>
    <cellStyle name="Heading 3 12 22" xfId="1225" xr:uid="{7F820C87-EA5E-4ED4-8B03-22C76DE84E38}"/>
    <cellStyle name="Heading 3 12 23" xfId="1226" xr:uid="{43FEA803-B62C-41C9-BCFA-B159E2894768}"/>
    <cellStyle name="Heading 3 12 24" xfId="1227" xr:uid="{886E49AB-87BD-42FC-8DEA-10C7C1000AFF}"/>
    <cellStyle name="Heading 3 12 25" xfId="1228" xr:uid="{BFBDFD6C-AE05-4868-AB01-D16220F5D3D5}"/>
    <cellStyle name="Heading 3 12 3" xfId="1229" xr:uid="{87B27398-471F-4873-87B0-BA78B0831A8E}"/>
    <cellStyle name="Heading 3 12 3 2" xfId="1230" xr:uid="{30D87A24-7DF0-4E69-A6A1-42009B6E5C3F}"/>
    <cellStyle name="Heading 3 12 3 2 2" xfId="1231" xr:uid="{FE18C460-4ABC-43ED-9BF9-BDB4E1CD6E11}"/>
    <cellStyle name="Heading 3 12 3 3" xfId="1232" xr:uid="{566E3EF6-6D34-43E5-BA88-8F490E1E132A}"/>
    <cellStyle name="Heading 3 12 3 3 2" xfId="1233" xr:uid="{10789958-81E7-4D75-AAE7-3E439AD5F0C7}"/>
    <cellStyle name="Heading 3 12 3 4" xfId="1234" xr:uid="{97BDA379-ED9B-480E-BFC0-69921FB51CB1}"/>
    <cellStyle name="Heading 3 12 3 4 2" xfId="1235" xr:uid="{60838A67-CDF6-455B-8ECD-448697821E4C}"/>
    <cellStyle name="Heading 3 12 4" xfId="1236" xr:uid="{1F69CBA3-E230-463D-870C-F990069FCC94}"/>
    <cellStyle name="Heading 3 12 4 2" xfId="1237" xr:uid="{9B80D65F-0F61-4ADA-AF8E-055EF386D6D5}"/>
    <cellStyle name="Heading 3 12 4 2 2" xfId="1238" xr:uid="{CA302508-1D6C-495A-BBAA-99A7ACAC5FA8}"/>
    <cellStyle name="Heading 3 12 4 3" xfId="1239" xr:uid="{45A2FBD4-09D0-4D26-88B3-AEFE94F6708A}"/>
    <cellStyle name="Heading 3 12 4 3 2" xfId="1240" xr:uid="{A426000A-C9E6-4F49-9140-82EB9694BC90}"/>
    <cellStyle name="Heading 3 12 4 4" xfId="1241" xr:uid="{299E7676-5980-40D9-B4C9-48CF1D8ABC54}"/>
    <cellStyle name="Heading 3 12 4 4 2" xfId="1242" xr:uid="{F84615EF-FB8F-4775-9F33-AF5F74C851E3}"/>
    <cellStyle name="Heading 3 12 5" xfId="1243" xr:uid="{1FB01DB7-425A-48C2-8765-4C2BDF7A776C}"/>
    <cellStyle name="Heading 3 12 5 2" xfId="1244" xr:uid="{2EFE9FC2-F5FB-4124-94DD-4244B0610963}"/>
    <cellStyle name="Heading 3 12 5 2 2" xfId="1245" xr:uid="{98D61A5C-C805-4304-9935-DE5CE25EDD44}"/>
    <cellStyle name="Heading 3 12 5 3" xfId="1246" xr:uid="{F14D70C1-1713-4320-A229-24D8BE186424}"/>
    <cellStyle name="Heading 3 12 5 3 2" xfId="1247" xr:uid="{CE4E5F46-4D52-4CB4-8DCE-9A09B4312911}"/>
    <cellStyle name="Heading 3 12 5 4" xfId="1248" xr:uid="{79C656EA-96DD-4CA5-A17C-B1A6A2201C02}"/>
    <cellStyle name="Heading 3 12 5 4 2" xfId="1249" xr:uid="{0E2869F5-D581-48CB-A419-5FFA7860743C}"/>
    <cellStyle name="Heading 3 12 6" xfId="1250" xr:uid="{99327DF5-2417-4952-BAE7-D89CA23A3643}"/>
    <cellStyle name="Heading 3 12 6 2" xfId="1251" xr:uid="{CE133F62-EBC9-4E55-B162-C42ABEE40D0C}"/>
    <cellStyle name="Heading 3 12 6 2 2" xfId="1252" xr:uid="{E41BE783-23F7-42F6-9E9A-BC1CF7FE330A}"/>
    <cellStyle name="Heading 3 12 6 3" xfId="1253" xr:uid="{E960888C-0198-430F-AD4A-8BB8E5332011}"/>
    <cellStyle name="Heading 3 12 6 3 2" xfId="1254" xr:uid="{5A38549D-42DA-4148-A141-6A5C3B2DD46D}"/>
    <cellStyle name="Heading 3 12 6 4" xfId="1255" xr:uid="{11F6A435-05C0-4C85-B212-9CD993F13FBB}"/>
    <cellStyle name="Heading 3 12 6 4 2" xfId="1256" xr:uid="{133E6A48-0429-42A7-B6AF-A386FE7E05E9}"/>
    <cellStyle name="Heading 3 12 7" xfId="1257" xr:uid="{0975C77B-B324-4955-A9EE-E46512867E12}"/>
    <cellStyle name="Heading 3 12 7 2" xfId="1258" xr:uid="{4EE17A08-448F-49EA-8ED3-D0EF139EE423}"/>
    <cellStyle name="Heading 3 12 7 2 2" xfId="1259" xr:uid="{6F5958C0-DEBF-4B4F-9378-A32CBDE718A6}"/>
    <cellStyle name="Heading 3 12 7 3" xfId="1260" xr:uid="{4D528489-E901-4C66-946D-6A3AFA26E268}"/>
    <cellStyle name="Heading 3 12 7 3 2" xfId="1261" xr:uid="{508ECC6E-CD88-401A-84E6-AF56B70E0673}"/>
    <cellStyle name="Heading 3 12 7 4" xfId="1262" xr:uid="{D03749A9-E8EE-4677-AD18-EB4568FD6B29}"/>
    <cellStyle name="Heading 3 12 7 4 2" xfId="1263" xr:uid="{50439F5F-E55B-47B0-91DF-B5EC9C83D00F}"/>
    <cellStyle name="Heading 3 12 8" xfId="1264" xr:uid="{DE6BC936-14A7-4A3E-ABE7-3B9B8C97ACB9}"/>
    <cellStyle name="Heading 3 12 8 2" xfId="1265" xr:uid="{DD4BDACA-12A3-4B19-B035-3D3A9C729028}"/>
    <cellStyle name="Heading 3 12 8 2 2" xfId="1266" xr:uid="{933B2F0F-B16B-4192-BE92-67FE15FB5E72}"/>
    <cellStyle name="Heading 3 12 8 3" xfId="1267" xr:uid="{26A1087A-3F98-4FC5-BA48-4E10A06A708B}"/>
    <cellStyle name="Heading 3 12 8 3 2" xfId="1268" xr:uid="{8B13518A-F798-4809-95FB-8D193FBFBEE9}"/>
    <cellStyle name="Heading 3 12 8 4" xfId="1269" xr:uid="{5DC7575D-946B-4A51-B768-8A7D91F7FD66}"/>
    <cellStyle name="Heading 3 12 8 4 2" xfId="1270" xr:uid="{5C4FFCE9-85ED-459B-B06F-4C176EA1E80C}"/>
    <cellStyle name="Heading 3 12 9" xfId="1271" xr:uid="{503A4C77-F1F5-4B00-BEB2-5AA9D49F2A4A}"/>
    <cellStyle name="Heading 3 12 9 2" xfId="1272" xr:uid="{E1F8DE9B-D176-4A1E-9CDE-CF2C22FE0AF1}"/>
    <cellStyle name="Heading 3 12 9 2 2" xfId="1273" xr:uid="{4CFA6ECB-E0B6-4934-A09D-AA670B612E70}"/>
    <cellStyle name="Heading 3 12 9 3" xfId="1274" xr:uid="{65EBE805-0A6A-4530-8968-609F3EDEC9F5}"/>
    <cellStyle name="Heading 3 12 9 3 2" xfId="1275" xr:uid="{C1CE0725-2A7E-45FE-BF68-DA36335A712F}"/>
    <cellStyle name="Heading 3 12 9 4" xfId="1276" xr:uid="{94C0B6B4-CD97-434C-A221-75D0EDF3D74C}"/>
    <cellStyle name="Heading 3 12 9 4 2" xfId="1277" xr:uid="{7CA4F6D9-B910-4C73-BD66-A103128B12FF}"/>
    <cellStyle name="Heading 3 13" xfId="1278" xr:uid="{932C1AEB-F6C8-406B-BDD4-8E7F92C5B0C7}"/>
    <cellStyle name="Heading 3 13 10" xfId="1279" xr:uid="{0E0A3DF8-F85A-4572-983A-E6AB4902AE22}"/>
    <cellStyle name="Heading 3 13 10 2" xfId="1280" xr:uid="{43AEDC6B-5ACF-4B2D-B7E3-20C0F55C8E16}"/>
    <cellStyle name="Heading 3 13 10 2 2" xfId="1281" xr:uid="{6C134246-A5A3-46C1-9628-6D5BABE83066}"/>
    <cellStyle name="Heading 3 13 10 3" xfId="1282" xr:uid="{465C47B4-9D89-4341-8624-CA73C6E9AD12}"/>
    <cellStyle name="Heading 3 13 10 3 2" xfId="1283" xr:uid="{F74A4919-60E6-43F8-8A41-DD17C0090B6E}"/>
    <cellStyle name="Heading 3 13 10 4" xfId="1284" xr:uid="{1DA6CA5D-BC70-47F9-AED5-5284C406ADB8}"/>
    <cellStyle name="Heading 3 13 10 4 2" xfId="1285" xr:uid="{F5C40790-5A9A-4EF0-96C7-1C658E7269D6}"/>
    <cellStyle name="Heading 3 13 11" xfId="1286" xr:uid="{3A479F73-E565-4FE2-8E8F-B447F11F1DA2}"/>
    <cellStyle name="Heading 3 13 11 2" xfId="1287" xr:uid="{BE963C8A-8409-4B25-909C-4D6A5B58742C}"/>
    <cellStyle name="Heading 3 13 11 2 2" xfId="1288" xr:uid="{5C0B4AA1-DE7C-4D14-ABC2-7207D833FFAD}"/>
    <cellStyle name="Heading 3 13 11 3" xfId="1289" xr:uid="{FC4BF449-251A-4FED-895D-EA7D93DE68F8}"/>
    <cellStyle name="Heading 3 13 11 3 2" xfId="1290" xr:uid="{275ABC4B-3B1A-4E98-8A90-C369FE56D6C7}"/>
    <cellStyle name="Heading 3 13 11 4" xfId="1291" xr:uid="{BE5B0506-7598-4795-B1FB-58D028490D02}"/>
    <cellStyle name="Heading 3 13 11 4 2" xfId="1292" xr:uid="{A30DB57D-0224-47FA-8C28-271033BA6FAE}"/>
    <cellStyle name="Heading 3 13 12" xfId="1293" xr:uid="{E47F8982-B7B3-45CA-8D16-287F997D285B}"/>
    <cellStyle name="Heading 3 13 12 2" xfId="1294" xr:uid="{5B466697-3B29-437F-870C-805BE5FEA357}"/>
    <cellStyle name="Heading 3 13 12 2 2" xfId="1295" xr:uid="{95D88758-90BD-46BE-9258-6E1DB61DE026}"/>
    <cellStyle name="Heading 3 13 12 3" xfId="1296" xr:uid="{252F6C16-906D-41FE-927D-90DAF7980C01}"/>
    <cellStyle name="Heading 3 13 12 3 2" xfId="1297" xr:uid="{42C252FE-8794-4594-8B54-AF9BC123BF2D}"/>
    <cellStyle name="Heading 3 13 12 4" xfId="1298" xr:uid="{351B5B16-A0C6-4329-AB84-53E989166C97}"/>
    <cellStyle name="Heading 3 13 12 4 2" xfId="1299" xr:uid="{5DB7A965-CB73-49C0-A3A5-5FE7ECE26655}"/>
    <cellStyle name="Heading 3 13 13" xfId="1300" xr:uid="{F5BE0605-232D-4317-8A1C-FA21CD803931}"/>
    <cellStyle name="Heading 3 13 13 2" xfId="1301" xr:uid="{35C801D3-08A1-49CE-AF6C-A0A3D6596745}"/>
    <cellStyle name="Heading 3 13 13 2 2" xfId="1302" xr:uid="{96791867-FA70-42EF-B986-5AE925506B1A}"/>
    <cellStyle name="Heading 3 13 13 3" xfId="1303" xr:uid="{2851D639-9C6F-43CD-8091-7B665B4A593D}"/>
    <cellStyle name="Heading 3 13 13 3 2" xfId="1304" xr:uid="{7DC11696-7176-4EC8-A972-6DA2D59C7C8A}"/>
    <cellStyle name="Heading 3 13 13 4" xfId="1305" xr:uid="{344D3179-C744-44EE-B13F-0306EFB18997}"/>
    <cellStyle name="Heading 3 13 13 4 2" xfId="1306" xr:uid="{05C298F2-B74E-4D8E-B6C4-6C9058EE470D}"/>
    <cellStyle name="Heading 3 13 14" xfId="1307" xr:uid="{5D830462-745C-4C98-AE20-0D669C757BE5}"/>
    <cellStyle name="Heading 3 13 14 2" xfId="1308" xr:uid="{DD926900-2204-4BDE-AD64-AC08D6B701BD}"/>
    <cellStyle name="Heading 3 13 14 2 2" xfId="1309" xr:uid="{DA80F8D1-981D-4722-903E-C601D695F64C}"/>
    <cellStyle name="Heading 3 13 14 3" xfId="1310" xr:uid="{4D67FA19-646A-4B6E-8E23-E6C90AFB7B5E}"/>
    <cellStyle name="Heading 3 13 14 3 2" xfId="1311" xr:uid="{31CC7418-7D0C-4752-967C-0A50421ED920}"/>
    <cellStyle name="Heading 3 13 14 4" xfId="1312" xr:uid="{E8431081-3EF3-446D-A4E8-DCEDCFC58778}"/>
    <cellStyle name="Heading 3 13 14 4 2" xfId="1313" xr:uid="{46373DC3-AB2B-4DD7-8BFA-3C472F3404BE}"/>
    <cellStyle name="Heading 3 13 15" xfId="1314" xr:uid="{73B15701-50A2-409D-9D21-FC40D1449237}"/>
    <cellStyle name="Heading 3 13 15 2" xfId="1315" xr:uid="{47F16FD9-F8EB-495B-A2D0-68B00C89CEB5}"/>
    <cellStyle name="Heading 3 13 15 2 2" xfId="1316" xr:uid="{8C0D1E83-2AEB-47D7-B759-313E7335F9DF}"/>
    <cellStyle name="Heading 3 13 15 3" xfId="1317" xr:uid="{5D9D1AC7-9998-42DA-9A8A-ECE28A5FCBAA}"/>
    <cellStyle name="Heading 3 13 15 3 2" xfId="1318" xr:uid="{26747BD8-890B-4B59-AFF6-9E7C1DD3F290}"/>
    <cellStyle name="Heading 3 13 15 4" xfId="1319" xr:uid="{087C5355-F23B-4CF0-A069-0486353D8FA0}"/>
    <cellStyle name="Heading 3 13 15 4 2" xfId="1320" xr:uid="{3C768B31-18E1-4268-BD28-D457166BE230}"/>
    <cellStyle name="Heading 3 13 16" xfId="1321" xr:uid="{D1E364EE-506E-4474-8ED3-BCCE348BD0CA}"/>
    <cellStyle name="Heading 3 13 16 2" xfId="1322" xr:uid="{0DD04E0A-A983-45B3-81C8-C2CE51A20349}"/>
    <cellStyle name="Heading 3 13 17" xfId="1323" xr:uid="{A99C2475-E65C-4752-811E-8FC33667E44B}"/>
    <cellStyle name="Heading 3 13 17 2" xfId="1324" xr:uid="{5C0FE54E-F377-48EF-AD04-B8F75E576D3B}"/>
    <cellStyle name="Heading 3 13 18" xfId="1325" xr:uid="{B6EED4B5-929F-4BA7-9EFF-C63842FA3B96}"/>
    <cellStyle name="Heading 3 13 18 2" xfId="1326" xr:uid="{0B75F643-6CFB-4FD7-8560-995B8F72A1C0}"/>
    <cellStyle name="Heading 3 13 19" xfId="1327" xr:uid="{EEE926A0-A2F8-4EBC-9DCD-D5CF82770B82}"/>
    <cellStyle name="Heading 3 13 2" xfId="1328" xr:uid="{B7DC00D1-0DEB-44AB-AC04-668117062DB5}"/>
    <cellStyle name="Heading 3 13 2 2" xfId="1329" xr:uid="{93FC7CF8-B48F-439B-9B92-46ECA569924E}"/>
    <cellStyle name="Heading 3 13 2 2 2" xfId="1330" xr:uid="{4DCA6D3D-B797-4A85-BB20-3EAE1CDC4A75}"/>
    <cellStyle name="Heading 3 13 2 3" xfId="1331" xr:uid="{AE7FB363-6CA4-4FAC-B953-B1F1877D9C8B}"/>
    <cellStyle name="Heading 3 13 2 3 2" xfId="1332" xr:uid="{76822B79-FE90-4EEF-821C-1E39008D3A3C}"/>
    <cellStyle name="Heading 3 13 2 4" xfId="1333" xr:uid="{98208D6F-2D56-4B42-989D-31417AAB5CB8}"/>
    <cellStyle name="Heading 3 13 2 4 2" xfId="1334" xr:uid="{4F67CDBB-C2ED-4A03-B493-E3B43AD94CF0}"/>
    <cellStyle name="Heading 3 13 20" xfId="1335" xr:uid="{5B8338AC-FE64-4BBC-8FCE-6C7B3CDCA9F3}"/>
    <cellStyle name="Heading 3 13 21" xfId="1336" xr:uid="{242F790F-1F33-4013-9ADC-350CCC839E56}"/>
    <cellStyle name="Heading 3 13 22" xfId="1337" xr:uid="{DA77EE4C-942F-4B27-97DE-70D0EC5F6A8D}"/>
    <cellStyle name="Heading 3 13 23" xfId="1338" xr:uid="{50116BC0-3ACA-4FC3-89D4-C1C956C7B685}"/>
    <cellStyle name="Heading 3 13 24" xfId="1339" xr:uid="{D2D0C88A-48B1-4AE5-A79D-EB628CE94CDA}"/>
    <cellStyle name="Heading 3 13 25" xfId="1340" xr:uid="{75A4ADEC-5FA8-4B31-85CD-9A8A62E76BF4}"/>
    <cellStyle name="Heading 3 13 3" xfId="1341" xr:uid="{834A6946-F99D-406C-BB8D-8113D42C4372}"/>
    <cellStyle name="Heading 3 13 3 2" xfId="1342" xr:uid="{75CD46F9-9D10-4D6E-8412-0456CEA4EE19}"/>
    <cellStyle name="Heading 3 13 3 2 2" xfId="1343" xr:uid="{6D633FCA-70B0-402B-A350-8E71B96B4319}"/>
    <cellStyle name="Heading 3 13 3 3" xfId="1344" xr:uid="{FF743DAF-8AF7-47A0-978B-1EFD7F7FB513}"/>
    <cellStyle name="Heading 3 13 3 3 2" xfId="1345" xr:uid="{53D07964-E041-4657-BDCD-8C26D0BE59A4}"/>
    <cellStyle name="Heading 3 13 3 4" xfId="1346" xr:uid="{62B5C31C-B81C-40E1-854B-06BAFBF69E13}"/>
    <cellStyle name="Heading 3 13 3 4 2" xfId="1347" xr:uid="{53451E90-1A0D-4981-A613-6A01444C0BE4}"/>
    <cellStyle name="Heading 3 13 4" xfId="1348" xr:uid="{A8577FD3-005A-4134-AD96-958BF0A4931B}"/>
    <cellStyle name="Heading 3 13 4 2" xfId="1349" xr:uid="{0C640D4A-D159-43EC-8A1B-59F477377CB0}"/>
    <cellStyle name="Heading 3 13 4 2 2" xfId="1350" xr:uid="{7E86946A-CDFA-48AE-B28E-94E259FDF7E4}"/>
    <cellStyle name="Heading 3 13 4 3" xfId="1351" xr:uid="{BE12F663-038A-4910-A2BD-1E8824EC8080}"/>
    <cellStyle name="Heading 3 13 4 3 2" xfId="1352" xr:uid="{5B871767-B426-4C8B-9821-DC0FEFDF99B0}"/>
    <cellStyle name="Heading 3 13 4 4" xfId="1353" xr:uid="{6F3A40D5-6F47-4F17-B09A-A8B3E37BA190}"/>
    <cellStyle name="Heading 3 13 4 4 2" xfId="1354" xr:uid="{1F6D2463-A09F-4208-8AAF-55099E787ECE}"/>
    <cellStyle name="Heading 3 13 5" xfId="1355" xr:uid="{E5DE2846-124D-4961-8FB7-E0A195D21A6E}"/>
    <cellStyle name="Heading 3 13 5 2" xfId="1356" xr:uid="{B885D0F9-7091-4C82-AF6B-BCA0538B468A}"/>
    <cellStyle name="Heading 3 13 5 2 2" xfId="1357" xr:uid="{79603E97-816C-4766-9DBA-2EFBF62605CD}"/>
    <cellStyle name="Heading 3 13 5 3" xfId="1358" xr:uid="{0F58EC22-6C63-4BEF-9FC0-A747887A2606}"/>
    <cellStyle name="Heading 3 13 5 3 2" xfId="1359" xr:uid="{E85EFCD0-96D3-43F6-8A32-150EF498EC61}"/>
    <cellStyle name="Heading 3 13 5 4" xfId="1360" xr:uid="{A3F4DCA6-6923-48FE-8BA7-534804FB1385}"/>
    <cellStyle name="Heading 3 13 5 4 2" xfId="1361" xr:uid="{1FF2A622-8F48-4846-AB76-852DFAC5CE84}"/>
    <cellStyle name="Heading 3 13 6" xfId="1362" xr:uid="{5DB4C486-A726-434A-9E25-E7F163DDB1C4}"/>
    <cellStyle name="Heading 3 13 6 2" xfId="1363" xr:uid="{36437973-E93F-49BD-9E60-42D17E1277BE}"/>
    <cellStyle name="Heading 3 13 6 2 2" xfId="1364" xr:uid="{637B68EA-21C0-400F-B097-8FF21B2A1CEB}"/>
    <cellStyle name="Heading 3 13 6 3" xfId="1365" xr:uid="{442CCF67-4E41-410A-AF13-B6A3CD6663A5}"/>
    <cellStyle name="Heading 3 13 6 3 2" xfId="1366" xr:uid="{AABBEA74-70CE-4320-B3A4-AE0EEF5EA285}"/>
    <cellStyle name="Heading 3 13 6 4" xfId="1367" xr:uid="{0319B3B1-A26E-4D16-AA9A-7BB07FBA873E}"/>
    <cellStyle name="Heading 3 13 6 4 2" xfId="1368" xr:uid="{C224126F-3BAE-4B85-A1CC-3B5083EFA5F1}"/>
    <cellStyle name="Heading 3 13 7" xfId="1369" xr:uid="{47D08A2B-64BF-465A-9440-39037412A318}"/>
    <cellStyle name="Heading 3 13 7 2" xfId="1370" xr:uid="{A1554F58-E42E-4525-AC27-18EFC6EFB0F5}"/>
    <cellStyle name="Heading 3 13 7 2 2" xfId="1371" xr:uid="{4E682F7D-BF46-49E5-91D7-E39475C180C7}"/>
    <cellStyle name="Heading 3 13 7 3" xfId="1372" xr:uid="{3B02A1A4-4FE4-480A-9DA7-CA9093EF9E94}"/>
    <cellStyle name="Heading 3 13 7 3 2" xfId="1373" xr:uid="{09B08F19-7DB9-436B-A5D3-C76DC09055F2}"/>
    <cellStyle name="Heading 3 13 7 4" xfId="1374" xr:uid="{A9F07E45-40CB-4852-80B5-9BB38AF64C69}"/>
    <cellStyle name="Heading 3 13 7 4 2" xfId="1375" xr:uid="{3EB5ABB2-ECB3-498F-8AEF-796ACA9793EA}"/>
    <cellStyle name="Heading 3 13 8" xfId="1376" xr:uid="{5AC6C414-BCB2-485F-AE24-A8B7F744DD59}"/>
    <cellStyle name="Heading 3 13 8 2" xfId="1377" xr:uid="{034662F8-CCA5-4C27-8E86-E40897E7BB26}"/>
    <cellStyle name="Heading 3 13 8 2 2" xfId="1378" xr:uid="{42D89573-9CFD-4D3E-804B-274BC5330C17}"/>
    <cellStyle name="Heading 3 13 8 3" xfId="1379" xr:uid="{682EC987-F635-42DF-B650-F5BA7288663D}"/>
    <cellStyle name="Heading 3 13 8 3 2" xfId="1380" xr:uid="{9A754362-8A31-424E-A12E-90707CC03BC2}"/>
    <cellStyle name="Heading 3 13 8 4" xfId="1381" xr:uid="{556C26A7-2251-4C1F-8DDD-F188BB934E86}"/>
    <cellStyle name="Heading 3 13 8 4 2" xfId="1382" xr:uid="{FED44CCD-ABA0-47F9-A502-10570E4093C5}"/>
    <cellStyle name="Heading 3 13 9" xfId="1383" xr:uid="{11BA6A00-1F14-4EB1-B9F7-3BF580828A40}"/>
    <cellStyle name="Heading 3 13 9 2" xfId="1384" xr:uid="{934F2571-9673-4618-B54D-972F1BF680B5}"/>
    <cellStyle name="Heading 3 13 9 2 2" xfId="1385" xr:uid="{2E4C17FF-8183-4313-8756-33AB1A722D1D}"/>
    <cellStyle name="Heading 3 13 9 3" xfId="1386" xr:uid="{0251E604-0AE3-44D6-9DF2-5A95E6474F16}"/>
    <cellStyle name="Heading 3 13 9 3 2" xfId="1387" xr:uid="{B49E3CC3-B0E1-45A3-A89F-7855B342020F}"/>
    <cellStyle name="Heading 3 13 9 4" xfId="1388" xr:uid="{C9D31CEA-4133-4903-84B8-CEE5AC0E32B8}"/>
    <cellStyle name="Heading 3 13 9 4 2" xfId="1389" xr:uid="{8191AD02-8E0C-484E-A569-B309F62C6E08}"/>
    <cellStyle name="Heading 3 14" xfId="1390" xr:uid="{4EFC9D49-5039-4363-B03D-F3A3875E2153}"/>
    <cellStyle name="Heading 3 14 10" xfId="1391" xr:uid="{7C05F60B-F07A-45C3-8E32-92CE901862BB}"/>
    <cellStyle name="Heading 3 14 10 2" xfId="1392" xr:uid="{29EF72EC-08F1-4076-B955-A54AC69EC0CC}"/>
    <cellStyle name="Heading 3 14 10 2 2" xfId="1393" xr:uid="{9D27E398-1C51-4C0E-9FFD-81779A21BCD9}"/>
    <cellStyle name="Heading 3 14 10 3" xfId="1394" xr:uid="{F9A67A0F-2700-408F-8508-9F538AEF4069}"/>
    <cellStyle name="Heading 3 14 10 3 2" xfId="1395" xr:uid="{9ED43B97-74DF-4868-8C66-5A7286C44021}"/>
    <cellStyle name="Heading 3 14 10 4" xfId="1396" xr:uid="{FBC0D461-1ADD-40CC-9427-502CD6AD7B91}"/>
    <cellStyle name="Heading 3 14 10 4 2" xfId="1397" xr:uid="{015D1A7C-7756-4C25-B546-0416D0F0AB9D}"/>
    <cellStyle name="Heading 3 14 11" xfId="1398" xr:uid="{B04454E7-4114-4FB5-96F7-822F836BB226}"/>
    <cellStyle name="Heading 3 14 11 2" xfId="1399" xr:uid="{82E0CC62-1DFA-43F9-A2D9-44EF6657385E}"/>
    <cellStyle name="Heading 3 14 11 2 2" xfId="1400" xr:uid="{2346A805-7041-4260-BF0A-919BA391EA64}"/>
    <cellStyle name="Heading 3 14 11 3" xfId="1401" xr:uid="{8F9A5742-9417-429F-AE85-51C51B0790F3}"/>
    <cellStyle name="Heading 3 14 11 3 2" xfId="1402" xr:uid="{220DF222-BD1C-4F6B-AB88-F8F0F4CC8241}"/>
    <cellStyle name="Heading 3 14 11 4" xfId="1403" xr:uid="{70CDF861-0213-4671-95DB-3F9C2F17D2CC}"/>
    <cellStyle name="Heading 3 14 11 4 2" xfId="1404" xr:uid="{528BBEC6-906F-4D65-8183-5CDA5C1C327B}"/>
    <cellStyle name="Heading 3 14 12" xfId="1405" xr:uid="{E6F5C3F5-E360-46E1-92E0-30C5507533FE}"/>
    <cellStyle name="Heading 3 14 12 2" xfId="1406" xr:uid="{2CEB0DCC-D057-453D-ADF2-F596ACF805AD}"/>
    <cellStyle name="Heading 3 14 12 2 2" xfId="1407" xr:uid="{DB4ADD0E-5D7F-4B8E-A901-97F55BD97A4A}"/>
    <cellStyle name="Heading 3 14 12 3" xfId="1408" xr:uid="{86D0BF5B-83C4-4B3D-B475-F13C602D6B01}"/>
    <cellStyle name="Heading 3 14 12 3 2" xfId="1409" xr:uid="{FED1B266-899A-40E2-A939-01C5E25632A4}"/>
    <cellStyle name="Heading 3 14 12 4" xfId="1410" xr:uid="{0577889E-55F3-45E0-A093-D16E00E6206C}"/>
    <cellStyle name="Heading 3 14 12 4 2" xfId="1411" xr:uid="{C9126B9F-F2E9-4BDE-8C18-6896D55CDDD9}"/>
    <cellStyle name="Heading 3 14 13" xfId="1412" xr:uid="{D921E82C-D34D-4537-8140-31C774E1B76F}"/>
    <cellStyle name="Heading 3 14 13 2" xfId="1413" xr:uid="{B8F2888A-C811-4DFE-9A9A-FA19C70DF694}"/>
    <cellStyle name="Heading 3 14 13 2 2" xfId="1414" xr:uid="{7E7AD57A-6D07-4445-843C-443FEAB97187}"/>
    <cellStyle name="Heading 3 14 13 3" xfId="1415" xr:uid="{4AA44A76-2C2E-4F7F-BE0B-4AB62B6736C8}"/>
    <cellStyle name="Heading 3 14 13 3 2" xfId="1416" xr:uid="{E990B72E-7D32-4502-9BE2-9AA7DD4CB402}"/>
    <cellStyle name="Heading 3 14 13 4" xfId="1417" xr:uid="{78162A27-C86D-495F-84E4-502B35D7BF8A}"/>
    <cellStyle name="Heading 3 14 13 4 2" xfId="1418" xr:uid="{A6015AAE-5DA2-487A-AB7E-3EEDDBAB3A1E}"/>
    <cellStyle name="Heading 3 14 14" xfId="1419" xr:uid="{E92E9AEF-E375-4188-A166-7077FE0CD68A}"/>
    <cellStyle name="Heading 3 14 14 2" xfId="1420" xr:uid="{078C2FB1-7B63-427C-AA29-2362BD730586}"/>
    <cellStyle name="Heading 3 14 14 2 2" xfId="1421" xr:uid="{AAA15FC8-E6E2-4B55-AD1F-1973681046FD}"/>
    <cellStyle name="Heading 3 14 14 3" xfId="1422" xr:uid="{73E0FC64-2370-4F3C-8806-C4F121FFA83C}"/>
    <cellStyle name="Heading 3 14 14 3 2" xfId="1423" xr:uid="{C8433A1D-E1AD-48B1-9428-C1BAD538570A}"/>
    <cellStyle name="Heading 3 14 14 4" xfId="1424" xr:uid="{E9106CCE-9407-423F-B6AF-D70065AB0725}"/>
    <cellStyle name="Heading 3 14 14 4 2" xfId="1425" xr:uid="{B0C2E462-6738-41F7-B35A-A9F36CF6BB21}"/>
    <cellStyle name="Heading 3 14 15" xfId="1426" xr:uid="{95ED9B9B-E037-40E5-88C2-1B47933FB81A}"/>
    <cellStyle name="Heading 3 14 15 2" xfId="1427" xr:uid="{B9851AB8-485F-407C-8E9C-9495F09B1A22}"/>
    <cellStyle name="Heading 3 14 15 2 2" xfId="1428" xr:uid="{F9A89C2D-8480-4FD0-9621-B5A747D56ED1}"/>
    <cellStyle name="Heading 3 14 15 3" xfId="1429" xr:uid="{B6E31EF9-3F25-4FBA-ACFF-10694761465B}"/>
    <cellStyle name="Heading 3 14 15 3 2" xfId="1430" xr:uid="{D089AB62-4414-43BF-808E-2586530DFB6B}"/>
    <cellStyle name="Heading 3 14 15 4" xfId="1431" xr:uid="{DB5C8D50-1FAC-4628-B807-37666A8BED0E}"/>
    <cellStyle name="Heading 3 14 15 4 2" xfId="1432" xr:uid="{FC08F77C-B463-4098-8CC3-F93457399824}"/>
    <cellStyle name="Heading 3 14 16" xfId="1433" xr:uid="{AA425DD0-3B5C-451A-8D63-B39338806179}"/>
    <cellStyle name="Heading 3 14 16 2" xfId="1434" xr:uid="{FB4D4875-0562-4243-9CDF-DD03491D1933}"/>
    <cellStyle name="Heading 3 14 17" xfId="1435" xr:uid="{46CD405B-2331-4A54-A689-247006E36797}"/>
    <cellStyle name="Heading 3 14 17 2" xfId="1436" xr:uid="{5A6AAAB0-10D3-4BBB-912F-58980322F714}"/>
    <cellStyle name="Heading 3 14 18" xfId="1437" xr:uid="{21228232-5A1E-4360-8436-844ADD3C7089}"/>
    <cellStyle name="Heading 3 14 18 2" xfId="1438" xr:uid="{DD8B9484-1CFB-4BB1-9E97-DEFC5D94C493}"/>
    <cellStyle name="Heading 3 14 19" xfId="1439" xr:uid="{3DA1D477-3257-4E31-838F-4EC6601BD173}"/>
    <cellStyle name="Heading 3 14 2" xfId="1440" xr:uid="{41EA8C52-0CB7-4C20-AA76-64DD3F285E92}"/>
    <cellStyle name="Heading 3 14 2 2" xfId="1441" xr:uid="{00091EAA-97B1-4EA4-9089-406093979890}"/>
    <cellStyle name="Heading 3 14 2 2 2" xfId="1442" xr:uid="{7893FD01-5E68-4E88-AA00-BED966B9E390}"/>
    <cellStyle name="Heading 3 14 2 3" xfId="1443" xr:uid="{816CC4A9-66A6-4035-91BB-30B90D9F6085}"/>
    <cellStyle name="Heading 3 14 2 3 2" xfId="1444" xr:uid="{9F8AE73A-DE3B-40E2-A12E-379E9AA25F78}"/>
    <cellStyle name="Heading 3 14 2 4" xfId="1445" xr:uid="{10BB0478-245F-4B21-B46F-46B5116CA17D}"/>
    <cellStyle name="Heading 3 14 2 4 2" xfId="1446" xr:uid="{D7E4F316-D297-47C9-9F72-A77271FA4EB6}"/>
    <cellStyle name="Heading 3 14 20" xfId="1447" xr:uid="{A6CA1F08-56D6-4747-98FE-6AB225B4B7A4}"/>
    <cellStyle name="Heading 3 14 21" xfId="1448" xr:uid="{4E447F38-C9D2-420B-AB6F-F5FD7B5A943B}"/>
    <cellStyle name="Heading 3 14 22" xfId="1449" xr:uid="{FF996222-A4B5-428A-BECF-2B2571D82FDE}"/>
    <cellStyle name="Heading 3 14 23" xfId="1450" xr:uid="{05B25E31-9071-4FEC-8A12-3DADAA72EC35}"/>
    <cellStyle name="Heading 3 14 24" xfId="1451" xr:uid="{1B18B8F9-A621-40C5-BCF5-AE26AA017273}"/>
    <cellStyle name="Heading 3 14 25" xfId="1452" xr:uid="{1A6E6845-13E0-4329-ACF5-C7BBBB5D9396}"/>
    <cellStyle name="Heading 3 14 3" xfId="1453" xr:uid="{A8E376F1-4131-4937-8A54-AFDE7626CF09}"/>
    <cellStyle name="Heading 3 14 3 2" xfId="1454" xr:uid="{5599C3B8-5295-48C7-89CB-7489BE7264DF}"/>
    <cellStyle name="Heading 3 14 3 2 2" xfId="1455" xr:uid="{EFFA70B4-1F5A-49F1-A2E5-ADB6F191DCAA}"/>
    <cellStyle name="Heading 3 14 3 3" xfId="1456" xr:uid="{C20B86A6-752C-4F14-96E1-2F4FF32A3722}"/>
    <cellStyle name="Heading 3 14 3 3 2" xfId="1457" xr:uid="{A736D047-D85F-45D7-9CC2-D3558F76FA8D}"/>
    <cellStyle name="Heading 3 14 3 4" xfId="1458" xr:uid="{4C48FEBD-7DA3-4D0A-8A58-290CC245D52D}"/>
    <cellStyle name="Heading 3 14 3 4 2" xfId="1459" xr:uid="{695A547C-7356-491A-884B-524C077A34D1}"/>
    <cellStyle name="Heading 3 14 4" xfId="1460" xr:uid="{3244C5C7-F153-407A-91C9-CEA729201BE2}"/>
    <cellStyle name="Heading 3 14 4 2" xfId="1461" xr:uid="{903E638D-8B62-4F7D-9DFE-64B67F66E46A}"/>
    <cellStyle name="Heading 3 14 4 2 2" xfId="1462" xr:uid="{104B431D-D8D0-41D8-ACCE-D2B76B1D069E}"/>
    <cellStyle name="Heading 3 14 4 3" xfId="1463" xr:uid="{EC563BBB-2D13-4B1D-925B-B77B2C095999}"/>
    <cellStyle name="Heading 3 14 4 3 2" xfId="1464" xr:uid="{C28D9CC5-083A-4547-8532-2F32055C6EA7}"/>
    <cellStyle name="Heading 3 14 4 4" xfId="1465" xr:uid="{727073FA-53F9-4A7B-92A3-8B7B20F81BDF}"/>
    <cellStyle name="Heading 3 14 4 4 2" xfId="1466" xr:uid="{A26EDDC1-186A-4C6D-B3A0-048786D202D7}"/>
    <cellStyle name="Heading 3 14 5" xfId="1467" xr:uid="{A6A0D76A-9E71-4BB5-B853-8657E87D4156}"/>
    <cellStyle name="Heading 3 14 5 2" xfId="1468" xr:uid="{3A040205-5276-45AA-BA2C-8760F372D779}"/>
    <cellStyle name="Heading 3 14 5 2 2" xfId="1469" xr:uid="{8972AC1C-475C-477E-9EBA-AA2CB43F1619}"/>
    <cellStyle name="Heading 3 14 5 3" xfId="1470" xr:uid="{A99AEAD6-706D-4525-9801-5B23DE5E0D94}"/>
    <cellStyle name="Heading 3 14 5 3 2" xfId="1471" xr:uid="{2E95F875-0FB3-4CF6-9B23-5A43642CE0CE}"/>
    <cellStyle name="Heading 3 14 5 4" xfId="1472" xr:uid="{913B1EB0-AC8C-43BA-B623-D6F2B61F60E2}"/>
    <cellStyle name="Heading 3 14 5 4 2" xfId="1473" xr:uid="{758275C1-4E25-4FA3-83D8-471AE55F1176}"/>
    <cellStyle name="Heading 3 14 6" xfId="1474" xr:uid="{D956D78E-9F33-498D-A967-809CD3AA4DA5}"/>
    <cellStyle name="Heading 3 14 6 2" xfId="1475" xr:uid="{B339788C-0530-439B-96C7-2A510BE8E421}"/>
    <cellStyle name="Heading 3 14 6 2 2" xfId="1476" xr:uid="{29B70269-93F6-47D1-8D31-0EA6AC7461AA}"/>
    <cellStyle name="Heading 3 14 6 3" xfId="1477" xr:uid="{CB61BAD3-2663-40FF-90FB-48845B5998AD}"/>
    <cellStyle name="Heading 3 14 6 3 2" xfId="1478" xr:uid="{DF209366-B0D3-4BB7-ADCA-54747EB68741}"/>
    <cellStyle name="Heading 3 14 6 4" xfId="1479" xr:uid="{CA5EF9C4-7E5C-4356-B0EE-B80E27EBACBB}"/>
    <cellStyle name="Heading 3 14 6 4 2" xfId="1480" xr:uid="{72AF4FCF-C1CA-473B-97C3-200982D4974D}"/>
    <cellStyle name="Heading 3 14 7" xfId="1481" xr:uid="{AE361407-9709-466B-B166-D5BED9022CE4}"/>
    <cellStyle name="Heading 3 14 7 2" xfId="1482" xr:uid="{66F769CD-EFA6-4896-99A7-44615587191E}"/>
    <cellStyle name="Heading 3 14 7 2 2" xfId="1483" xr:uid="{4AA68002-41F4-4BC2-A2CD-DDDC5B38A8DB}"/>
    <cellStyle name="Heading 3 14 7 3" xfId="1484" xr:uid="{8F4715A8-3686-41A9-873A-7964255C46F7}"/>
    <cellStyle name="Heading 3 14 7 3 2" xfId="1485" xr:uid="{3C1E2D51-235E-42E8-B576-74CE2A2A0801}"/>
    <cellStyle name="Heading 3 14 7 4" xfId="1486" xr:uid="{8F68C907-7306-41A8-B049-83B2B9D103B2}"/>
    <cellStyle name="Heading 3 14 7 4 2" xfId="1487" xr:uid="{A0A1FF9A-DC0A-48CD-A3C0-41884F924A2D}"/>
    <cellStyle name="Heading 3 14 8" xfId="1488" xr:uid="{AC64B3BB-786A-49AF-A26E-4A83BFEFFB01}"/>
    <cellStyle name="Heading 3 14 8 2" xfId="1489" xr:uid="{A1D8010E-BC95-488E-8CCE-9F9F2E5504D4}"/>
    <cellStyle name="Heading 3 14 8 2 2" xfId="1490" xr:uid="{1CD4DD3B-6B46-4266-9150-961133609A50}"/>
    <cellStyle name="Heading 3 14 8 3" xfId="1491" xr:uid="{E4562971-FD3D-46F4-989C-A581ECE0219D}"/>
    <cellStyle name="Heading 3 14 8 3 2" xfId="1492" xr:uid="{EB50767A-836A-4224-92AB-C0C9BFE85B14}"/>
    <cellStyle name="Heading 3 14 8 4" xfId="1493" xr:uid="{574313F8-A173-41D4-A92B-CBC2B0C1B8F6}"/>
    <cellStyle name="Heading 3 14 8 4 2" xfId="1494" xr:uid="{118451FA-0A46-4403-B013-936649B17169}"/>
    <cellStyle name="Heading 3 14 9" xfId="1495" xr:uid="{CF539756-605B-4D94-A128-CFE9D1ADD177}"/>
    <cellStyle name="Heading 3 14 9 2" xfId="1496" xr:uid="{A5A5E009-3280-4861-9D21-A5B3F7942CC5}"/>
    <cellStyle name="Heading 3 14 9 2 2" xfId="1497" xr:uid="{27C99623-8DDD-4C69-B90B-E7351707B8D6}"/>
    <cellStyle name="Heading 3 14 9 3" xfId="1498" xr:uid="{3CD616D8-D891-4DC8-95B6-D765CE3F0F7F}"/>
    <cellStyle name="Heading 3 14 9 3 2" xfId="1499" xr:uid="{2967FEB2-AED4-4CF4-B2C2-DD249432841B}"/>
    <cellStyle name="Heading 3 14 9 4" xfId="1500" xr:uid="{DAA03959-2EA9-46DF-9D1D-255B3990AE91}"/>
    <cellStyle name="Heading 3 14 9 4 2" xfId="1501" xr:uid="{61ABCB66-B74B-45B8-8966-5B547638FC4A}"/>
    <cellStyle name="Heading 3 15" xfId="1502" xr:uid="{179E300D-B627-44CF-9F11-6CF13C2D5F64}"/>
    <cellStyle name="Heading 3 15 10" xfId="1503" xr:uid="{3E1C6341-9D58-4E4D-B6B3-D823809EE867}"/>
    <cellStyle name="Heading 3 15 10 2" xfId="1504" xr:uid="{31A013A6-0FE1-4286-9DF5-8585457D09F5}"/>
    <cellStyle name="Heading 3 15 10 2 2" xfId="1505" xr:uid="{E84942D8-4F50-44F5-8F36-7777540477B0}"/>
    <cellStyle name="Heading 3 15 10 3" xfId="1506" xr:uid="{841C2FF8-7CF2-4DF9-8C0B-8DB7CB60DEE6}"/>
    <cellStyle name="Heading 3 15 10 3 2" xfId="1507" xr:uid="{BA0094CB-39EE-4E0A-B48F-D1FA00898EDE}"/>
    <cellStyle name="Heading 3 15 10 4" xfId="1508" xr:uid="{42E748EE-0535-4589-A1E9-58E8CE6A2A7A}"/>
    <cellStyle name="Heading 3 15 10 4 2" xfId="1509" xr:uid="{71F8590A-54D1-4059-902E-BDFD6F58D7CA}"/>
    <cellStyle name="Heading 3 15 11" xfId="1510" xr:uid="{4FADFBF1-2A8E-4EF0-A113-674AE0936B4D}"/>
    <cellStyle name="Heading 3 15 11 2" xfId="1511" xr:uid="{90F9B644-AA2E-48DD-A8EB-E34BABDC974F}"/>
    <cellStyle name="Heading 3 15 11 2 2" xfId="1512" xr:uid="{84A30FB0-AF2C-4C0F-8273-E427C8858285}"/>
    <cellStyle name="Heading 3 15 11 3" xfId="1513" xr:uid="{3D05590F-D342-4E6E-B04C-A8581D391E91}"/>
    <cellStyle name="Heading 3 15 11 3 2" xfId="1514" xr:uid="{97B25AA5-2961-4552-A193-2616B289C9CF}"/>
    <cellStyle name="Heading 3 15 11 4" xfId="1515" xr:uid="{C56DACFC-0872-4B05-BE24-9A45CC08C443}"/>
    <cellStyle name="Heading 3 15 11 4 2" xfId="1516" xr:uid="{CD1B61F9-1B2D-411B-A7C9-6141F62FFDEE}"/>
    <cellStyle name="Heading 3 15 12" xfId="1517" xr:uid="{663C5F25-DC0B-4F10-859E-45DA6B8633CE}"/>
    <cellStyle name="Heading 3 15 12 2" xfId="1518" xr:uid="{EF290D3C-87C9-416F-92DD-17B18DB34941}"/>
    <cellStyle name="Heading 3 15 12 2 2" xfId="1519" xr:uid="{0DFEDD0D-10B9-4CCD-8F4D-D7570EE10CFA}"/>
    <cellStyle name="Heading 3 15 12 3" xfId="1520" xr:uid="{D3E4C9CD-2FAA-4209-82B0-0C50F3BE21D5}"/>
    <cellStyle name="Heading 3 15 12 3 2" xfId="1521" xr:uid="{BBE902A2-D49C-4B01-97EA-564905F155D4}"/>
    <cellStyle name="Heading 3 15 12 4" xfId="1522" xr:uid="{0D0EE482-B272-4C4D-BD13-E5F6D86498C2}"/>
    <cellStyle name="Heading 3 15 12 4 2" xfId="1523" xr:uid="{4D0CDC6B-75EA-4F6D-A31D-9F5C74282954}"/>
    <cellStyle name="Heading 3 15 13" xfId="1524" xr:uid="{985B5AD2-00CC-429F-A773-16F09CABEF8B}"/>
    <cellStyle name="Heading 3 15 13 2" xfId="1525" xr:uid="{1AF7C8C2-BA52-46B3-8B69-C51B9D73E154}"/>
    <cellStyle name="Heading 3 15 13 2 2" xfId="1526" xr:uid="{774ADF53-1D83-403D-8005-50B62FD56660}"/>
    <cellStyle name="Heading 3 15 13 3" xfId="1527" xr:uid="{1878A6C0-ECF2-421B-A8A6-1B0BD3F479FD}"/>
    <cellStyle name="Heading 3 15 13 3 2" xfId="1528" xr:uid="{66122372-FEE8-41AF-BA2A-E526D75827BE}"/>
    <cellStyle name="Heading 3 15 13 4" xfId="1529" xr:uid="{D6529608-7511-4090-936C-9C5FBB9A51A5}"/>
    <cellStyle name="Heading 3 15 13 4 2" xfId="1530" xr:uid="{ADCD5735-1FEF-4089-9A92-718DAB277D73}"/>
    <cellStyle name="Heading 3 15 14" xfId="1531" xr:uid="{6090B852-B49B-4DC7-9501-8EB5B184CEDA}"/>
    <cellStyle name="Heading 3 15 14 2" xfId="1532" xr:uid="{87E0132F-AAA4-41F4-906C-3D803F8A5B3C}"/>
    <cellStyle name="Heading 3 15 14 2 2" xfId="1533" xr:uid="{A44084D4-A6C4-4039-B256-8ABE880262A6}"/>
    <cellStyle name="Heading 3 15 14 3" xfId="1534" xr:uid="{217F0341-4694-4EC9-9417-8608A8E90E84}"/>
    <cellStyle name="Heading 3 15 14 3 2" xfId="1535" xr:uid="{BD5AA092-002B-449F-8C27-14BA6500CABA}"/>
    <cellStyle name="Heading 3 15 14 4" xfId="1536" xr:uid="{71BCEABC-2EAC-4F5C-A2FD-9852548D4B8B}"/>
    <cellStyle name="Heading 3 15 14 4 2" xfId="1537" xr:uid="{6D876F61-39E5-4D6D-8529-E02C573614AE}"/>
    <cellStyle name="Heading 3 15 15" xfId="1538" xr:uid="{EEB09218-1FC2-48CD-B0EE-DF33AEC32E34}"/>
    <cellStyle name="Heading 3 15 15 2" xfId="1539" xr:uid="{16442964-7707-4933-BFEB-BAFC38F5740E}"/>
    <cellStyle name="Heading 3 15 15 2 2" xfId="1540" xr:uid="{B68AFD56-2439-4073-B44B-F49D1E80C930}"/>
    <cellStyle name="Heading 3 15 15 3" xfId="1541" xr:uid="{97F4FF2A-015E-4757-B499-2E487C4F07A6}"/>
    <cellStyle name="Heading 3 15 15 3 2" xfId="1542" xr:uid="{926CCFD9-A0EA-4979-88FA-359D9334BE08}"/>
    <cellStyle name="Heading 3 15 15 4" xfId="1543" xr:uid="{3C297A9E-EDB8-44D5-B78C-59BA7E84780D}"/>
    <cellStyle name="Heading 3 15 15 4 2" xfId="1544" xr:uid="{7077226B-4B0F-499B-A881-CAC946F5B0BE}"/>
    <cellStyle name="Heading 3 15 16" xfId="1545" xr:uid="{662DBE66-1E1C-476A-A97A-31168E0D59D4}"/>
    <cellStyle name="Heading 3 15 16 2" xfId="1546" xr:uid="{AB4FEBF7-4903-4433-897C-976F4AA8BD01}"/>
    <cellStyle name="Heading 3 15 17" xfId="1547" xr:uid="{D8D8A3DC-5BE8-4EA3-BB2E-1E8FD26D944B}"/>
    <cellStyle name="Heading 3 15 17 2" xfId="1548" xr:uid="{FF3CF0E6-861F-40F3-9863-06202F66273C}"/>
    <cellStyle name="Heading 3 15 18" xfId="1549" xr:uid="{A0960788-4E66-476E-87EE-D094B577A114}"/>
    <cellStyle name="Heading 3 15 18 2" xfId="1550" xr:uid="{36B89CD8-B05A-44B5-8876-75AE888ED933}"/>
    <cellStyle name="Heading 3 15 19" xfId="1551" xr:uid="{F9CD5C28-8DF8-47AB-9931-4ABF5F97E0F6}"/>
    <cellStyle name="Heading 3 15 2" xfId="1552" xr:uid="{DC85B0C9-9B37-4EC2-88BB-AC398EE7F484}"/>
    <cellStyle name="Heading 3 15 2 2" xfId="1553" xr:uid="{15533A74-6751-473A-84CD-385B2EF073C4}"/>
    <cellStyle name="Heading 3 15 2 2 2" xfId="1554" xr:uid="{2C951275-5F4C-4313-BBEB-E776F7CB5BF2}"/>
    <cellStyle name="Heading 3 15 2 3" xfId="1555" xr:uid="{3D64C7AC-8130-4F18-AC30-5998ED51BEDA}"/>
    <cellStyle name="Heading 3 15 2 3 2" xfId="1556" xr:uid="{322A259D-C3BF-49EC-9566-12A5EBBE3328}"/>
    <cellStyle name="Heading 3 15 2 4" xfId="1557" xr:uid="{B2EC5AFC-E1B7-4992-A1B7-BA258B365D0A}"/>
    <cellStyle name="Heading 3 15 2 4 2" xfId="1558" xr:uid="{8346C1E0-6E96-4B74-AFC1-6085343477AA}"/>
    <cellStyle name="Heading 3 15 20" xfId="1559" xr:uid="{30FA519B-2D8C-40B5-AA22-9CCD5F640EF2}"/>
    <cellStyle name="Heading 3 15 21" xfId="1560" xr:uid="{1281C5C0-EFDB-41D3-A24D-28678FC9923A}"/>
    <cellStyle name="Heading 3 15 22" xfId="1561" xr:uid="{948FFBAD-074A-47BF-A462-8298569887C7}"/>
    <cellStyle name="Heading 3 15 23" xfId="1562" xr:uid="{F8BA5AA4-9FC0-4AFF-8ABF-7DC964547A97}"/>
    <cellStyle name="Heading 3 15 24" xfId="1563" xr:uid="{1A998700-D6DB-40EB-8428-60B3863EB3F0}"/>
    <cellStyle name="Heading 3 15 25" xfId="1564" xr:uid="{90D7E092-B9A1-4914-9F16-AB1704943C1A}"/>
    <cellStyle name="Heading 3 15 3" xfId="1565" xr:uid="{AC6DF34A-0552-40FE-81AB-D754C8D00B9F}"/>
    <cellStyle name="Heading 3 15 3 2" xfId="1566" xr:uid="{4F01F4FC-9974-4A98-805B-DA1E39F5096B}"/>
    <cellStyle name="Heading 3 15 3 2 2" xfId="1567" xr:uid="{547E8B71-EEA1-4BD5-BD4C-C20222A64AC3}"/>
    <cellStyle name="Heading 3 15 3 3" xfId="1568" xr:uid="{1F474ED0-7AF9-40A9-A7F4-73274EB55367}"/>
    <cellStyle name="Heading 3 15 3 3 2" xfId="1569" xr:uid="{559C0290-D97B-427C-9076-EED5C23223AE}"/>
    <cellStyle name="Heading 3 15 3 4" xfId="1570" xr:uid="{2F60DB79-EAA1-4C82-8227-88B32C9C9843}"/>
    <cellStyle name="Heading 3 15 3 4 2" xfId="1571" xr:uid="{64204BD0-90BB-4692-90FB-2C8C43D5DCD8}"/>
    <cellStyle name="Heading 3 15 4" xfId="1572" xr:uid="{598306CA-5188-4DEA-B861-E4B6D8E12A3C}"/>
    <cellStyle name="Heading 3 15 4 2" xfId="1573" xr:uid="{68FD72C5-2567-4C20-BB68-ED129F2C1A09}"/>
    <cellStyle name="Heading 3 15 4 2 2" xfId="1574" xr:uid="{419E0629-3A83-4053-A0AA-10A2F1EBA981}"/>
    <cellStyle name="Heading 3 15 4 3" xfId="1575" xr:uid="{2AE46217-7E6A-4247-B2C4-C49A48FA8310}"/>
    <cellStyle name="Heading 3 15 4 3 2" xfId="1576" xr:uid="{5F2E903F-37C8-4BE6-9B7B-85155E6B48B6}"/>
    <cellStyle name="Heading 3 15 4 4" xfId="1577" xr:uid="{D197D4A5-E57C-4492-92FE-25E6D838C7B4}"/>
    <cellStyle name="Heading 3 15 4 4 2" xfId="1578" xr:uid="{DC789D1B-8C5D-423C-810C-41E9CE2E6CA4}"/>
    <cellStyle name="Heading 3 15 5" xfId="1579" xr:uid="{094613AC-F3FD-48B6-B7D6-1BA88F31D180}"/>
    <cellStyle name="Heading 3 15 5 2" xfId="1580" xr:uid="{2FB5E284-87B4-409F-838F-87F0427E818B}"/>
    <cellStyle name="Heading 3 15 5 2 2" xfId="1581" xr:uid="{BA1DBED3-0868-4660-8FF7-F05F2CB58E30}"/>
    <cellStyle name="Heading 3 15 5 3" xfId="1582" xr:uid="{9B0C2EFD-B2D8-430D-8B44-A3EF6284D075}"/>
    <cellStyle name="Heading 3 15 5 3 2" xfId="1583" xr:uid="{DDD07C66-CE1E-4F55-95D9-B38E78910B26}"/>
    <cellStyle name="Heading 3 15 5 4" xfId="1584" xr:uid="{40FC8B89-0B50-45DF-92E5-9750BFB4C135}"/>
    <cellStyle name="Heading 3 15 5 4 2" xfId="1585" xr:uid="{5AB06A8F-3FF5-4E7A-B50C-71B137D8240B}"/>
    <cellStyle name="Heading 3 15 6" xfId="1586" xr:uid="{BFDD2BF4-0E4A-4056-BE57-53CB9730860B}"/>
    <cellStyle name="Heading 3 15 6 2" xfId="1587" xr:uid="{D3F1EB2A-4160-4B72-B536-A6D4F1752C8B}"/>
    <cellStyle name="Heading 3 15 6 2 2" xfId="1588" xr:uid="{AA478152-4204-40FB-BFCC-70A4C30E2CFA}"/>
    <cellStyle name="Heading 3 15 6 3" xfId="1589" xr:uid="{A1F89229-CE3B-4682-A72E-1D70C39986F8}"/>
    <cellStyle name="Heading 3 15 6 3 2" xfId="1590" xr:uid="{E0D46229-27C0-44EB-B70E-1CB3B3F12507}"/>
    <cellStyle name="Heading 3 15 6 4" xfId="1591" xr:uid="{D0835E56-A1F2-4FE1-9508-962E649E4AFD}"/>
    <cellStyle name="Heading 3 15 6 4 2" xfId="1592" xr:uid="{E96DA0B9-8607-45C4-BB2C-423BD1D40F70}"/>
    <cellStyle name="Heading 3 15 7" xfId="1593" xr:uid="{A991AC23-83C5-4248-BE06-EB59D5E50B9B}"/>
    <cellStyle name="Heading 3 15 7 2" xfId="1594" xr:uid="{D8BA89B3-00FD-4240-86BF-2C815C442208}"/>
    <cellStyle name="Heading 3 15 7 2 2" xfId="1595" xr:uid="{A5C47565-2CCA-4F8D-985E-967509E532DD}"/>
    <cellStyle name="Heading 3 15 7 3" xfId="1596" xr:uid="{A49E993A-801E-47FF-9F66-2E1CE727E843}"/>
    <cellStyle name="Heading 3 15 7 3 2" xfId="1597" xr:uid="{A857530D-D785-4FD6-A180-666AEC9D265E}"/>
    <cellStyle name="Heading 3 15 7 4" xfId="1598" xr:uid="{EA830E6F-7578-4734-B464-C347823AFDD2}"/>
    <cellStyle name="Heading 3 15 7 4 2" xfId="1599" xr:uid="{0BB216A9-4CBD-435C-884F-DD5E53D3EC67}"/>
    <cellStyle name="Heading 3 15 8" xfId="1600" xr:uid="{796D4BBD-2457-4E77-BB05-CE698B590751}"/>
    <cellStyle name="Heading 3 15 8 2" xfId="1601" xr:uid="{91A459C7-789C-495D-AE19-5C7C2EC22983}"/>
    <cellStyle name="Heading 3 15 8 2 2" xfId="1602" xr:uid="{E783EFB6-395A-4055-A0C2-01C187FD9AA3}"/>
    <cellStyle name="Heading 3 15 8 3" xfId="1603" xr:uid="{FED965CA-0D6F-472F-9C12-00BAA4AF4D24}"/>
    <cellStyle name="Heading 3 15 8 3 2" xfId="1604" xr:uid="{965B6C41-D28F-41D7-A142-3EB8AFC3DE4A}"/>
    <cellStyle name="Heading 3 15 8 4" xfId="1605" xr:uid="{8B9535C0-912F-40EB-BB04-82EAC37BF03C}"/>
    <cellStyle name="Heading 3 15 8 4 2" xfId="1606" xr:uid="{2033A8A9-B0F0-49D4-91FF-0821966D6194}"/>
    <cellStyle name="Heading 3 15 9" xfId="1607" xr:uid="{C71229A6-22B8-4F1E-B956-D1823061673B}"/>
    <cellStyle name="Heading 3 15 9 2" xfId="1608" xr:uid="{7DD17A78-B530-455A-B457-A248FA1C918B}"/>
    <cellStyle name="Heading 3 15 9 2 2" xfId="1609" xr:uid="{D6DA3094-9AB6-48AD-88F9-A9C5EFF910EC}"/>
    <cellStyle name="Heading 3 15 9 3" xfId="1610" xr:uid="{C53A33BE-3B4D-4A05-8405-FEB0DCE520CE}"/>
    <cellStyle name="Heading 3 15 9 3 2" xfId="1611" xr:uid="{837EA225-48BE-4461-8035-E1EFE51D2246}"/>
    <cellStyle name="Heading 3 15 9 4" xfId="1612" xr:uid="{A18539F4-B63B-46E8-8E56-4C060EA982A4}"/>
    <cellStyle name="Heading 3 15 9 4 2" xfId="1613" xr:uid="{9235BE33-FB87-4CAF-A2DB-71ABD8242F25}"/>
    <cellStyle name="Heading 3 16" xfId="1614" xr:uid="{B77C5FA6-70C5-4476-9A7E-32D17DACDB55}"/>
    <cellStyle name="Heading 3 16 2" xfId="1615" xr:uid="{6CF12276-F877-4E91-9B2A-EDE4A65F26E4}"/>
    <cellStyle name="Heading 3 16 2 2" xfId="1616" xr:uid="{B3CB07FF-7176-4C6B-81C0-363FDF7DB98C}"/>
    <cellStyle name="Heading 3 16 3" xfId="1617" xr:uid="{88623CAA-5071-4C4E-B25E-ABB8AC1B567D}"/>
    <cellStyle name="Heading 3 16 3 2" xfId="1618" xr:uid="{90015EC1-F667-4726-9FB5-9421DDB6A397}"/>
    <cellStyle name="Heading 3 16 4" xfId="1619" xr:uid="{671D3DBF-6A2C-4A82-9815-00D024D1F895}"/>
    <cellStyle name="Heading 3 16 4 2" xfId="1620" xr:uid="{60B0D307-66D1-4881-BF0A-54FE60296B0D}"/>
    <cellStyle name="Heading 3 17" xfId="1621" xr:uid="{A3F2FEAE-487E-4AD3-8ECB-70042BAEDFC6}"/>
    <cellStyle name="Heading 3 17 2" xfId="1622" xr:uid="{076C9A4B-BFFA-49DC-9F8D-EEB0772135B4}"/>
    <cellStyle name="Heading 3 17 2 2" xfId="1623" xr:uid="{302FBBD0-A072-4D40-9101-5F3DA5E696B0}"/>
    <cellStyle name="Heading 3 17 3" xfId="1624" xr:uid="{5B0617D3-1A6D-4678-843F-931368AE22C6}"/>
    <cellStyle name="Heading 3 17 3 2" xfId="1625" xr:uid="{0625C365-0235-4832-955E-A9FC5B3B7DA3}"/>
    <cellStyle name="Heading 3 17 4" xfId="1626" xr:uid="{9487346A-DF9A-41B1-80A5-C69B27BF7A7F}"/>
    <cellStyle name="Heading 3 17 4 2" xfId="1627" xr:uid="{1AC9233A-B121-4A5C-9D90-B4219E136F2A}"/>
    <cellStyle name="Heading 3 18" xfId="1628" xr:uid="{3040C2D3-A41B-4F3B-8A77-25D8CF8713AA}"/>
    <cellStyle name="Heading 3 18 2" xfId="1629" xr:uid="{6FD735B6-B3CE-404A-AE51-C6AA096A444A}"/>
    <cellStyle name="Heading 3 19" xfId="1630" xr:uid="{121AE9CD-B83E-42D4-8B96-D58700690407}"/>
    <cellStyle name="Heading 3 19 2" xfId="1631" xr:uid="{B40C00A6-0221-499A-85C2-DF4F16C00C9F}"/>
    <cellStyle name="Heading 3 2" xfId="1632" xr:uid="{AB3893E2-DD1E-4BA3-8753-9294B1406F62}"/>
    <cellStyle name="Heading 3 2 10" xfId="1633" xr:uid="{4A756D00-B86B-4BBF-B9CE-00BE84DB5B09}"/>
    <cellStyle name="Heading 3 2 10 10" xfId="1634" xr:uid="{764D7207-D48B-4517-8526-285303FCD330}"/>
    <cellStyle name="Heading 3 2 10 10 2" xfId="1635" xr:uid="{BDB60800-1214-40D4-8248-A010F926D89D}"/>
    <cellStyle name="Heading 3 2 10 10 2 2" xfId="1636" xr:uid="{D4A2D636-D515-44EE-A491-6D3A7B34AAF5}"/>
    <cellStyle name="Heading 3 2 10 10 3" xfId="1637" xr:uid="{43806BC7-72A1-44F6-89C7-1AAEE9FFA95A}"/>
    <cellStyle name="Heading 3 2 10 10 3 2" xfId="1638" xr:uid="{6F670892-020E-4A39-A33D-753B874DF109}"/>
    <cellStyle name="Heading 3 2 10 10 4" xfId="1639" xr:uid="{8D314964-6B24-4BE6-A0FE-573C3993C894}"/>
    <cellStyle name="Heading 3 2 10 10 4 2" xfId="1640" xr:uid="{C71E83BE-7451-4C01-A237-F2B150C2A465}"/>
    <cellStyle name="Heading 3 2 10 11" xfId="1641" xr:uid="{DF5F080B-8FC8-4F0C-B1E6-1081C57299D6}"/>
    <cellStyle name="Heading 3 2 10 11 2" xfId="1642" xr:uid="{18FA6281-D2E2-4EB1-A7CA-B113E1AE7CF0}"/>
    <cellStyle name="Heading 3 2 10 11 2 2" xfId="1643" xr:uid="{63AF39D7-746B-4B19-AFA5-928674A39212}"/>
    <cellStyle name="Heading 3 2 10 11 3" xfId="1644" xr:uid="{CD82C7F5-7EB1-4EDC-AE15-7EF1A9DF3CBA}"/>
    <cellStyle name="Heading 3 2 10 11 3 2" xfId="1645" xr:uid="{C9742E42-37C1-45C5-B69E-F1960590F4FB}"/>
    <cellStyle name="Heading 3 2 10 11 4" xfId="1646" xr:uid="{C3620F21-B360-4219-94B8-65C3D81C66BD}"/>
    <cellStyle name="Heading 3 2 10 11 4 2" xfId="1647" xr:uid="{EBE2272C-712E-457A-A9BF-90E96128D243}"/>
    <cellStyle name="Heading 3 2 10 12" xfId="1648" xr:uid="{42E3C9DE-3C35-48D0-99A5-754FF60109C0}"/>
    <cellStyle name="Heading 3 2 10 12 2" xfId="1649" xr:uid="{CCBD00BD-72B8-47DA-8A85-04E04898DA77}"/>
    <cellStyle name="Heading 3 2 10 12 2 2" xfId="1650" xr:uid="{30F50E8D-19A1-4FCA-9BB5-D9D2FF6F5AF4}"/>
    <cellStyle name="Heading 3 2 10 12 3" xfId="1651" xr:uid="{1E642DBE-7089-47C5-AC03-BB40820C3812}"/>
    <cellStyle name="Heading 3 2 10 12 3 2" xfId="1652" xr:uid="{A1B08F4C-78E2-4C40-AEC4-2429F8401B9A}"/>
    <cellStyle name="Heading 3 2 10 12 4" xfId="1653" xr:uid="{195BA143-451F-4EE2-A65C-48944C13A532}"/>
    <cellStyle name="Heading 3 2 10 12 4 2" xfId="1654" xr:uid="{E31F8631-147F-45C4-B054-58DF2D3A228E}"/>
    <cellStyle name="Heading 3 2 10 13" xfId="1655" xr:uid="{430A0AB1-AC39-4A67-8ADE-622FF702E153}"/>
    <cellStyle name="Heading 3 2 10 13 2" xfId="1656" xr:uid="{B6744BA8-3D21-4987-BD6B-284DC0F52A23}"/>
    <cellStyle name="Heading 3 2 10 13 2 2" xfId="1657" xr:uid="{FD03B6AC-BAAE-4BC4-AD86-47F927ECF488}"/>
    <cellStyle name="Heading 3 2 10 13 3" xfId="1658" xr:uid="{8C8228D1-50E6-4881-8559-5B82C265A0FD}"/>
    <cellStyle name="Heading 3 2 10 13 3 2" xfId="1659" xr:uid="{2F8AE8D5-B2F4-4A71-AAC2-D705A63246D3}"/>
    <cellStyle name="Heading 3 2 10 13 4" xfId="1660" xr:uid="{EF95C901-6F36-43A6-B28A-4CF59CE4F260}"/>
    <cellStyle name="Heading 3 2 10 13 4 2" xfId="1661" xr:uid="{716A2393-356F-4D1D-A5FD-CAF2C3F97796}"/>
    <cellStyle name="Heading 3 2 10 14" xfId="1662" xr:uid="{C0B59EEC-E286-47C7-A0D9-F9A26C5B06FD}"/>
    <cellStyle name="Heading 3 2 10 14 2" xfId="1663" xr:uid="{2DD8A984-DE8B-4EF0-A5BB-459FCF87E543}"/>
    <cellStyle name="Heading 3 2 10 14 2 2" xfId="1664" xr:uid="{FE5BED00-E2E3-42DE-A089-0A46C3344B20}"/>
    <cellStyle name="Heading 3 2 10 14 3" xfId="1665" xr:uid="{475DD00D-97F5-42CF-80C2-FB8D63FA9E94}"/>
    <cellStyle name="Heading 3 2 10 14 3 2" xfId="1666" xr:uid="{747570AD-98BA-41CD-9C4F-19D8090D54AD}"/>
    <cellStyle name="Heading 3 2 10 14 4" xfId="1667" xr:uid="{034DADF7-6AA2-4621-AE69-C01063A8DAF6}"/>
    <cellStyle name="Heading 3 2 10 14 4 2" xfId="1668" xr:uid="{E28C4630-8162-4112-A3D7-EA28778CC1B5}"/>
    <cellStyle name="Heading 3 2 10 15" xfId="1669" xr:uid="{20495630-6642-4F98-83E5-8D2628A08C3E}"/>
    <cellStyle name="Heading 3 2 10 15 2" xfId="1670" xr:uid="{B5778D45-0F56-44CB-B16F-BF916B1CA16D}"/>
    <cellStyle name="Heading 3 2 10 15 2 2" xfId="1671" xr:uid="{1F70BBAD-B5EC-4F40-9F06-37C2D6111952}"/>
    <cellStyle name="Heading 3 2 10 15 3" xfId="1672" xr:uid="{2065C84F-FFF0-499D-92D4-92F4F802197E}"/>
    <cellStyle name="Heading 3 2 10 15 3 2" xfId="1673" xr:uid="{4D3A0BAC-38F3-461D-8BD7-D0284DC5F025}"/>
    <cellStyle name="Heading 3 2 10 15 4" xfId="1674" xr:uid="{0D8DC22B-A67E-4374-96C0-05BE22928D63}"/>
    <cellStyle name="Heading 3 2 10 15 4 2" xfId="1675" xr:uid="{20ABA548-C1A1-422C-84C4-CBB2D7F2380E}"/>
    <cellStyle name="Heading 3 2 10 16" xfId="1676" xr:uid="{A0F4F0A5-21AB-4683-89ED-C473DD9DF61E}"/>
    <cellStyle name="Heading 3 2 10 16 2" xfId="1677" xr:uid="{416022C0-A98F-42F3-BA72-755CBA9C6C1E}"/>
    <cellStyle name="Heading 3 2 10 17" xfId="1678" xr:uid="{BBD26700-69D5-4E4D-BD8F-60386582861E}"/>
    <cellStyle name="Heading 3 2 10 17 2" xfId="1679" xr:uid="{685046AD-649F-4F42-A501-90D07DA81D74}"/>
    <cellStyle name="Heading 3 2 10 18" xfId="1680" xr:uid="{9CD3D70C-C459-4F05-8306-4941C954E8FF}"/>
    <cellStyle name="Heading 3 2 10 18 2" xfId="1681" xr:uid="{2C94E56F-CDBB-42E5-9CEE-3E2E1B9EB4D4}"/>
    <cellStyle name="Heading 3 2 10 19" xfId="1682" xr:uid="{9D9B528E-AD8D-4205-8CC8-DCCA1026F693}"/>
    <cellStyle name="Heading 3 2 10 2" xfId="1683" xr:uid="{10444F44-FEBE-4835-93B5-7DA7A95FFC44}"/>
    <cellStyle name="Heading 3 2 10 2 2" xfId="1684" xr:uid="{A0E104B6-E44F-45C8-83F1-77C0978A2C3D}"/>
    <cellStyle name="Heading 3 2 10 2 2 2" xfId="1685" xr:uid="{CE6A15FD-1450-4302-A9EE-2E7F985972AF}"/>
    <cellStyle name="Heading 3 2 10 2 3" xfId="1686" xr:uid="{50E373AE-CF10-4CC5-A789-BDC1103F2C54}"/>
    <cellStyle name="Heading 3 2 10 2 3 2" xfId="1687" xr:uid="{74214330-DD37-44C6-A455-CADAB3C9B3A6}"/>
    <cellStyle name="Heading 3 2 10 2 4" xfId="1688" xr:uid="{BDBE64C8-EFCF-4555-A69C-9811250FAD79}"/>
    <cellStyle name="Heading 3 2 10 2 4 2" xfId="1689" xr:uid="{697F0016-D64F-43E3-8D2E-FE54281EC3D7}"/>
    <cellStyle name="Heading 3 2 10 20" xfId="1690" xr:uid="{B16C71E3-181C-4898-B887-DD2670CF46FD}"/>
    <cellStyle name="Heading 3 2 10 21" xfId="1691" xr:uid="{21D300FB-7772-40B4-819B-9D2F5735919D}"/>
    <cellStyle name="Heading 3 2 10 22" xfId="1692" xr:uid="{479B8029-EAC1-4A1A-86FB-59B226E38B42}"/>
    <cellStyle name="Heading 3 2 10 23" xfId="1693" xr:uid="{C37BB9B9-6173-4A7B-A76C-A4B502EF01C8}"/>
    <cellStyle name="Heading 3 2 10 24" xfId="1694" xr:uid="{F1CFC4F2-C8F0-4FCE-BB69-B4F30C480EC5}"/>
    <cellStyle name="Heading 3 2 10 25" xfId="1695" xr:uid="{55FB32D8-4B50-432C-9727-311F8F19D764}"/>
    <cellStyle name="Heading 3 2 10 3" xfId="1696" xr:uid="{8945BB57-1E2B-4D48-AF45-11F3042DF902}"/>
    <cellStyle name="Heading 3 2 10 3 2" xfId="1697" xr:uid="{C046F5F6-6CD7-42E2-9347-A4769FA67D2E}"/>
    <cellStyle name="Heading 3 2 10 3 2 2" xfId="1698" xr:uid="{97E45E31-F34D-4DC5-9E5F-369C715CD74E}"/>
    <cellStyle name="Heading 3 2 10 3 3" xfId="1699" xr:uid="{31538C4D-A7A3-4839-B6FF-0519A0CD7CCD}"/>
    <cellStyle name="Heading 3 2 10 3 3 2" xfId="1700" xr:uid="{D0BAA927-077C-4187-A33F-CBC6240357F1}"/>
    <cellStyle name="Heading 3 2 10 3 4" xfId="1701" xr:uid="{05C84BB2-46B2-4C0C-B104-1DB40A71842B}"/>
    <cellStyle name="Heading 3 2 10 3 4 2" xfId="1702" xr:uid="{0349D7F3-B19C-4009-920A-534D4B494B2B}"/>
    <cellStyle name="Heading 3 2 10 4" xfId="1703" xr:uid="{37AA3A9A-9E70-41D9-8A7A-DCAC4F0F3FAF}"/>
    <cellStyle name="Heading 3 2 10 4 2" xfId="1704" xr:uid="{4D20C497-AD3F-42B0-8AC3-A357E81F9B15}"/>
    <cellStyle name="Heading 3 2 10 4 2 2" xfId="1705" xr:uid="{D23495A3-1BFD-4354-9361-E482C0E29D68}"/>
    <cellStyle name="Heading 3 2 10 4 3" xfId="1706" xr:uid="{99F9F7C2-229A-4B19-8620-9D26E7ED392B}"/>
    <cellStyle name="Heading 3 2 10 4 3 2" xfId="1707" xr:uid="{E6E8DDD3-C801-4671-9946-6C3CD954118A}"/>
    <cellStyle name="Heading 3 2 10 4 4" xfId="1708" xr:uid="{C0AFF1B0-794B-486D-B7C8-7E850155F4C6}"/>
    <cellStyle name="Heading 3 2 10 4 4 2" xfId="1709" xr:uid="{BF2ED102-A0F9-4AAF-8D5D-38EA5BD95DCB}"/>
    <cellStyle name="Heading 3 2 10 5" xfId="1710" xr:uid="{9811E50E-73A2-4F55-854F-56F1760DC354}"/>
    <cellStyle name="Heading 3 2 10 5 2" xfId="1711" xr:uid="{D26E88AB-2C2A-4A9C-A65E-76E21530AD24}"/>
    <cellStyle name="Heading 3 2 10 5 2 2" xfId="1712" xr:uid="{0DAAE851-E279-4453-9CDD-E607371BD66A}"/>
    <cellStyle name="Heading 3 2 10 5 3" xfId="1713" xr:uid="{2CED2568-CC9B-4AA1-A85D-34BA55C38731}"/>
    <cellStyle name="Heading 3 2 10 5 3 2" xfId="1714" xr:uid="{518710A7-3A71-4BB9-A368-8AD384FE51BC}"/>
    <cellStyle name="Heading 3 2 10 5 4" xfId="1715" xr:uid="{A6D2A749-8E9F-42D3-80E1-38198A483BBC}"/>
    <cellStyle name="Heading 3 2 10 5 4 2" xfId="1716" xr:uid="{18BC4F7D-D068-46EB-802F-FD90556A6931}"/>
    <cellStyle name="Heading 3 2 10 6" xfId="1717" xr:uid="{EF6DBDAF-CD6F-4D49-99CF-A86346D90749}"/>
    <cellStyle name="Heading 3 2 10 6 2" xfId="1718" xr:uid="{B6A485FA-5733-4228-A2DB-3DF441D23CE3}"/>
    <cellStyle name="Heading 3 2 10 6 2 2" xfId="1719" xr:uid="{0C7743E1-16FF-45ED-BD08-C215BE9EC01A}"/>
    <cellStyle name="Heading 3 2 10 6 3" xfId="1720" xr:uid="{F890C379-7EB1-4267-83B0-1CE46BEEC719}"/>
    <cellStyle name="Heading 3 2 10 6 3 2" xfId="1721" xr:uid="{6FC8C06B-2EB4-4DCD-AC28-4729802442E9}"/>
    <cellStyle name="Heading 3 2 10 6 4" xfId="1722" xr:uid="{951F23DD-D142-4F9C-8471-E8D189EED5CE}"/>
    <cellStyle name="Heading 3 2 10 6 4 2" xfId="1723" xr:uid="{32247F4F-0A6F-44F1-9A4E-FE3E2662B02A}"/>
    <cellStyle name="Heading 3 2 10 7" xfId="1724" xr:uid="{CE9B55A7-694C-4206-A13B-A30C53E9F9C9}"/>
    <cellStyle name="Heading 3 2 10 7 2" xfId="1725" xr:uid="{EBB7E185-E805-4AA5-BCF4-3A5AA223FA69}"/>
    <cellStyle name="Heading 3 2 10 7 2 2" xfId="1726" xr:uid="{A353D07E-ED06-4CED-8437-AE63ED61DDF3}"/>
    <cellStyle name="Heading 3 2 10 7 3" xfId="1727" xr:uid="{4EAE0E66-F8DC-4602-93F1-5D411ACACED6}"/>
    <cellStyle name="Heading 3 2 10 7 3 2" xfId="1728" xr:uid="{2EA87B06-022A-4FDC-889E-FCA6CDD92FB2}"/>
    <cellStyle name="Heading 3 2 10 7 4" xfId="1729" xr:uid="{92E33BFC-9563-4130-A18D-3BAF0AA8DDFC}"/>
    <cellStyle name="Heading 3 2 10 7 4 2" xfId="1730" xr:uid="{E2AFE57A-575E-4189-A110-4C8274D6CAD7}"/>
    <cellStyle name="Heading 3 2 10 8" xfId="1731" xr:uid="{C0FFD486-6995-457E-83AB-4DCEC33AED2E}"/>
    <cellStyle name="Heading 3 2 10 8 2" xfId="1732" xr:uid="{4FB8EF90-7BAF-4E62-8060-F41B72CAE9C0}"/>
    <cellStyle name="Heading 3 2 10 8 2 2" xfId="1733" xr:uid="{73EE1B14-4F01-4EA5-A91A-04D4519A67B8}"/>
    <cellStyle name="Heading 3 2 10 8 3" xfId="1734" xr:uid="{97917395-5463-476F-943C-A4D73953F5F6}"/>
    <cellStyle name="Heading 3 2 10 8 3 2" xfId="1735" xr:uid="{1664AEB1-DCE4-429E-8AA9-7ECD1BEA649A}"/>
    <cellStyle name="Heading 3 2 10 8 4" xfId="1736" xr:uid="{32156DEE-F272-45CC-934E-C8616B390B4B}"/>
    <cellStyle name="Heading 3 2 10 8 4 2" xfId="1737" xr:uid="{659C9878-75E2-4958-AA57-9C3FD9A1EF07}"/>
    <cellStyle name="Heading 3 2 10 9" xfId="1738" xr:uid="{57708121-9C6D-46B6-A87B-36B79AA3B8C6}"/>
    <cellStyle name="Heading 3 2 10 9 2" xfId="1739" xr:uid="{6A3C732B-8216-466B-9DCD-165A69D94EA6}"/>
    <cellStyle name="Heading 3 2 10 9 2 2" xfId="1740" xr:uid="{FD8428F4-A545-48FA-A113-975275562F40}"/>
    <cellStyle name="Heading 3 2 10 9 3" xfId="1741" xr:uid="{11F1BA5E-9A7B-4CEF-936E-D2191E3A1C03}"/>
    <cellStyle name="Heading 3 2 10 9 3 2" xfId="1742" xr:uid="{FF481DC4-3A18-4162-A05A-44880D9CEB04}"/>
    <cellStyle name="Heading 3 2 10 9 4" xfId="1743" xr:uid="{D66398C6-782C-468E-9D99-7DDD221E55A6}"/>
    <cellStyle name="Heading 3 2 10 9 4 2" xfId="1744" xr:uid="{9FA1A23E-54C6-4428-AB10-35216FCA9FB4}"/>
    <cellStyle name="Heading 3 2 11" xfId="1745" xr:uid="{3F4EE7EA-6136-4857-A012-6E8212B2C8A5}"/>
    <cellStyle name="Heading 3 2 11 10" xfId="1746" xr:uid="{72A77FFF-5836-49D1-BC34-D1E6DDDDCC8A}"/>
    <cellStyle name="Heading 3 2 11 10 2" xfId="1747" xr:uid="{F54A39CC-8AD7-4560-B709-89CFFC8362F6}"/>
    <cellStyle name="Heading 3 2 11 10 2 2" xfId="1748" xr:uid="{784181E3-6BB6-45A4-A649-B22FFBC63808}"/>
    <cellStyle name="Heading 3 2 11 10 3" xfId="1749" xr:uid="{92E4042F-4F01-4BB7-A33D-D7A7DD6DC596}"/>
    <cellStyle name="Heading 3 2 11 10 3 2" xfId="1750" xr:uid="{07E14C75-F3D1-4CF1-9B0D-95E84B995DA6}"/>
    <cellStyle name="Heading 3 2 11 10 4" xfId="1751" xr:uid="{6BE067D6-7D06-4FA4-A48E-AC8CCEE3741F}"/>
    <cellStyle name="Heading 3 2 11 10 4 2" xfId="1752" xr:uid="{A2D4D161-13FF-4A83-8B54-06290C008B9B}"/>
    <cellStyle name="Heading 3 2 11 11" xfId="1753" xr:uid="{39BC12DA-B1DD-439F-835C-F00E118FACFB}"/>
    <cellStyle name="Heading 3 2 11 11 2" xfId="1754" xr:uid="{7043A29A-412E-4627-B255-554A56F9B334}"/>
    <cellStyle name="Heading 3 2 11 11 2 2" xfId="1755" xr:uid="{5BF2E0AF-D7E0-4A35-B332-CA98AB74AFE3}"/>
    <cellStyle name="Heading 3 2 11 11 3" xfId="1756" xr:uid="{E873AFB6-C84B-47A7-B805-5D8ACD6A55DE}"/>
    <cellStyle name="Heading 3 2 11 11 3 2" xfId="1757" xr:uid="{303DE63A-650A-439A-8E34-FED12EFDBE1C}"/>
    <cellStyle name="Heading 3 2 11 11 4" xfId="1758" xr:uid="{64CD9949-F403-45FD-A046-37E0101D45F5}"/>
    <cellStyle name="Heading 3 2 11 11 4 2" xfId="1759" xr:uid="{01E679D6-D36E-49C4-949E-EBD34C2F6007}"/>
    <cellStyle name="Heading 3 2 11 12" xfId="1760" xr:uid="{52DCE715-3B16-4679-B84D-CF2379BA7390}"/>
    <cellStyle name="Heading 3 2 11 12 2" xfId="1761" xr:uid="{F1A28509-6D45-4335-85CB-5D3EBD592191}"/>
    <cellStyle name="Heading 3 2 11 12 2 2" xfId="1762" xr:uid="{50132367-CE2A-4D5A-941C-00AF919D1F88}"/>
    <cellStyle name="Heading 3 2 11 12 3" xfId="1763" xr:uid="{18286C3D-8BB6-4B9A-8C4E-4C7E2B7BDE34}"/>
    <cellStyle name="Heading 3 2 11 12 3 2" xfId="1764" xr:uid="{51C0554E-01E6-4688-A714-F790E4D5E8F2}"/>
    <cellStyle name="Heading 3 2 11 12 4" xfId="1765" xr:uid="{749C60CA-5196-42D7-B748-B61B6D84287E}"/>
    <cellStyle name="Heading 3 2 11 12 4 2" xfId="1766" xr:uid="{02FF2E1F-A128-42A9-8200-673E9009958D}"/>
    <cellStyle name="Heading 3 2 11 13" xfId="1767" xr:uid="{9AA493FE-C6AE-4B13-ADFA-670EBECC29F7}"/>
    <cellStyle name="Heading 3 2 11 13 2" xfId="1768" xr:uid="{CFD0A46F-AE96-46F4-BCFC-68DA3F957745}"/>
    <cellStyle name="Heading 3 2 11 13 2 2" xfId="1769" xr:uid="{64C5B01C-F445-4084-9A91-6A3C5B42DEF9}"/>
    <cellStyle name="Heading 3 2 11 13 3" xfId="1770" xr:uid="{55E2571D-5B05-4BCF-A1F4-7B011FDCD89A}"/>
    <cellStyle name="Heading 3 2 11 13 3 2" xfId="1771" xr:uid="{3B2DD723-A4D6-4EE7-8B14-60DBF83CCD9C}"/>
    <cellStyle name="Heading 3 2 11 13 4" xfId="1772" xr:uid="{B62B06E1-5A64-4B1A-AEFE-209BDD077ADD}"/>
    <cellStyle name="Heading 3 2 11 13 4 2" xfId="1773" xr:uid="{7C4225D9-4F82-47BA-AEDE-EBF99637E591}"/>
    <cellStyle name="Heading 3 2 11 14" xfId="1774" xr:uid="{8349C65C-83CF-42FC-A36B-ECD40502B8FC}"/>
    <cellStyle name="Heading 3 2 11 14 2" xfId="1775" xr:uid="{6FF5410B-E866-4FAD-A6A8-06B0C1E2F388}"/>
    <cellStyle name="Heading 3 2 11 14 2 2" xfId="1776" xr:uid="{55A6982E-74F8-4421-AFB0-D18710AC5918}"/>
    <cellStyle name="Heading 3 2 11 14 3" xfId="1777" xr:uid="{EC5818A9-8166-4DFC-86A8-4AAD514B33C8}"/>
    <cellStyle name="Heading 3 2 11 14 3 2" xfId="1778" xr:uid="{2EB8C553-CBB6-45E4-BCA9-0767003BCE70}"/>
    <cellStyle name="Heading 3 2 11 14 4" xfId="1779" xr:uid="{E6A2D489-1B68-4233-8542-90161CFEFDCF}"/>
    <cellStyle name="Heading 3 2 11 14 4 2" xfId="1780" xr:uid="{6D4756C8-BB4C-4A34-B32F-D3BD14ED3218}"/>
    <cellStyle name="Heading 3 2 11 15" xfId="1781" xr:uid="{448E22F6-D7C0-4437-B266-C5CF8C1796BA}"/>
    <cellStyle name="Heading 3 2 11 15 2" xfId="1782" xr:uid="{AB836410-FD5A-4429-BABA-8768829DE0A3}"/>
    <cellStyle name="Heading 3 2 11 15 2 2" xfId="1783" xr:uid="{F7690B73-CA9F-4EC5-88AC-E53651F5E035}"/>
    <cellStyle name="Heading 3 2 11 15 3" xfId="1784" xr:uid="{4BBCA558-8DFA-475B-9B9A-790952DDAC13}"/>
    <cellStyle name="Heading 3 2 11 15 3 2" xfId="1785" xr:uid="{1075E712-FD45-417B-ADBE-05F4643BF4ED}"/>
    <cellStyle name="Heading 3 2 11 15 4" xfId="1786" xr:uid="{A1E013A2-36DB-4088-9A36-CE481EAABD51}"/>
    <cellStyle name="Heading 3 2 11 15 4 2" xfId="1787" xr:uid="{D6F52E75-9C9C-4AD0-ADAA-6E534F4B6A6A}"/>
    <cellStyle name="Heading 3 2 11 16" xfId="1788" xr:uid="{A6F7B003-A11D-4573-854E-AAD491EAECC5}"/>
    <cellStyle name="Heading 3 2 11 16 2" xfId="1789" xr:uid="{841E85C2-48BD-4F14-9607-5FD3DA6DB68E}"/>
    <cellStyle name="Heading 3 2 11 17" xfId="1790" xr:uid="{68FD1FDE-6F7A-41B7-B9C8-3712B916BD97}"/>
    <cellStyle name="Heading 3 2 11 17 2" xfId="1791" xr:uid="{770A5E01-0A79-419D-AAC0-496EC8FDE12F}"/>
    <cellStyle name="Heading 3 2 11 18" xfId="1792" xr:uid="{3651959F-7E5C-4E1E-BC71-7F966E908DE1}"/>
    <cellStyle name="Heading 3 2 11 18 2" xfId="1793" xr:uid="{E8BC1C41-8D0C-4B7E-81E7-668746BFBD6E}"/>
    <cellStyle name="Heading 3 2 11 19" xfId="1794" xr:uid="{F4D04F18-AD30-47BA-9A8E-46965B5ADF5D}"/>
    <cellStyle name="Heading 3 2 11 2" xfId="1795" xr:uid="{9A07A042-1C28-4A8D-895A-F29D56BEC058}"/>
    <cellStyle name="Heading 3 2 11 2 2" xfId="1796" xr:uid="{FFBCD376-3396-431B-99E3-782A5ED19AF9}"/>
    <cellStyle name="Heading 3 2 11 2 2 2" xfId="1797" xr:uid="{5E1EA7CB-B573-4450-A911-E8829AC86A6A}"/>
    <cellStyle name="Heading 3 2 11 2 3" xfId="1798" xr:uid="{AD3E98C5-0BEB-42A4-B927-AAAEF6F00258}"/>
    <cellStyle name="Heading 3 2 11 2 3 2" xfId="1799" xr:uid="{CCA3AF91-C7D9-495F-A293-6FDD6C81810C}"/>
    <cellStyle name="Heading 3 2 11 2 4" xfId="1800" xr:uid="{F89486A4-E480-4560-8F64-BDD743E88F6F}"/>
    <cellStyle name="Heading 3 2 11 2 4 2" xfId="1801" xr:uid="{05E0FA5E-E666-4CD2-AE33-9EA53E08A41A}"/>
    <cellStyle name="Heading 3 2 11 20" xfId="1802" xr:uid="{9D154BD3-8D0E-494A-AC66-CC637C8C03DF}"/>
    <cellStyle name="Heading 3 2 11 21" xfId="1803" xr:uid="{EB6CDDC9-BD4C-4368-8336-E4D2A894994C}"/>
    <cellStyle name="Heading 3 2 11 22" xfId="1804" xr:uid="{88E1AB6B-5472-4EC0-9961-9BEF22971737}"/>
    <cellStyle name="Heading 3 2 11 23" xfId="1805" xr:uid="{62F8A10F-25A7-4BE4-A304-BC718044B8CC}"/>
    <cellStyle name="Heading 3 2 11 24" xfId="1806" xr:uid="{C8F6D07D-13C9-4673-B1FB-92740D719B29}"/>
    <cellStyle name="Heading 3 2 11 25" xfId="1807" xr:uid="{DA0346B3-8067-4574-88AF-E37E77D38F21}"/>
    <cellStyle name="Heading 3 2 11 3" xfId="1808" xr:uid="{07A30444-0BE1-48A0-AA4D-C45870FF9A85}"/>
    <cellStyle name="Heading 3 2 11 3 2" xfId="1809" xr:uid="{E358F9ED-DD1C-4AAA-B979-DFD2FA83CEA2}"/>
    <cellStyle name="Heading 3 2 11 3 2 2" xfId="1810" xr:uid="{DD4474C4-C4F6-4178-BC08-224284830723}"/>
    <cellStyle name="Heading 3 2 11 3 3" xfId="1811" xr:uid="{6DCB8312-5FDA-4F2B-9B3B-0A15C9FA5094}"/>
    <cellStyle name="Heading 3 2 11 3 3 2" xfId="1812" xr:uid="{F63E3C20-EA71-4315-8C1D-70B6AD20FE2D}"/>
    <cellStyle name="Heading 3 2 11 3 4" xfId="1813" xr:uid="{B692E156-E0BE-4810-B468-D016F7DBC218}"/>
    <cellStyle name="Heading 3 2 11 3 4 2" xfId="1814" xr:uid="{C227D43F-3D9D-4831-8A16-4D71DCE1CF3E}"/>
    <cellStyle name="Heading 3 2 11 4" xfId="1815" xr:uid="{9F12C143-A12F-4660-AE63-BB1DD779A5F8}"/>
    <cellStyle name="Heading 3 2 11 4 2" xfId="1816" xr:uid="{C93CD03C-EABC-44E9-B83A-C35186D0130E}"/>
    <cellStyle name="Heading 3 2 11 4 2 2" xfId="1817" xr:uid="{B7D1A514-86D1-4FBB-852D-4A14B85F1DDD}"/>
    <cellStyle name="Heading 3 2 11 4 3" xfId="1818" xr:uid="{582FFA58-1D7B-4B73-AA2C-40D9559FC288}"/>
    <cellStyle name="Heading 3 2 11 4 3 2" xfId="1819" xr:uid="{F3BDCDEC-635E-4D35-B4D8-6648E312EA04}"/>
    <cellStyle name="Heading 3 2 11 4 4" xfId="1820" xr:uid="{D89B47FE-14CE-4662-891A-B38FBBEA57CE}"/>
    <cellStyle name="Heading 3 2 11 4 4 2" xfId="1821" xr:uid="{1696D96B-D546-4BBE-AA4F-42E98782AC94}"/>
    <cellStyle name="Heading 3 2 11 5" xfId="1822" xr:uid="{1A065A4A-83D8-41A9-800A-C01191323BA5}"/>
    <cellStyle name="Heading 3 2 11 5 2" xfId="1823" xr:uid="{6D4AD344-8AA2-4805-A4B7-0D2488DB0568}"/>
    <cellStyle name="Heading 3 2 11 5 2 2" xfId="1824" xr:uid="{BD9A3E7E-46C4-4DA1-A699-4C0A9232BE13}"/>
    <cellStyle name="Heading 3 2 11 5 3" xfId="1825" xr:uid="{03618949-AB05-41A1-A815-7421BA4F6E6B}"/>
    <cellStyle name="Heading 3 2 11 5 3 2" xfId="1826" xr:uid="{3F74F428-EA11-4ECB-AACB-55504A95E23A}"/>
    <cellStyle name="Heading 3 2 11 5 4" xfId="1827" xr:uid="{AFACE308-E829-4515-B2D9-5C25DBC247DD}"/>
    <cellStyle name="Heading 3 2 11 5 4 2" xfId="1828" xr:uid="{D407CAEF-56B6-4A84-AFCC-5FC0CD847429}"/>
    <cellStyle name="Heading 3 2 11 6" xfId="1829" xr:uid="{EF75F87B-C1BA-4BDA-AD9B-98803880EB4F}"/>
    <cellStyle name="Heading 3 2 11 6 2" xfId="1830" xr:uid="{1EA86DC5-AD62-4FAA-B732-2D8ADA5E53D1}"/>
    <cellStyle name="Heading 3 2 11 6 2 2" xfId="1831" xr:uid="{62F9E9C0-E7FF-48AA-B148-8F3FABED844E}"/>
    <cellStyle name="Heading 3 2 11 6 3" xfId="1832" xr:uid="{1DBB27C5-2891-495E-A52F-22A48D2E755B}"/>
    <cellStyle name="Heading 3 2 11 6 3 2" xfId="1833" xr:uid="{2DF62DAB-4537-4B2F-B157-487344E09B93}"/>
    <cellStyle name="Heading 3 2 11 6 4" xfId="1834" xr:uid="{DBB83524-C7E6-4FB2-894A-8206F59C0CDC}"/>
    <cellStyle name="Heading 3 2 11 6 4 2" xfId="1835" xr:uid="{8653D05A-6D9F-4862-8495-6DEC8EE7414E}"/>
    <cellStyle name="Heading 3 2 11 7" xfId="1836" xr:uid="{D255C30D-9BA4-4BD2-AC5D-20F1FE6EC8FE}"/>
    <cellStyle name="Heading 3 2 11 7 2" xfId="1837" xr:uid="{C7F155A4-B0E1-4034-8E15-400A1F9FF5FB}"/>
    <cellStyle name="Heading 3 2 11 7 2 2" xfId="1838" xr:uid="{DE2BA102-3001-4B07-986D-B192448376B7}"/>
    <cellStyle name="Heading 3 2 11 7 3" xfId="1839" xr:uid="{8CBE267C-F839-472D-A9F8-6C45C8E88AF0}"/>
    <cellStyle name="Heading 3 2 11 7 3 2" xfId="1840" xr:uid="{A8978971-DE5C-4FAA-9C14-3DD38C469388}"/>
    <cellStyle name="Heading 3 2 11 7 4" xfId="1841" xr:uid="{7263FFCC-BFED-433B-8277-EF2EE57F2419}"/>
    <cellStyle name="Heading 3 2 11 7 4 2" xfId="1842" xr:uid="{CFEA3F8A-8C31-47C4-8BFC-03029564D357}"/>
    <cellStyle name="Heading 3 2 11 8" xfId="1843" xr:uid="{72065DC7-27C5-491F-A484-D5FA859F77CC}"/>
    <cellStyle name="Heading 3 2 11 8 2" xfId="1844" xr:uid="{6B9384FC-FFE2-4FB5-A433-C9F20709DCC5}"/>
    <cellStyle name="Heading 3 2 11 8 2 2" xfId="1845" xr:uid="{40CDA737-D04C-4E98-B388-DD80F84A1AB8}"/>
    <cellStyle name="Heading 3 2 11 8 3" xfId="1846" xr:uid="{13B7716D-024A-4278-8CBB-65BF569BDE5F}"/>
    <cellStyle name="Heading 3 2 11 8 3 2" xfId="1847" xr:uid="{0E58F1E4-239F-4C9F-A91D-1A91137CDB4E}"/>
    <cellStyle name="Heading 3 2 11 8 4" xfId="1848" xr:uid="{72683571-1546-4257-B699-C9D480840609}"/>
    <cellStyle name="Heading 3 2 11 8 4 2" xfId="1849" xr:uid="{A3B0ED7C-D454-4252-8B07-154BC325CBE0}"/>
    <cellStyle name="Heading 3 2 11 9" xfId="1850" xr:uid="{FFECA1AE-705B-4ADD-8B89-421D2A7E430F}"/>
    <cellStyle name="Heading 3 2 11 9 2" xfId="1851" xr:uid="{9F17A233-58B5-48FB-856E-8D040956FF72}"/>
    <cellStyle name="Heading 3 2 11 9 2 2" xfId="1852" xr:uid="{B2DBE6DC-0571-4AA8-8A7F-6757B9A9AE3B}"/>
    <cellStyle name="Heading 3 2 11 9 3" xfId="1853" xr:uid="{99E66A20-569C-445B-A803-B963B851AC5F}"/>
    <cellStyle name="Heading 3 2 11 9 3 2" xfId="1854" xr:uid="{A856BBF2-58C7-495B-902D-FE06A6040EC4}"/>
    <cellStyle name="Heading 3 2 11 9 4" xfId="1855" xr:uid="{633FD487-8AD5-4CAF-8ABD-DE45EE54899D}"/>
    <cellStyle name="Heading 3 2 11 9 4 2" xfId="1856" xr:uid="{51C0418C-F66C-4B09-B3B1-6074AA5D63F3}"/>
    <cellStyle name="Heading 3 2 12" xfId="1857" xr:uid="{F1E089D6-68BD-4F7A-AA7B-E9350A02775E}"/>
    <cellStyle name="Heading 3 2 12 10" xfId="1858" xr:uid="{58F6447F-E4FB-4FDE-BF0B-C349757741B0}"/>
    <cellStyle name="Heading 3 2 12 10 2" xfId="1859" xr:uid="{12429CA2-F774-4D73-B963-A7F3AFD55EDD}"/>
    <cellStyle name="Heading 3 2 12 10 2 2" xfId="1860" xr:uid="{59AFC7A5-8EA3-42F5-A30C-A0803846C35C}"/>
    <cellStyle name="Heading 3 2 12 10 3" xfId="1861" xr:uid="{09BFB9AF-9161-4BDB-AF1B-F9587BA35F07}"/>
    <cellStyle name="Heading 3 2 12 10 3 2" xfId="1862" xr:uid="{BC52928C-3E5E-4C2A-9A02-628F1EC28A23}"/>
    <cellStyle name="Heading 3 2 12 10 4" xfId="1863" xr:uid="{02CD0836-729E-435E-A2BD-4F56BFE60506}"/>
    <cellStyle name="Heading 3 2 12 10 4 2" xfId="1864" xr:uid="{A32D263D-DC60-4851-BC21-7051333943AE}"/>
    <cellStyle name="Heading 3 2 12 11" xfId="1865" xr:uid="{CE743D42-FDAC-4C25-82A2-4760E47922BB}"/>
    <cellStyle name="Heading 3 2 12 11 2" xfId="1866" xr:uid="{78987BC9-64B3-47D2-B929-3DE41A63AC35}"/>
    <cellStyle name="Heading 3 2 12 11 2 2" xfId="1867" xr:uid="{E7976411-080F-4D85-96E0-70FB69B5EC44}"/>
    <cellStyle name="Heading 3 2 12 11 3" xfId="1868" xr:uid="{4120CE75-81B9-430E-B88E-577B5DDC6656}"/>
    <cellStyle name="Heading 3 2 12 11 3 2" xfId="1869" xr:uid="{94135FDB-65F2-46C8-9C94-AF16A8D8DC01}"/>
    <cellStyle name="Heading 3 2 12 11 4" xfId="1870" xr:uid="{189F6DA4-C08D-47FE-936C-27FB8177FFD6}"/>
    <cellStyle name="Heading 3 2 12 11 4 2" xfId="1871" xr:uid="{8185166B-8469-4F98-8AB1-F928CA3249DF}"/>
    <cellStyle name="Heading 3 2 12 12" xfId="1872" xr:uid="{375B1D0B-1389-4756-9902-E892FC4563B5}"/>
    <cellStyle name="Heading 3 2 12 12 2" xfId="1873" xr:uid="{B5AE8723-BEFA-464F-BAA0-C413BF5436B7}"/>
    <cellStyle name="Heading 3 2 12 12 2 2" xfId="1874" xr:uid="{2AC6C619-2B2C-4797-9BBD-DEE3DCE87187}"/>
    <cellStyle name="Heading 3 2 12 12 3" xfId="1875" xr:uid="{AFE03054-C7E6-4371-976E-2A82623B168C}"/>
    <cellStyle name="Heading 3 2 12 12 3 2" xfId="1876" xr:uid="{EBF37217-163F-44F7-8802-9556E5B861AF}"/>
    <cellStyle name="Heading 3 2 12 12 4" xfId="1877" xr:uid="{CC46008A-6DCD-4015-8CDF-AF4864FD772E}"/>
    <cellStyle name="Heading 3 2 12 12 4 2" xfId="1878" xr:uid="{B9C2CD5A-4479-4DD0-9159-B5CB99CCFE2A}"/>
    <cellStyle name="Heading 3 2 12 13" xfId="1879" xr:uid="{97711206-D3FD-4A6F-8BB8-4B42259C3B48}"/>
    <cellStyle name="Heading 3 2 12 13 2" xfId="1880" xr:uid="{EFDE45E0-F971-47F8-85AD-AA1B3B449537}"/>
    <cellStyle name="Heading 3 2 12 13 2 2" xfId="1881" xr:uid="{841924C1-83FD-4F9A-B1FA-3C0E28FD11C4}"/>
    <cellStyle name="Heading 3 2 12 13 3" xfId="1882" xr:uid="{D6A55438-719E-46C5-BD69-B1B6B4C410CD}"/>
    <cellStyle name="Heading 3 2 12 13 3 2" xfId="1883" xr:uid="{780BDE33-E7D2-4184-A4F7-4AAE77D584E7}"/>
    <cellStyle name="Heading 3 2 12 13 4" xfId="1884" xr:uid="{A1182EFB-F412-41D4-8491-8F10E047847E}"/>
    <cellStyle name="Heading 3 2 12 13 4 2" xfId="1885" xr:uid="{1B1B8576-5680-43E6-B1C6-A7396A563976}"/>
    <cellStyle name="Heading 3 2 12 14" xfId="1886" xr:uid="{F8AAB9E4-016E-4EC8-A53B-67B58C0A7507}"/>
    <cellStyle name="Heading 3 2 12 14 2" xfId="1887" xr:uid="{DE5E63F1-CDDE-4ACE-8A30-634FE6C0F916}"/>
    <cellStyle name="Heading 3 2 12 14 2 2" xfId="1888" xr:uid="{B164E3E0-E742-45F9-A84E-1587DCDCEA7F}"/>
    <cellStyle name="Heading 3 2 12 14 3" xfId="1889" xr:uid="{44F51677-DBD5-458D-90D7-858B39378A86}"/>
    <cellStyle name="Heading 3 2 12 14 3 2" xfId="1890" xr:uid="{922D63E2-B9C7-447B-BC19-13E3AF4AE6FC}"/>
    <cellStyle name="Heading 3 2 12 14 4" xfId="1891" xr:uid="{46BB3E3D-BE10-4841-B011-BA930390D05B}"/>
    <cellStyle name="Heading 3 2 12 14 4 2" xfId="1892" xr:uid="{B7B50E3C-15BA-4BE5-B87A-5AB31024857A}"/>
    <cellStyle name="Heading 3 2 12 15" xfId="1893" xr:uid="{AA17A30F-E64D-4985-9333-246A87863CF2}"/>
    <cellStyle name="Heading 3 2 12 15 2" xfId="1894" xr:uid="{4CC08680-F1E5-407A-8584-373335BC8F82}"/>
    <cellStyle name="Heading 3 2 12 15 2 2" xfId="1895" xr:uid="{CFDFA4BB-7785-49F5-8CEF-4D4A68D37059}"/>
    <cellStyle name="Heading 3 2 12 15 3" xfId="1896" xr:uid="{5A3C501B-DF76-434F-9ED6-104B565672FB}"/>
    <cellStyle name="Heading 3 2 12 15 3 2" xfId="1897" xr:uid="{E47B9DA0-1D06-4549-9601-54EF426DCF90}"/>
    <cellStyle name="Heading 3 2 12 15 4" xfId="1898" xr:uid="{742F3E8F-AA0C-4F3E-81A5-743E2834CAE1}"/>
    <cellStyle name="Heading 3 2 12 15 4 2" xfId="1899" xr:uid="{51C957D0-589A-40B7-9596-D5C4EA63F693}"/>
    <cellStyle name="Heading 3 2 12 16" xfId="1900" xr:uid="{6345921A-492B-445B-AC04-539657E2AB12}"/>
    <cellStyle name="Heading 3 2 12 16 2" xfId="1901" xr:uid="{E0AEDFF9-4D9B-4A56-99C8-3734510BD267}"/>
    <cellStyle name="Heading 3 2 12 17" xfId="1902" xr:uid="{9C7F6630-59ED-4304-81CC-D81BF6880D62}"/>
    <cellStyle name="Heading 3 2 12 17 2" xfId="1903" xr:uid="{1FDAFB09-FB8D-442D-9313-545B223A7142}"/>
    <cellStyle name="Heading 3 2 12 18" xfId="1904" xr:uid="{302468B2-9375-4EEA-965D-077450291CF8}"/>
    <cellStyle name="Heading 3 2 12 18 2" xfId="1905" xr:uid="{96ECDD21-3D0B-4661-A07B-09B0F310C051}"/>
    <cellStyle name="Heading 3 2 12 19" xfId="1906" xr:uid="{B5AF065D-A1B9-4492-A016-4B0402CF2ECD}"/>
    <cellStyle name="Heading 3 2 12 2" xfId="1907" xr:uid="{1FFAD7A4-1EE5-4C9F-8F02-651E9A382E82}"/>
    <cellStyle name="Heading 3 2 12 2 2" xfId="1908" xr:uid="{ABD1835D-03E7-44F2-A0FD-8CB33B70C6CF}"/>
    <cellStyle name="Heading 3 2 12 2 2 2" xfId="1909" xr:uid="{B805EBEA-BE29-43DC-B40D-9F925895A6C0}"/>
    <cellStyle name="Heading 3 2 12 2 3" xfId="1910" xr:uid="{0B183AFB-9376-402E-9EAA-510CE1BCC478}"/>
    <cellStyle name="Heading 3 2 12 2 3 2" xfId="1911" xr:uid="{EA8F0B31-2871-40CE-86EB-E036E4D24BDF}"/>
    <cellStyle name="Heading 3 2 12 2 4" xfId="1912" xr:uid="{A80C08EE-965C-4495-99C3-15BDE133476B}"/>
    <cellStyle name="Heading 3 2 12 2 4 2" xfId="1913" xr:uid="{0B3D2E76-05AF-48D9-AAD5-55156BBAD798}"/>
    <cellStyle name="Heading 3 2 12 20" xfId="1914" xr:uid="{B0795F5B-8704-4347-BE66-C3B3EA3B59C3}"/>
    <cellStyle name="Heading 3 2 12 21" xfId="1915" xr:uid="{11C7D934-07F4-4BCB-A782-E74696C97FD2}"/>
    <cellStyle name="Heading 3 2 12 22" xfId="1916" xr:uid="{10511FCB-3983-43F8-9D9E-E1536939823D}"/>
    <cellStyle name="Heading 3 2 12 23" xfId="1917" xr:uid="{12C1C3A1-6006-40E1-A3D7-DCF82620DB62}"/>
    <cellStyle name="Heading 3 2 12 24" xfId="1918" xr:uid="{3D09D97D-EDF2-45FC-89CB-388E7EA486CE}"/>
    <cellStyle name="Heading 3 2 12 25" xfId="1919" xr:uid="{15EF2907-F04E-4C31-BD23-B1374B282E9A}"/>
    <cellStyle name="Heading 3 2 12 3" xfId="1920" xr:uid="{D3C40E8C-BA38-4DBC-8CF4-298F4A3D6C27}"/>
    <cellStyle name="Heading 3 2 12 3 2" xfId="1921" xr:uid="{6852CB1E-DBEF-4E70-A602-D89191E1CEC7}"/>
    <cellStyle name="Heading 3 2 12 3 2 2" xfId="1922" xr:uid="{10B7C1AC-77BD-4333-8018-CD2FA4643744}"/>
    <cellStyle name="Heading 3 2 12 3 3" xfId="1923" xr:uid="{4405ACED-CFDD-4499-9F5B-8AFFB426D415}"/>
    <cellStyle name="Heading 3 2 12 3 3 2" xfId="1924" xr:uid="{E463ED01-6D79-4DD7-8D0C-6DE8E1A2D741}"/>
    <cellStyle name="Heading 3 2 12 3 4" xfId="1925" xr:uid="{18F56FEB-880D-4AD9-B951-35DB4A950FBA}"/>
    <cellStyle name="Heading 3 2 12 3 4 2" xfId="1926" xr:uid="{7A417884-E12C-4028-93C2-5D3FA78D8DA3}"/>
    <cellStyle name="Heading 3 2 12 4" xfId="1927" xr:uid="{380C02C6-7194-43D5-8ED8-621562A0EDFB}"/>
    <cellStyle name="Heading 3 2 12 4 2" xfId="1928" xr:uid="{3B122655-E870-4B70-80B0-1B547F63DF50}"/>
    <cellStyle name="Heading 3 2 12 4 2 2" xfId="1929" xr:uid="{9CAF6BD7-988F-4DC3-916B-FC732C2C54A8}"/>
    <cellStyle name="Heading 3 2 12 4 3" xfId="1930" xr:uid="{C2B9812B-EA31-41CA-930C-4C8FA408B106}"/>
    <cellStyle name="Heading 3 2 12 4 3 2" xfId="1931" xr:uid="{CEE86334-F958-4ED4-8289-7106DA641872}"/>
    <cellStyle name="Heading 3 2 12 4 4" xfId="1932" xr:uid="{28D856D0-B788-42DF-AF13-5DE5A47A103B}"/>
    <cellStyle name="Heading 3 2 12 4 4 2" xfId="1933" xr:uid="{7BE25D7C-D25B-49F5-B920-033B25192681}"/>
    <cellStyle name="Heading 3 2 12 5" xfId="1934" xr:uid="{B62CFFBF-0130-4C0B-8D07-2C44EDF93137}"/>
    <cellStyle name="Heading 3 2 12 5 2" xfId="1935" xr:uid="{890331DB-E139-408B-AB46-DC6771E5F328}"/>
    <cellStyle name="Heading 3 2 12 5 2 2" xfId="1936" xr:uid="{D5D854AA-E455-4EF1-8974-703781C47C5A}"/>
    <cellStyle name="Heading 3 2 12 5 3" xfId="1937" xr:uid="{56406516-D8C0-4EEE-91BD-BC8158BC3C7D}"/>
    <cellStyle name="Heading 3 2 12 5 3 2" xfId="1938" xr:uid="{73E5034E-4AED-4D65-A4E0-244D7A99AA56}"/>
    <cellStyle name="Heading 3 2 12 5 4" xfId="1939" xr:uid="{C465DD7B-6573-4D76-89A9-E9AACE4609FF}"/>
    <cellStyle name="Heading 3 2 12 5 4 2" xfId="1940" xr:uid="{FB3BEBE5-DE2E-4D9B-8CA5-010775CE28B1}"/>
    <cellStyle name="Heading 3 2 12 6" xfId="1941" xr:uid="{9E2DC501-9819-4778-B661-0C41E5ED9DB6}"/>
    <cellStyle name="Heading 3 2 12 6 2" xfId="1942" xr:uid="{E164242A-01BC-4B26-B70D-5E2AAA8020BA}"/>
    <cellStyle name="Heading 3 2 12 6 2 2" xfId="1943" xr:uid="{6517CB94-40FE-468B-9900-ED6B680A92EE}"/>
    <cellStyle name="Heading 3 2 12 6 3" xfId="1944" xr:uid="{F6EA47C9-405F-4FAF-9858-BA19F0C143CF}"/>
    <cellStyle name="Heading 3 2 12 6 3 2" xfId="1945" xr:uid="{907B6B6E-DCE7-44A0-BD9E-5735339D2691}"/>
    <cellStyle name="Heading 3 2 12 6 4" xfId="1946" xr:uid="{40EF3E04-FAD9-4DBE-A70D-0D1711A596DE}"/>
    <cellStyle name="Heading 3 2 12 6 4 2" xfId="1947" xr:uid="{316AD8B9-7767-47BC-A873-DCC12A0D49E4}"/>
    <cellStyle name="Heading 3 2 12 7" xfId="1948" xr:uid="{974AAC49-408D-43D9-A8E5-21585A847B77}"/>
    <cellStyle name="Heading 3 2 12 7 2" xfId="1949" xr:uid="{8C395ED7-B2E3-4C1F-ABB0-4B8E280E3571}"/>
    <cellStyle name="Heading 3 2 12 7 2 2" xfId="1950" xr:uid="{8D50FBF8-3478-4236-A426-729D45989144}"/>
    <cellStyle name="Heading 3 2 12 7 3" xfId="1951" xr:uid="{63C95840-3DC2-43C4-A49A-D0547A996C6C}"/>
    <cellStyle name="Heading 3 2 12 7 3 2" xfId="1952" xr:uid="{668B1971-14AC-4D92-A6A7-F0DA156E1850}"/>
    <cellStyle name="Heading 3 2 12 7 4" xfId="1953" xr:uid="{4E187F38-1D00-42D8-81E5-08DE32A317B2}"/>
    <cellStyle name="Heading 3 2 12 7 4 2" xfId="1954" xr:uid="{2014BBF1-A10F-4951-9DD1-C437B9967AC8}"/>
    <cellStyle name="Heading 3 2 12 8" xfId="1955" xr:uid="{F8B4E6BE-645F-4A07-8C3F-EB2D5C5AD0AB}"/>
    <cellStyle name="Heading 3 2 12 8 2" xfId="1956" xr:uid="{58D055E4-3191-44D4-AAE9-590470039C96}"/>
    <cellStyle name="Heading 3 2 12 8 2 2" xfId="1957" xr:uid="{88AC3E30-F976-42CA-990C-7C1166A8093C}"/>
    <cellStyle name="Heading 3 2 12 8 3" xfId="1958" xr:uid="{06B17B8B-34F5-4A3E-BE47-F2D4A3B8426A}"/>
    <cellStyle name="Heading 3 2 12 8 3 2" xfId="1959" xr:uid="{E906C001-BAA5-4972-8710-687BF8E15B1A}"/>
    <cellStyle name="Heading 3 2 12 8 4" xfId="1960" xr:uid="{C5210793-16FC-4949-B130-75129990E1CF}"/>
    <cellStyle name="Heading 3 2 12 8 4 2" xfId="1961" xr:uid="{8EBC190B-3791-49DD-8216-B650136600BE}"/>
    <cellStyle name="Heading 3 2 12 9" xfId="1962" xr:uid="{760D3094-1D38-4B11-84B6-0677B94BDB5B}"/>
    <cellStyle name="Heading 3 2 12 9 2" xfId="1963" xr:uid="{196F0680-5C4D-4DED-A0D1-C717ED8D8CD4}"/>
    <cellStyle name="Heading 3 2 12 9 2 2" xfId="1964" xr:uid="{1E4F1003-7206-4524-BF99-9C31CE31969B}"/>
    <cellStyle name="Heading 3 2 12 9 3" xfId="1965" xr:uid="{EF6DEF8F-02DD-4448-A3D2-99F7E3B957E3}"/>
    <cellStyle name="Heading 3 2 12 9 3 2" xfId="1966" xr:uid="{B80E7B4A-AACA-40E4-BE08-3135D17858F6}"/>
    <cellStyle name="Heading 3 2 12 9 4" xfId="1967" xr:uid="{75294C3D-68A2-4981-885E-5E00EADB39F5}"/>
    <cellStyle name="Heading 3 2 12 9 4 2" xfId="1968" xr:uid="{6B6ECD15-FC8D-439B-BD7E-CC1A3D970A10}"/>
    <cellStyle name="Heading 3 2 13" xfId="1969" xr:uid="{33DFCD48-8DA2-42D4-A51D-F009420BBB4A}"/>
    <cellStyle name="Heading 3 2 13 10" xfId="1970" xr:uid="{AFFD1583-E773-4173-96F2-4D6F72AD09E3}"/>
    <cellStyle name="Heading 3 2 13 10 2" xfId="1971" xr:uid="{35AA3A15-B437-4CD6-914F-F900678130C4}"/>
    <cellStyle name="Heading 3 2 13 10 2 2" xfId="1972" xr:uid="{A5870FBB-1460-46B6-BA93-41CBA9EB3626}"/>
    <cellStyle name="Heading 3 2 13 10 3" xfId="1973" xr:uid="{42EF6052-0ADF-440E-B991-02408005BF6E}"/>
    <cellStyle name="Heading 3 2 13 10 3 2" xfId="1974" xr:uid="{77CFD2EE-3017-4334-BCC3-CEA02A684D63}"/>
    <cellStyle name="Heading 3 2 13 10 4" xfId="1975" xr:uid="{13A91337-9C1C-4288-A675-46A2CE034F0E}"/>
    <cellStyle name="Heading 3 2 13 10 4 2" xfId="1976" xr:uid="{6FF01448-D430-41D1-ACF0-E5D103F31907}"/>
    <cellStyle name="Heading 3 2 13 11" xfId="1977" xr:uid="{71914911-D076-4433-8C2C-B8D50C045412}"/>
    <cellStyle name="Heading 3 2 13 11 2" xfId="1978" xr:uid="{E5B40F41-EE0F-4B6B-8273-4C08EFBABCBE}"/>
    <cellStyle name="Heading 3 2 13 11 2 2" xfId="1979" xr:uid="{BDEF2DB9-AFB7-4060-8DA0-22E24CBBC61D}"/>
    <cellStyle name="Heading 3 2 13 11 3" xfId="1980" xr:uid="{646293B1-3EA0-4D81-88F4-5689FA0A776C}"/>
    <cellStyle name="Heading 3 2 13 11 3 2" xfId="1981" xr:uid="{85DFF4AA-0E7A-4F76-B931-06546EEF728D}"/>
    <cellStyle name="Heading 3 2 13 11 4" xfId="1982" xr:uid="{99BC8336-C979-4CC1-A729-2A9458777682}"/>
    <cellStyle name="Heading 3 2 13 11 4 2" xfId="1983" xr:uid="{8E476162-DA83-40C9-9331-EC1A450A3F92}"/>
    <cellStyle name="Heading 3 2 13 12" xfId="1984" xr:uid="{4F8C0426-6B21-4623-AA8D-50997FCF5F53}"/>
    <cellStyle name="Heading 3 2 13 12 2" xfId="1985" xr:uid="{5B74DDEE-43DD-4C67-B1D1-4C477CB97B87}"/>
    <cellStyle name="Heading 3 2 13 12 2 2" xfId="1986" xr:uid="{D81390AD-AB18-48BD-BF4B-88DAAC134194}"/>
    <cellStyle name="Heading 3 2 13 12 3" xfId="1987" xr:uid="{E95C8631-4AB3-49EE-A246-8199B227EBF1}"/>
    <cellStyle name="Heading 3 2 13 12 3 2" xfId="1988" xr:uid="{D3B95585-6761-4985-B176-923A9A45638D}"/>
    <cellStyle name="Heading 3 2 13 12 4" xfId="1989" xr:uid="{E9B4A0B4-84E0-43C5-A94F-959C7E12D580}"/>
    <cellStyle name="Heading 3 2 13 12 4 2" xfId="1990" xr:uid="{7453917F-F2A0-4ED9-9AA9-61DE3711E396}"/>
    <cellStyle name="Heading 3 2 13 13" xfId="1991" xr:uid="{217A2232-3018-4EE6-AC2E-FC42B2AA412A}"/>
    <cellStyle name="Heading 3 2 13 13 2" xfId="1992" xr:uid="{05182071-ABA3-41EF-B9A0-7460F6A0A5F0}"/>
    <cellStyle name="Heading 3 2 13 13 2 2" xfId="1993" xr:uid="{71D321DF-8522-4CA2-8976-32CF74012116}"/>
    <cellStyle name="Heading 3 2 13 13 3" xfId="1994" xr:uid="{5E707BD0-D930-4716-AC76-406439AF0DD1}"/>
    <cellStyle name="Heading 3 2 13 13 3 2" xfId="1995" xr:uid="{6E4C843C-1A57-4404-BF7F-C9DEA0873041}"/>
    <cellStyle name="Heading 3 2 13 13 4" xfId="1996" xr:uid="{7B111BC8-E01F-4294-93AC-D08343A9B68B}"/>
    <cellStyle name="Heading 3 2 13 13 4 2" xfId="1997" xr:uid="{2BE3CF5D-6E66-436C-9A0B-1B2F71910C97}"/>
    <cellStyle name="Heading 3 2 13 14" xfId="1998" xr:uid="{E9A8786A-DC07-4942-ABEA-5D0743E4990C}"/>
    <cellStyle name="Heading 3 2 13 14 2" xfId="1999" xr:uid="{F4B53E6F-F990-4FE7-B457-D5F485B82409}"/>
    <cellStyle name="Heading 3 2 13 14 2 2" xfId="2000" xr:uid="{DD4CB8F7-F721-4977-A589-9C1BEBB9EF37}"/>
    <cellStyle name="Heading 3 2 13 14 3" xfId="2001" xr:uid="{7D2A38A7-F81A-4244-BE3B-B4DE73FC4B33}"/>
    <cellStyle name="Heading 3 2 13 14 3 2" xfId="2002" xr:uid="{39A81409-2A0A-4BA8-974E-3EDFE1C5CE89}"/>
    <cellStyle name="Heading 3 2 13 14 4" xfId="2003" xr:uid="{E979795E-61DF-484A-98A8-63377947D494}"/>
    <cellStyle name="Heading 3 2 13 14 4 2" xfId="2004" xr:uid="{9AF4C948-BD8D-4423-BC27-8CE4132E4A21}"/>
    <cellStyle name="Heading 3 2 13 15" xfId="2005" xr:uid="{D531615A-DF34-4307-9308-2A59A5C219C2}"/>
    <cellStyle name="Heading 3 2 13 15 2" xfId="2006" xr:uid="{09622730-C9C1-4C6D-94D0-D00F11CAB67F}"/>
    <cellStyle name="Heading 3 2 13 15 2 2" xfId="2007" xr:uid="{B1286DDB-3DEB-4AA9-BA3A-D024C1D98B4D}"/>
    <cellStyle name="Heading 3 2 13 15 3" xfId="2008" xr:uid="{AD964727-680B-4A0F-8E8B-1ACACBAE346A}"/>
    <cellStyle name="Heading 3 2 13 15 3 2" xfId="2009" xr:uid="{96FE7BDC-F3CC-430D-A1EE-AB2CE0E41448}"/>
    <cellStyle name="Heading 3 2 13 15 4" xfId="2010" xr:uid="{207987A5-9F7B-44A5-A05F-9D9376E6F84C}"/>
    <cellStyle name="Heading 3 2 13 15 4 2" xfId="2011" xr:uid="{AD353371-1320-4C08-A48B-FE9543EEFEAF}"/>
    <cellStyle name="Heading 3 2 13 16" xfId="2012" xr:uid="{DE81FE5B-586D-4D36-ADC9-3848B3BBE7AD}"/>
    <cellStyle name="Heading 3 2 13 16 2" xfId="2013" xr:uid="{0F39DA2F-DF7D-48A1-B0E5-B5A2D51935E2}"/>
    <cellStyle name="Heading 3 2 13 17" xfId="2014" xr:uid="{42140942-B5EE-4F00-8F58-9CA76F593F0A}"/>
    <cellStyle name="Heading 3 2 13 17 2" xfId="2015" xr:uid="{822985B8-8971-4328-835C-12342CD23682}"/>
    <cellStyle name="Heading 3 2 13 18" xfId="2016" xr:uid="{1A71C434-48D3-4389-9D73-2CB0EAFF32E2}"/>
    <cellStyle name="Heading 3 2 13 18 2" xfId="2017" xr:uid="{8C48A1CE-CBD0-48B3-9EDA-3663F3346109}"/>
    <cellStyle name="Heading 3 2 13 19" xfId="2018" xr:uid="{AFB3F499-D9FC-4B1E-812D-1C298D28E1D9}"/>
    <cellStyle name="Heading 3 2 13 2" xfId="2019" xr:uid="{E071E923-3581-4C27-BB79-3EC9D5CDB98F}"/>
    <cellStyle name="Heading 3 2 13 2 2" xfId="2020" xr:uid="{88A46E5D-9397-417B-BC27-C2D0C247591D}"/>
    <cellStyle name="Heading 3 2 13 2 2 2" xfId="2021" xr:uid="{7EDE1050-635B-4244-B7D7-E7B9606B8ED6}"/>
    <cellStyle name="Heading 3 2 13 2 3" xfId="2022" xr:uid="{BA23A76C-BD0E-42B5-9686-971EF12D697D}"/>
    <cellStyle name="Heading 3 2 13 2 3 2" xfId="2023" xr:uid="{0B038A90-3EF7-4D56-8784-DDB2DF7D30F3}"/>
    <cellStyle name="Heading 3 2 13 2 4" xfId="2024" xr:uid="{8917E7FA-0DD5-47F7-8CB5-9074BDF45CDC}"/>
    <cellStyle name="Heading 3 2 13 2 4 2" xfId="2025" xr:uid="{40278EE5-320F-43C6-A836-CECEAE433EFF}"/>
    <cellStyle name="Heading 3 2 13 20" xfId="2026" xr:uid="{CC0C8B6E-DB89-4B71-A926-428555855593}"/>
    <cellStyle name="Heading 3 2 13 21" xfId="2027" xr:uid="{056E5346-5330-4404-90CC-794FCAEFD4AA}"/>
    <cellStyle name="Heading 3 2 13 22" xfId="2028" xr:uid="{835D9871-D66B-4970-8BF7-7A0E447241E1}"/>
    <cellStyle name="Heading 3 2 13 23" xfId="2029" xr:uid="{B2DC4343-94FE-477A-8C4F-AC66AADFBB66}"/>
    <cellStyle name="Heading 3 2 13 24" xfId="2030" xr:uid="{507039D3-1B18-4B24-88A3-AD8E8DF68A0D}"/>
    <cellStyle name="Heading 3 2 13 25" xfId="2031" xr:uid="{6516CD96-9A4E-4ED1-8A6B-9CBAAA09B5E9}"/>
    <cellStyle name="Heading 3 2 13 3" xfId="2032" xr:uid="{648ED52E-BC45-4079-85AD-5DB5B5858B9A}"/>
    <cellStyle name="Heading 3 2 13 3 2" xfId="2033" xr:uid="{3514FE91-7864-4B24-80D0-824610A34C49}"/>
    <cellStyle name="Heading 3 2 13 3 2 2" xfId="2034" xr:uid="{97D87E8F-56C7-4E62-BD72-96530B4FB7B3}"/>
    <cellStyle name="Heading 3 2 13 3 3" xfId="2035" xr:uid="{78B1D24D-3E18-400A-B38F-EE3422AC39A7}"/>
    <cellStyle name="Heading 3 2 13 3 3 2" xfId="2036" xr:uid="{24D7FDC7-8A72-4512-9B86-8006716F8BA5}"/>
    <cellStyle name="Heading 3 2 13 3 4" xfId="2037" xr:uid="{F4BCD2C4-1EEE-4F9B-9100-48352B439631}"/>
    <cellStyle name="Heading 3 2 13 3 4 2" xfId="2038" xr:uid="{0584B55C-0D3C-4DA1-9812-9E5543E5936C}"/>
    <cellStyle name="Heading 3 2 13 4" xfId="2039" xr:uid="{0CF0C791-E0CC-4C4E-B144-C38DDD0EB9B3}"/>
    <cellStyle name="Heading 3 2 13 4 2" xfId="2040" xr:uid="{7E6D3C2A-2EE7-48B1-9E68-CB22820DF326}"/>
    <cellStyle name="Heading 3 2 13 4 2 2" xfId="2041" xr:uid="{9DE8564B-8117-4BBA-AD96-59B3DE43451D}"/>
    <cellStyle name="Heading 3 2 13 4 3" xfId="2042" xr:uid="{07318ABE-8BBF-431E-A2F4-9E04302BD059}"/>
    <cellStyle name="Heading 3 2 13 4 3 2" xfId="2043" xr:uid="{9D3DDDD0-0BE0-4547-A6EC-8BD4A7724B70}"/>
    <cellStyle name="Heading 3 2 13 4 4" xfId="2044" xr:uid="{7F376DD3-5F93-4440-AD07-ABEECD9EA5AA}"/>
    <cellStyle name="Heading 3 2 13 4 4 2" xfId="2045" xr:uid="{E79D2EE3-BB9F-42EE-9984-B8A13E480E1A}"/>
    <cellStyle name="Heading 3 2 13 5" xfId="2046" xr:uid="{D232E9F5-EAB3-40EC-B41F-F4E94C355349}"/>
    <cellStyle name="Heading 3 2 13 5 2" xfId="2047" xr:uid="{DDD0D7D3-76D2-4DD0-970A-DE40040273FE}"/>
    <cellStyle name="Heading 3 2 13 5 2 2" xfId="2048" xr:uid="{D787A533-7B8A-4CCB-95BA-916DB5FA116B}"/>
    <cellStyle name="Heading 3 2 13 5 3" xfId="2049" xr:uid="{97256EF5-0A89-491B-A666-C55E8C3DBC4F}"/>
    <cellStyle name="Heading 3 2 13 5 3 2" xfId="2050" xr:uid="{0D07FE6F-586E-4810-B81A-B2230B2C8167}"/>
    <cellStyle name="Heading 3 2 13 5 4" xfId="2051" xr:uid="{ED50190D-3CFA-4E9B-B392-6E5B61C8B03A}"/>
    <cellStyle name="Heading 3 2 13 5 4 2" xfId="2052" xr:uid="{78012B88-900B-40E5-9224-D5B609CCD9F0}"/>
    <cellStyle name="Heading 3 2 13 6" xfId="2053" xr:uid="{4CC2FF94-CA94-480A-97B7-C2CF06B9D7BA}"/>
    <cellStyle name="Heading 3 2 13 6 2" xfId="2054" xr:uid="{15A08430-DA1B-4A4F-BF85-109456117FF1}"/>
    <cellStyle name="Heading 3 2 13 6 2 2" xfId="2055" xr:uid="{F1270EF1-4939-4778-9BDF-2BA495663475}"/>
    <cellStyle name="Heading 3 2 13 6 3" xfId="2056" xr:uid="{DB2DBF62-569D-4901-934F-284311090156}"/>
    <cellStyle name="Heading 3 2 13 6 3 2" xfId="2057" xr:uid="{0E4C0BD0-28CE-4558-8BC8-F0F96501A685}"/>
    <cellStyle name="Heading 3 2 13 6 4" xfId="2058" xr:uid="{6E4027F5-23F0-473F-9B6F-8BE5AFF8EE39}"/>
    <cellStyle name="Heading 3 2 13 6 4 2" xfId="2059" xr:uid="{249B7CCA-2FCB-4616-8017-6A5ECD72BAF2}"/>
    <cellStyle name="Heading 3 2 13 7" xfId="2060" xr:uid="{FCB314F1-DC64-41BB-BF2F-1208AD40CF94}"/>
    <cellStyle name="Heading 3 2 13 7 2" xfId="2061" xr:uid="{FA4006C2-AAD2-4292-8FA9-D0AB7F86FBF1}"/>
    <cellStyle name="Heading 3 2 13 7 2 2" xfId="2062" xr:uid="{2D354FF6-119E-459D-AF41-D8AA5DC7A585}"/>
    <cellStyle name="Heading 3 2 13 7 3" xfId="2063" xr:uid="{D659E1FD-4D88-4CCE-AFB0-A2D2818B3B79}"/>
    <cellStyle name="Heading 3 2 13 7 3 2" xfId="2064" xr:uid="{979F4147-F019-4B7E-A8DB-7C49B97A942D}"/>
    <cellStyle name="Heading 3 2 13 7 4" xfId="2065" xr:uid="{96299ECA-59D0-43BD-8F74-6A601E98E456}"/>
    <cellStyle name="Heading 3 2 13 7 4 2" xfId="2066" xr:uid="{F49C8280-D42F-4DA9-87C4-4B4D89DDA51B}"/>
    <cellStyle name="Heading 3 2 13 8" xfId="2067" xr:uid="{B1A00188-0AB8-4CAD-A551-B9435EB9154E}"/>
    <cellStyle name="Heading 3 2 13 8 2" xfId="2068" xr:uid="{FEB62308-E97D-4ECC-B1BC-37E2EC1BD44B}"/>
    <cellStyle name="Heading 3 2 13 8 2 2" xfId="2069" xr:uid="{FA7C46E3-D94B-4EE0-987C-21793112540C}"/>
    <cellStyle name="Heading 3 2 13 8 3" xfId="2070" xr:uid="{AF5D7A74-607F-4902-8A3E-B596C437B409}"/>
    <cellStyle name="Heading 3 2 13 8 3 2" xfId="2071" xr:uid="{8134B076-45D9-4E68-87D8-09CC7CBF5F51}"/>
    <cellStyle name="Heading 3 2 13 8 4" xfId="2072" xr:uid="{CB5FC8A0-3169-4494-BCA5-ADD156CED3F0}"/>
    <cellStyle name="Heading 3 2 13 8 4 2" xfId="2073" xr:uid="{C655AF75-22F1-4735-9786-ABB8B74AD97B}"/>
    <cellStyle name="Heading 3 2 13 9" xfId="2074" xr:uid="{567FA2EB-04FA-497F-9FFD-188BBA356998}"/>
    <cellStyle name="Heading 3 2 13 9 2" xfId="2075" xr:uid="{A30FC8AE-2C16-4904-9F5E-052F3145F58E}"/>
    <cellStyle name="Heading 3 2 13 9 2 2" xfId="2076" xr:uid="{806975EF-E9CA-4CAC-9B1B-F54EFC0B5807}"/>
    <cellStyle name="Heading 3 2 13 9 3" xfId="2077" xr:uid="{8A0C1DD5-CD5A-4D0A-BDD7-C30582137363}"/>
    <cellStyle name="Heading 3 2 13 9 3 2" xfId="2078" xr:uid="{8D7BF01C-AF18-4A16-8FA3-09C8766FC4A5}"/>
    <cellStyle name="Heading 3 2 13 9 4" xfId="2079" xr:uid="{B4743BB7-DFC9-4059-83C7-45C43C5C6655}"/>
    <cellStyle name="Heading 3 2 13 9 4 2" xfId="2080" xr:uid="{8D3D41C6-0BBD-4D92-B1C7-197BC3847817}"/>
    <cellStyle name="Heading 3 2 14" xfId="2081" xr:uid="{696A89E3-8EC8-4AF2-89C6-7F080EBAE07A}"/>
    <cellStyle name="Heading 3 2 14 10" xfId="2082" xr:uid="{659645DF-18F2-4D0C-A7F6-C5DC4D864523}"/>
    <cellStyle name="Heading 3 2 14 10 2" xfId="2083" xr:uid="{F0B611DF-545D-4006-A32B-AF57846854F7}"/>
    <cellStyle name="Heading 3 2 14 10 2 2" xfId="2084" xr:uid="{D30684E8-2B89-4D0B-838A-933763C1D365}"/>
    <cellStyle name="Heading 3 2 14 10 3" xfId="2085" xr:uid="{974AA61B-50DE-417C-92CC-0E9D63952EB6}"/>
    <cellStyle name="Heading 3 2 14 10 3 2" xfId="2086" xr:uid="{9ED2E3CA-2446-40C2-8305-9D5571C19367}"/>
    <cellStyle name="Heading 3 2 14 10 4" xfId="2087" xr:uid="{3D992023-F52D-4964-B3A4-A07E7D55332B}"/>
    <cellStyle name="Heading 3 2 14 10 4 2" xfId="2088" xr:uid="{693F2A3D-4D72-4DFF-AF1A-4E0AB06B850D}"/>
    <cellStyle name="Heading 3 2 14 11" xfId="2089" xr:uid="{BC941212-A248-485E-B4EE-1E81A7723C36}"/>
    <cellStyle name="Heading 3 2 14 11 2" xfId="2090" xr:uid="{6E4C1A74-532B-49EB-8A0F-699DF2DCE99C}"/>
    <cellStyle name="Heading 3 2 14 11 2 2" xfId="2091" xr:uid="{C4DB84A8-81B2-4CE2-B0A7-F0C24932556D}"/>
    <cellStyle name="Heading 3 2 14 11 3" xfId="2092" xr:uid="{5E970120-C339-47BB-8FB0-8359A6690E30}"/>
    <cellStyle name="Heading 3 2 14 11 3 2" xfId="2093" xr:uid="{42111B10-4B3E-4DB8-A8C4-FD19A3A898D0}"/>
    <cellStyle name="Heading 3 2 14 11 4" xfId="2094" xr:uid="{096518DE-30C9-43C3-950A-3A68F25BDBA2}"/>
    <cellStyle name="Heading 3 2 14 11 4 2" xfId="2095" xr:uid="{91A9B1B0-8918-43FF-9880-02E5AD7A9095}"/>
    <cellStyle name="Heading 3 2 14 12" xfId="2096" xr:uid="{8FB63FAC-BE2D-4817-853F-697327E229FE}"/>
    <cellStyle name="Heading 3 2 14 12 2" xfId="2097" xr:uid="{32E74166-5428-41D0-B041-B279032F618E}"/>
    <cellStyle name="Heading 3 2 14 12 2 2" xfId="2098" xr:uid="{6AE525EB-EAC3-4160-BD7E-7F4931EF02FD}"/>
    <cellStyle name="Heading 3 2 14 12 3" xfId="2099" xr:uid="{2374B26E-32F1-4D94-8B9F-C49BAA83A37C}"/>
    <cellStyle name="Heading 3 2 14 12 3 2" xfId="2100" xr:uid="{9F3FBEBB-05B7-4C1A-A3A7-9EA6DD64D023}"/>
    <cellStyle name="Heading 3 2 14 12 4" xfId="2101" xr:uid="{FBC691B8-F8BA-43F2-8129-41369F186953}"/>
    <cellStyle name="Heading 3 2 14 12 4 2" xfId="2102" xr:uid="{DD813420-F684-428B-92B2-DE2CA080B1FD}"/>
    <cellStyle name="Heading 3 2 14 13" xfId="2103" xr:uid="{44754643-283D-49AD-9509-B6BE9B141086}"/>
    <cellStyle name="Heading 3 2 14 13 2" xfId="2104" xr:uid="{BFD7AE92-B897-4812-9168-8442A205352A}"/>
    <cellStyle name="Heading 3 2 14 13 2 2" xfId="2105" xr:uid="{5D6EA0EB-1A3D-4176-B598-3EC6F4594577}"/>
    <cellStyle name="Heading 3 2 14 13 3" xfId="2106" xr:uid="{F1527A4F-A3AC-4045-9295-BEA3B8981CEF}"/>
    <cellStyle name="Heading 3 2 14 13 3 2" xfId="2107" xr:uid="{0CB2EA03-2468-40C8-9736-E6E6E0986A20}"/>
    <cellStyle name="Heading 3 2 14 13 4" xfId="2108" xr:uid="{3CDC44F0-A37C-43D2-9076-C34081D6B6B7}"/>
    <cellStyle name="Heading 3 2 14 13 4 2" xfId="2109" xr:uid="{227E9E03-A022-46AE-B0C1-060DEBCD43DC}"/>
    <cellStyle name="Heading 3 2 14 14" xfId="2110" xr:uid="{A11AFA24-5DC4-4AD8-AD97-7580F496DBA5}"/>
    <cellStyle name="Heading 3 2 14 14 2" xfId="2111" xr:uid="{C19FA9DC-D7CC-4035-BA06-C01AC7E7D2A0}"/>
    <cellStyle name="Heading 3 2 14 14 2 2" xfId="2112" xr:uid="{904AAE4A-1A04-4C06-AD89-02EC154C6DCD}"/>
    <cellStyle name="Heading 3 2 14 14 3" xfId="2113" xr:uid="{2F3E1E13-5F29-4958-8DC1-6B5AB80599B2}"/>
    <cellStyle name="Heading 3 2 14 14 3 2" xfId="2114" xr:uid="{DF8ACD05-30E3-4602-A2C0-780B845CC2DA}"/>
    <cellStyle name="Heading 3 2 14 14 4" xfId="2115" xr:uid="{7836175B-0626-4780-A35F-6D39158D27BE}"/>
    <cellStyle name="Heading 3 2 14 14 4 2" xfId="2116" xr:uid="{E22747BA-9D71-46F2-9C56-42042BE34086}"/>
    <cellStyle name="Heading 3 2 14 15" xfId="2117" xr:uid="{F3F3F5B3-317D-4F42-84D0-EE5895F0435A}"/>
    <cellStyle name="Heading 3 2 14 15 2" xfId="2118" xr:uid="{1B5CBB55-ACA5-4ADA-87E7-A2332A80E6E9}"/>
    <cellStyle name="Heading 3 2 14 15 2 2" xfId="2119" xr:uid="{5DF4CF44-69F6-4099-BD68-F8227D542D9A}"/>
    <cellStyle name="Heading 3 2 14 15 3" xfId="2120" xr:uid="{9BBA9013-ECE7-4181-AD40-1B7AAF805224}"/>
    <cellStyle name="Heading 3 2 14 15 3 2" xfId="2121" xr:uid="{81DB47D2-B3FD-4B43-A263-3335A08F6B9B}"/>
    <cellStyle name="Heading 3 2 14 15 4" xfId="2122" xr:uid="{E97ACE89-607F-4FC5-8AAB-86F499ED113F}"/>
    <cellStyle name="Heading 3 2 14 15 4 2" xfId="2123" xr:uid="{17FF7F26-93AD-41C7-9530-B60D06BDE270}"/>
    <cellStyle name="Heading 3 2 14 16" xfId="2124" xr:uid="{59253219-98E7-4507-99FF-D49DEDE3D08E}"/>
    <cellStyle name="Heading 3 2 14 16 2" xfId="2125" xr:uid="{16443117-3472-4E26-AAA9-1D27A6138173}"/>
    <cellStyle name="Heading 3 2 14 17" xfId="2126" xr:uid="{2A7611D1-D7DC-482C-A67A-7837273D84C0}"/>
    <cellStyle name="Heading 3 2 14 17 2" xfId="2127" xr:uid="{B1CBDD5C-2C5A-4DE9-9CC0-4C63F707DF4B}"/>
    <cellStyle name="Heading 3 2 14 18" xfId="2128" xr:uid="{67CDBB07-9CA4-4056-824E-587F125783D6}"/>
    <cellStyle name="Heading 3 2 14 18 2" xfId="2129" xr:uid="{C680CBA0-4905-4C4C-830C-B360D56E96CD}"/>
    <cellStyle name="Heading 3 2 14 19" xfId="2130" xr:uid="{DE74EC2A-3758-4F04-B419-DB6C62F15020}"/>
    <cellStyle name="Heading 3 2 14 2" xfId="2131" xr:uid="{4937A247-E508-44C4-BE4C-DF388F615E7F}"/>
    <cellStyle name="Heading 3 2 14 2 2" xfId="2132" xr:uid="{B7B6AF0C-784D-403C-83E4-410D45783342}"/>
    <cellStyle name="Heading 3 2 14 2 2 2" xfId="2133" xr:uid="{917A2000-C2C7-4270-BD5E-617B9633E35A}"/>
    <cellStyle name="Heading 3 2 14 2 3" xfId="2134" xr:uid="{DDA338F9-4361-43E3-A81E-5760FEF17E08}"/>
    <cellStyle name="Heading 3 2 14 2 3 2" xfId="2135" xr:uid="{C94388CC-EA62-4DBD-9EF7-527169AEA62A}"/>
    <cellStyle name="Heading 3 2 14 2 4" xfId="2136" xr:uid="{DC375337-33B2-4310-A465-838E29575494}"/>
    <cellStyle name="Heading 3 2 14 2 4 2" xfId="2137" xr:uid="{84D117C3-FEEE-4B62-B3F5-7BA9A8638EF0}"/>
    <cellStyle name="Heading 3 2 14 20" xfId="2138" xr:uid="{187E26C1-4EE3-46D2-A628-F41E458B7E02}"/>
    <cellStyle name="Heading 3 2 14 21" xfId="2139" xr:uid="{D3C89916-E771-4BEE-8B1D-F6651E0C9565}"/>
    <cellStyle name="Heading 3 2 14 22" xfId="2140" xr:uid="{B8BE2FAE-D813-44C1-B6F9-890086494BB5}"/>
    <cellStyle name="Heading 3 2 14 23" xfId="2141" xr:uid="{7E5A5559-7A91-4795-8D6C-5E8BAA88DC86}"/>
    <cellStyle name="Heading 3 2 14 24" xfId="2142" xr:uid="{C0CF8A74-B7D2-4A92-A84B-D1C8898886FD}"/>
    <cellStyle name="Heading 3 2 14 25" xfId="2143" xr:uid="{9A322EE1-954B-4993-84C6-CEDCABC6B54F}"/>
    <cellStyle name="Heading 3 2 14 3" xfId="2144" xr:uid="{5FEF6A47-D44D-4F98-9A5C-CD5DDFBF7A0D}"/>
    <cellStyle name="Heading 3 2 14 3 2" xfId="2145" xr:uid="{323F68FA-F121-4669-A34B-0898429E9B9A}"/>
    <cellStyle name="Heading 3 2 14 3 2 2" xfId="2146" xr:uid="{6399FA58-E8DE-4247-85DF-2E953735A8EE}"/>
    <cellStyle name="Heading 3 2 14 3 3" xfId="2147" xr:uid="{6B2F61BC-2E99-45C3-9AB7-FDC7E643E147}"/>
    <cellStyle name="Heading 3 2 14 3 3 2" xfId="2148" xr:uid="{1CF4F9F1-EA83-48ED-9A6E-36AB77424179}"/>
    <cellStyle name="Heading 3 2 14 3 4" xfId="2149" xr:uid="{BE839F17-F6DE-4910-B699-B1BE8DC65C21}"/>
    <cellStyle name="Heading 3 2 14 3 4 2" xfId="2150" xr:uid="{68B9370C-D497-4DF1-B490-547381724433}"/>
    <cellStyle name="Heading 3 2 14 4" xfId="2151" xr:uid="{63FDB380-2646-40C4-BBB9-3E682CB7FFDE}"/>
    <cellStyle name="Heading 3 2 14 4 2" xfId="2152" xr:uid="{44DFF2FC-22BB-414C-83AF-6B5DFAAD5D66}"/>
    <cellStyle name="Heading 3 2 14 4 2 2" xfId="2153" xr:uid="{9ED03D00-6550-44D1-BDEA-11F8314BA143}"/>
    <cellStyle name="Heading 3 2 14 4 3" xfId="2154" xr:uid="{1927C68E-B920-4B3A-BC2E-9F2EF4BFA4C0}"/>
    <cellStyle name="Heading 3 2 14 4 3 2" xfId="2155" xr:uid="{78D4630E-F68E-486A-9B9A-CC9682E490A8}"/>
    <cellStyle name="Heading 3 2 14 4 4" xfId="2156" xr:uid="{CC7B540E-18DA-45AF-B1BF-8804551E4AF7}"/>
    <cellStyle name="Heading 3 2 14 4 4 2" xfId="2157" xr:uid="{3C9E10BA-76EB-452F-AD8F-69E29611A10D}"/>
    <cellStyle name="Heading 3 2 14 5" xfId="2158" xr:uid="{5B9DC051-CCBB-4962-A764-AF6821FD5BDA}"/>
    <cellStyle name="Heading 3 2 14 5 2" xfId="2159" xr:uid="{D6A48C5D-335B-485F-81C3-629D79552B38}"/>
    <cellStyle name="Heading 3 2 14 5 2 2" xfId="2160" xr:uid="{FDE5E9FF-CAAC-4BAE-87A3-F0418FA8D97A}"/>
    <cellStyle name="Heading 3 2 14 5 3" xfId="2161" xr:uid="{91F8605A-2A4F-4752-99CB-38A9146A2251}"/>
    <cellStyle name="Heading 3 2 14 5 3 2" xfId="2162" xr:uid="{3C4FDBE3-D548-40C9-9D45-CBE696EF8B65}"/>
    <cellStyle name="Heading 3 2 14 5 4" xfId="2163" xr:uid="{2A3E1246-5D6D-44D0-AB3A-B37EAD598718}"/>
    <cellStyle name="Heading 3 2 14 5 4 2" xfId="2164" xr:uid="{30987FAF-4349-4101-966B-520E806D9E2B}"/>
    <cellStyle name="Heading 3 2 14 6" xfId="2165" xr:uid="{0ACC1E43-EEAC-4586-9527-789C350B0354}"/>
    <cellStyle name="Heading 3 2 14 6 2" xfId="2166" xr:uid="{76E48370-BCDB-4252-A31A-41551A96B6D4}"/>
    <cellStyle name="Heading 3 2 14 6 2 2" xfId="2167" xr:uid="{088F9470-7EA2-4180-8BA5-97E0ADBA7C46}"/>
    <cellStyle name="Heading 3 2 14 6 3" xfId="2168" xr:uid="{D0D7FF6C-335C-4C94-8D6E-44017F61E1E1}"/>
    <cellStyle name="Heading 3 2 14 6 3 2" xfId="2169" xr:uid="{D039B9B6-C378-49FE-8F65-A40E72E3A78E}"/>
    <cellStyle name="Heading 3 2 14 6 4" xfId="2170" xr:uid="{C4CE66EB-77F1-4066-8838-51B5A9644AB6}"/>
    <cellStyle name="Heading 3 2 14 6 4 2" xfId="2171" xr:uid="{A2276677-DF87-424F-A027-BC59364CABD3}"/>
    <cellStyle name="Heading 3 2 14 7" xfId="2172" xr:uid="{2E7DE6D7-BE85-44B8-B1FF-7BE26A695487}"/>
    <cellStyle name="Heading 3 2 14 7 2" xfId="2173" xr:uid="{D11DE6A0-012F-41A9-8D9C-42E6CAEC8B5A}"/>
    <cellStyle name="Heading 3 2 14 7 2 2" xfId="2174" xr:uid="{2B0FAF73-1F2E-4497-8386-4D2F10FB0B82}"/>
    <cellStyle name="Heading 3 2 14 7 3" xfId="2175" xr:uid="{71F72243-A3CF-4BBB-8F65-11B8AC188CD1}"/>
    <cellStyle name="Heading 3 2 14 7 3 2" xfId="2176" xr:uid="{579871D9-D419-4D67-A70E-3A90B47189B1}"/>
    <cellStyle name="Heading 3 2 14 7 4" xfId="2177" xr:uid="{952DE976-757A-477D-BE05-F74770C0EB52}"/>
    <cellStyle name="Heading 3 2 14 7 4 2" xfId="2178" xr:uid="{80DA90FD-7C6C-4AF4-BDE5-7716122A145B}"/>
    <cellStyle name="Heading 3 2 14 8" xfId="2179" xr:uid="{FF4E6597-8654-4A59-B5DD-A3C408815CA7}"/>
    <cellStyle name="Heading 3 2 14 8 2" xfId="2180" xr:uid="{5B7A0D49-C70A-45A8-AFD5-EBC596B9C715}"/>
    <cellStyle name="Heading 3 2 14 8 2 2" xfId="2181" xr:uid="{3808F575-B7AA-4933-A7A1-4B7258BBD8B5}"/>
    <cellStyle name="Heading 3 2 14 8 3" xfId="2182" xr:uid="{D3D09820-FD86-4F1D-81E9-45C896DD3596}"/>
    <cellStyle name="Heading 3 2 14 8 3 2" xfId="2183" xr:uid="{42218302-7B22-4755-B73B-9ECC9937743F}"/>
    <cellStyle name="Heading 3 2 14 8 4" xfId="2184" xr:uid="{7F9D3CEB-3310-419D-8164-46EBA0E8F969}"/>
    <cellStyle name="Heading 3 2 14 8 4 2" xfId="2185" xr:uid="{FE918278-F5C9-495B-9859-D984AAB61EA7}"/>
    <cellStyle name="Heading 3 2 14 9" xfId="2186" xr:uid="{CE10EBA4-D4E3-4F45-AE5E-DE4DFE49A855}"/>
    <cellStyle name="Heading 3 2 14 9 2" xfId="2187" xr:uid="{E4830EFE-A20B-42B7-B726-200573AC91E2}"/>
    <cellStyle name="Heading 3 2 14 9 2 2" xfId="2188" xr:uid="{443E52C8-D78F-4221-A0A8-51CD8F22FEB3}"/>
    <cellStyle name="Heading 3 2 14 9 3" xfId="2189" xr:uid="{456AE8EF-B53B-4FA0-99DD-FD909A96383A}"/>
    <cellStyle name="Heading 3 2 14 9 3 2" xfId="2190" xr:uid="{8F9D5A3D-DA80-4B77-BE26-622C3DDF9912}"/>
    <cellStyle name="Heading 3 2 14 9 4" xfId="2191" xr:uid="{DC391DC9-2F37-4F66-898E-CB49E536EE83}"/>
    <cellStyle name="Heading 3 2 14 9 4 2" xfId="2192" xr:uid="{DA6F76EF-63E8-45DA-B69A-CBB446537626}"/>
    <cellStyle name="Heading 3 2 15" xfId="2193" xr:uid="{D0BD959E-85E6-410F-AF8E-F104E89A9968}"/>
    <cellStyle name="Heading 3 2 15 10" xfId="2194" xr:uid="{86E3FD29-1597-4A71-A126-CDEB1C0F1E36}"/>
    <cellStyle name="Heading 3 2 15 10 2" xfId="2195" xr:uid="{7AEDFB0D-1F3A-4856-A144-C18712C13CD1}"/>
    <cellStyle name="Heading 3 2 15 10 2 2" xfId="2196" xr:uid="{7A76521C-ABC8-49AB-A0BE-AFDED83EDE9E}"/>
    <cellStyle name="Heading 3 2 15 10 3" xfId="2197" xr:uid="{E1C3D9C1-C5F8-444C-B4AA-E2FFD5F2FCE0}"/>
    <cellStyle name="Heading 3 2 15 10 3 2" xfId="2198" xr:uid="{BF2C1235-7224-4A58-9457-2CB6AB336DF4}"/>
    <cellStyle name="Heading 3 2 15 10 4" xfId="2199" xr:uid="{24C6AC3A-80A7-4CC8-A135-810CC90692A1}"/>
    <cellStyle name="Heading 3 2 15 10 4 2" xfId="2200" xr:uid="{8FF75AE0-27CF-4394-8114-50EF07DB6000}"/>
    <cellStyle name="Heading 3 2 15 11" xfId="2201" xr:uid="{7ABDA4DF-6A2C-4A44-9B80-F32B7F11C208}"/>
    <cellStyle name="Heading 3 2 15 11 2" xfId="2202" xr:uid="{68DFA8DF-7D13-416E-B8B0-E0A87F33AA02}"/>
    <cellStyle name="Heading 3 2 15 11 2 2" xfId="2203" xr:uid="{3C73EC13-E251-41B5-B808-B6B5AB21C9B3}"/>
    <cellStyle name="Heading 3 2 15 11 3" xfId="2204" xr:uid="{65978289-C9C9-4E22-9FBD-E51CB1226E89}"/>
    <cellStyle name="Heading 3 2 15 11 3 2" xfId="2205" xr:uid="{A3DF4B89-C08E-44B4-920F-E048073E6DD4}"/>
    <cellStyle name="Heading 3 2 15 11 4" xfId="2206" xr:uid="{C9A67ADF-E917-4341-B873-B2C637E7E872}"/>
    <cellStyle name="Heading 3 2 15 11 4 2" xfId="2207" xr:uid="{3B5D7C84-E73F-41BD-AFA1-3452F13CFD6F}"/>
    <cellStyle name="Heading 3 2 15 12" xfId="2208" xr:uid="{412AA98B-88C1-42A4-B4F3-94F428DD94FC}"/>
    <cellStyle name="Heading 3 2 15 12 2" xfId="2209" xr:uid="{64F323B8-10E0-4745-A2B0-BE6494CF480A}"/>
    <cellStyle name="Heading 3 2 15 12 2 2" xfId="2210" xr:uid="{C29D62FD-8503-478A-8B57-FD5604C5EC8C}"/>
    <cellStyle name="Heading 3 2 15 12 3" xfId="2211" xr:uid="{E4321747-0C8F-48D4-ABC2-147FCC14B672}"/>
    <cellStyle name="Heading 3 2 15 12 3 2" xfId="2212" xr:uid="{2430E3FC-0822-4587-B635-941F65352CED}"/>
    <cellStyle name="Heading 3 2 15 12 4" xfId="2213" xr:uid="{A0C7511C-9A29-446D-B694-70F641A63515}"/>
    <cellStyle name="Heading 3 2 15 12 4 2" xfId="2214" xr:uid="{9FEDBFA0-1143-4B41-AD18-24AD726B734F}"/>
    <cellStyle name="Heading 3 2 15 13" xfId="2215" xr:uid="{F1E600F7-A732-466B-991D-1470F220FDA8}"/>
    <cellStyle name="Heading 3 2 15 13 2" xfId="2216" xr:uid="{20160391-209C-4D03-AEFD-0B5C4A587F67}"/>
    <cellStyle name="Heading 3 2 15 13 2 2" xfId="2217" xr:uid="{024BFA76-972E-4D7A-8A35-348C444A3844}"/>
    <cellStyle name="Heading 3 2 15 13 3" xfId="2218" xr:uid="{91C321BB-A256-41F4-9924-8A713B03D92E}"/>
    <cellStyle name="Heading 3 2 15 13 3 2" xfId="2219" xr:uid="{5E3B374C-B39B-43D5-A29E-03C782A9E8AC}"/>
    <cellStyle name="Heading 3 2 15 13 4" xfId="2220" xr:uid="{3C59004B-7804-4474-85A7-826D7D6A4B4D}"/>
    <cellStyle name="Heading 3 2 15 13 4 2" xfId="2221" xr:uid="{C0141BBE-DE0F-46EF-8444-6D3F8C03C209}"/>
    <cellStyle name="Heading 3 2 15 14" xfId="2222" xr:uid="{32DF9499-9FCF-4D7B-A27D-3CF9430A8AFA}"/>
    <cellStyle name="Heading 3 2 15 14 2" xfId="2223" xr:uid="{3D47C968-240D-4BF7-8E97-420C27EE864D}"/>
    <cellStyle name="Heading 3 2 15 14 2 2" xfId="2224" xr:uid="{9F64217C-CD15-4DB2-94E4-12D741C32019}"/>
    <cellStyle name="Heading 3 2 15 14 3" xfId="2225" xr:uid="{200B5E8D-26F7-4D59-A4D5-CE0BC81B7CEF}"/>
    <cellStyle name="Heading 3 2 15 14 3 2" xfId="2226" xr:uid="{48086370-5E45-40F1-8B44-331EAC85216A}"/>
    <cellStyle name="Heading 3 2 15 14 4" xfId="2227" xr:uid="{BDBF2142-AC2F-4F41-A7A8-1A46178C5C39}"/>
    <cellStyle name="Heading 3 2 15 14 4 2" xfId="2228" xr:uid="{B37FF1E7-4899-45E3-97B5-243E502AEE92}"/>
    <cellStyle name="Heading 3 2 15 15" xfId="2229" xr:uid="{9779499D-3626-406B-8EB9-AA39315662C8}"/>
    <cellStyle name="Heading 3 2 15 15 2" xfId="2230" xr:uid="{A720B101-DDCF-46C9-9827-DB9C497426A8}"/>
    <cellStyle name="Heading 3 2 15 15 2 2" xfId="2231" xr:uid="{21AC5122-25DC-4F92-90E8-FABD42CD5365}"/>
    <cellStyle name="Heading 3 2 15 15 3" xfId="2232" xr:uid="{A28DF748-B4AF-4600-BEDA-FB8D5B78705B}"/>
    <cellStyle name="Heading 3 2 15 15 3 2" xfId="2233" xr:uid="{C3D9FA74-DEFF-44E1-AF5A-1E96928FAF0C}"/>
    <cellStyle name="Heading 3 2 15 15 4" xfId="2234" xr:uid="{8075B67D-13D2-4994-A59B-269A7D46C6ED}"/>
    <cellStyle name="Heading 3 2 15 15 4 2" xfId="2235" xr:uid="{AF8A93B3-02AC-43CF-8C00-BB3B06A0F038}"/>
    <cellStyle name="Heading 3 2 15 16" xfId="2236" xr:uid="{23BBBC82-1AD4-468D-940E-8D4A81CAD4C6}"/>
    <cellStyle name="Heading 3 2 15 16 2" xfId="2237" xr:uid="{ABDDB90B-3D39-4AB9-BC67-1C7831A80984}"/>
    <cellStyle name="Heading 3 2 15 17" xfId="2238" xr:uid="{8569FE90-3258-4E0E-AD2F-0EAC57665B15}"/>
    <cellStyle name="Heading 3 2 15 17 2" xfId="2239" xr:uid="{E53A3E0E-6706-488C-B7FF-82F3E26D6009}"/>
    <cellStyle name="Heading 3 2 15 18" xfId="2240" xr:uid="{9408CE4E-2ADF-4035-811B-7FFF4169FEBC}"/>
    <cellStyle name="Heading 3 2 15 18 2" xfId="2241" xr:uid="{EDF6DCF2-1904-4AE3-A494-D95B3517A685}"/>
    <cellStyle name="Heading 3 2 15 19" xfId="2242" xr:uid="{03A08960-D97B-4C01-B71D-5629E85BEF6B}"/>
    <cellStyle name="Heading 3 2 15 2" xfId="2243" xr:uid="{C27861D4-E69F-441C-92A4-EA223114A386}"/>
    <cellStyle name="Heading 3 2 15 2 2" xfId="2244" xr:uid="{19F97F08-95D6-40B6-9A3E-35568DDEA28B}"/>
    <cellStyle name="Heading 3 2 15 2 2 2" xfId="2245" xr:uid="{DD652671-C3C6-4729-BA22-D974D27D52CC}"/>
    <cellStyle name="Heading 3 2 15 2 3" xfId="2246" xr:uid="{F15CF1E8-393D-44E1-B325-D240872AD32F}"/>
    <cellStyle name="Heading 3 2 15 2 3 2" xfId="2247" xr:uid="{59C91863-D81F-4FDC-84E8-8425522C9700}"/>
    <cellStyle name="Heading 3 2 15 2 4" xfId="2248" xr:uid="{E0B4BC0F-FB64-4A59-9260-828431AB4606}"/>
    <cellStyle name="Heading 3 2 15 2 4 2" xfId="2249" xr:uid="{CC755F80-6E20-4963-B3DB-0291312EB5E7}"/>
    <cellStyle name="Heading 3 2 15 20" xfId="2250" xr:uid="{0969E456-151B-4AEA-A5E6-DB5B64F186A5}"/>
    <cellStyle name="Heading 3 2 15 21" xfId="2251" xr:uid="{D4A9A674-24FA-4C47-8682-559450460CB8}"/>
    <cellStyle name="Heading 3 2 15 22" xfId="2252" xr:uid="{C58BEF24-76E9-419F-81E1-D84B282F2F94}"/>
    <cellStyle name="Heading 3 2 15 23" xfId="2253" xr:uid="{1385CE88-62C6-42A9-8265-93A8F9EE88F5}"/>
    <cellStyle name="Heading 3 2 15 24" xfId="2254" xr:uid="{E45D98CA-5389-41ED-857F-7480FF4282F5}"/>
    <cellStyle name="Heading 3 2 15 25" xfId="2255" xr:uid="{4B368EBF-D786-4599-A1B8-FC2A1A27369F}"/>
    <cellStyle name="Heading 3 2 15 3" xfId="2256" xr:uid="{740595DB-3F20-46A6-B8F2-671FFB5F902D}"/>
    <cellStyle name="Heading 3 2 15 3 2" xfId="2257" xr:uid="{55E3F1C0-5E7F-49AF-BABA-52A4231A1E4E}"/>
    <cellStyle name="Heading 3 2 15 3 2 2" xfId="2258" xr:uid="{D2E805A4-B796-4B32-81CF-DA093C691321}"/>
    <cellStyle name="Heading 3 2 15 3 3" xfId="2259" xr:uid="{A9EDB39D-02A6-46A5-9370-50A69E6E1560}"/>
    <cellStyle name="Heading 3 2 15 3 3 2" xfId="2260" xr:uid="{9E240C12-0CA3-461E-AD52-289CF87326B4}"/>
    <cellStyle name="Heading 3 2 15 3 4" xfId="2261" xr:uid="{C1C1DF34-0E22-4FBB-A4FF-D8948B1ABFDA}"/>
    <cellStyle name="Heading 3 2 15 3 4 2" xfId="2262" xr:uid="{E636E291-58D8-4FA2-A08E-901310055CB4}"/>
    <cellStyle name="Heading 3 2 15 4" xfId="2263" xr:uid="{ABA11406-F6B4-42AC-85F7-D2D84B274BA3}"/>
    <cellStyle name="Heading 3 2 15 4 2" xfId="2264" xr:uid="{4007C453-A69B-48C1-BB10-4454EC5E480F}"/>
    <cellStyle name="Heading 3 2 15 4 2 2" xfId="2265" xr:uid="{326C48DA-96F3-455D-A6F3-1D529210CED9}"/>
    <cellStyle name="Heading 3 2 15 4 3" xfId="2266" xr:uid="{97C18457-41D5-4EF5-88B5-2F7C66A7F8F5}"/>
    <cellStyle name="Heading 3 2 15 4 3 2" xfId="2267" xr:uid="{7589395E-332A-4460-995F-B4E8767AD775}"/>
    <cellStyle name="Heading 3 2 15 4 4" xfId="2268" xr:uid="{A82A0E7C-84E2-41C0-8D0E-5018124DCA70}"/>
    <cellStyle name="Heading 3 2 15 4 4 2" xfId="2269" xr:uid="{31D95390-C90E-4341-AB1C-5E7A63408C30}"/>
    <cellStyle name="Heading 3 2 15 5" xfId="2270" xr:uid="{4D68D3B1-406C-4025-BF31-FAAC7150E056}"/>
    <cellStyle name="Heading 3 2 15 5 2" xfId="2271" xr:uid="{C1ED82E4-84BA-4496-906E-15091B12C7CF}"/>
    <cellStyle name="Heading 3 2 15 5 2 2" xfId="2272" xr:uid="{42EA9B97-83F5-44F8-BE29-9A905850ACE9}"/>
    <cellStyle name="Heading 3 2 15 5 3" xfId="2273" xr:uid="{1CC6673F-F89A-40C5-B1BB-8DBAC8F18F04}"/>
    <cellStyle name="Heading 3 2 15 5 3 2" xfId="2274" xr:uid="{0FE4FFB7-C01C-468E-AE43-440C6167C065}"/>
    <cellStyle name="Heading 3 2 15 5 4" xfId="2275" xr:uid="{1387108D-0603-4923-8E82-9C1FC0E271D6}"/>
    <cellStyle name="Heading 3 2 15 5 4 2" xfId="2276" xr:uid="{37D169D9-FF8B-4B31-A007-2167E48D85A3}"/>
    <cellStyle name="Heading 3 2 15 6" xfId="2277" xr:uid="{FD433617-87B9-4332-AC28-79E9C0417064}"/>
    <cellStyle name="Heading 3 2 15 6 2" xfId="2278" xr:uid="{ED48226A-145D-4902-B82E-B01E1316EC76}"/>
    <cellStyle name="Heading 3 2 15 6 2 2" xfId="2279" xr:uid="{41179D67-1175-4D64-A9B6-B3EB115A8A0E}"/>
    <cellStyle name="Heading 3 2 15 6 3" xfId="2280" xr:uid="{6DFE5DBF-5975-4D9B-9110-C4296B85807B}"/>
    <cellStyle name="Heading 3 2 15 6 3 2" xfId="2281" xr:uid="{35FE9E40-AA85-4505-833D-94257AE18738}"/>
    <cellStyle name="Heading 3 2 15 6 4" xfId="2282" xr:uid="{07519166-9B88-4709-87DC-DDAC6807A16D}"/>
    <cellStyle name="Heading 3 2 15 6 4 2" xfId="2283" xr:uid="{59BDA991-FB85-46BD-84D0-1895704C7D58}"/>
    <cellStyle name="Heading 3 2 15 7" xfId="2284" xr:uid="{8D246BD4-AD3E-4210-9ACE-522CB33105E6}"/>
    <cellStyle name="Heading 3 2 15 7 2" xfId="2285" xr:uid="{AAB2332F-0008-4393-A9A7-FA349D139A8C}"/>
    <cellStyle name="Heading 3 2 15 7 2 2" xfId="2286" xr:uid="{32397289-B32C-489F-86F4-EE67C76DB71B}"/>
    <cellStyle name="Heading 3 2 15 7 3" xfId="2287" xr:uid="{D8F8C9D8-DBEF-4EE7-8567-93EFE441896F}"/>
    <cellStyle name="Heading 3 2 15 7 3 2" xfId="2288" xr:uid="{F808E7A4-BD83-4F94-85CA-9136CA53A533}"/>
    <cellStyle name="Heading 3 2 15 7 4" xfId="2289" xr:uid="{70C857E4-A769-4FAC-B6AE-9EF31E488906}"/>
    <cellStyle name="Heading 3 2 15 7 4 2" xfId="2290" xr:uid="{BE951F4A-BD5E-48CA-A131-26BA809B9E24}"/>
    <cellStyle name="Heading 3 2 15 8" xfId="2291" xr:uid="{1018B2CD-A4BD-457E-A9B7-9CBF4E52B033}"/>
    <cellStyle name="Heading 3 2 15 8 2" xfId="2292" xr:uid="{FDD5A698-3A8E-41AA-A5FF-F5961D19E35F}"/>
    <cellStyle name="Heading 3 2 15 8 2 2" xfId="2293" xr:uid="{B6FF2A2A-9EAD-4B99-B1B6-13FDF8A27E85}"/>
    <cellStyle name="Heading 3 2 15 8 3" xfId="2294" xr:uid="{BAB88704-4FAE-44E9-91EA-DDA5169D6329}"/>
    <cellStyle name="Heading 3 2 15 8 3 2" xfId="2295" xr:uid="{172718D7-E495-47AE-96EE-D5045AC99B96}"/>
    <cellStyle name="Heading 3 2 15 8 4" xfId="2296" xr:uid="{95330E30-45B6-41FD-815D-E6E9C05492AD}"/>
    <cellStyle name="Heading 3 2 15 8 4 2" xfId="2297" xr:uid="{397A8D38-7AEE-4F9E-B548-7051D1F41F5C}"/>
    <cellStyle name="Heading 3 2 15 9" xfId="2298" xr:uid="{EDC6B2C6-7270-44EA-97A4-FF8C7BA7FA6D}"/>
    <cellStyle name="Heading 3 2 15 9 2" xfId="2299" xr:uid="{A97E1A63-1EAC-45B1-872C-5375450229F0}"/>
    <cellStyle name="Heading 3 2 15 9 2 2" xfId="2300" xr:uid="{4AA35F8C-C4C9-4D1B-A667-12EE75A5CBD8}"/>
    <cellStyle name="Heading 3 2 15 9 3" xfId="2301" xr:uid="{4158A5A6-D56F-4D4F-83BF-FB01218E6095}"/>
    <cellStyle name="Heading 3 2 15 9 3 2" xfId="2302" xr:uid="{1B4043F5-CBD6-4E3E-AF1E-4AF5A448F76D}"/>
    <cellStyle name="Heading 3 2 15 9 4" xfId="2303" xr:uid="{3E40FB86-3247-444A-9288-68AF6EB28C90}"/>
    <cellStyle name="Heading 3 2 15 9 4 2" xfId="2304" xr:uid="{B4298737-946B-4C11-AB0D-9368916651C7}"/>
    <cellStyle name="Heading 3 2 16" xfId="2305" xr:uid="{7598E269-184D-472F-AA9A-14555581A4B3}"/>
    <cellStyle name="Heading 3 2 16 10" xfId="2306" xr:uid="{9AC6E0C9-B031-4662-A473-685F31D32F19}"/>
    <cellStyle name="Heading 3 2 16 10 2" xfId="2307" xr:uid="{2B67EDFC-2357-4F1B-9285-DEBC359DD632}"/>
    <cellStyle name="Heading 3 2 16 10 2 2" xfId="2308" xr:uid="{923FF86E-201E-4D05-87C5-728E72A0D74C}"/>
    <cellStyle name="Heading 3 2 16 10 3" xfId="2309" xr:uid="{A63915EB-854F-43B9-AA3D-64F47CA26701}"/>
    <cellStyle name="Heading 3 2 16 10 3 2" xfId="2310" xr:uid="{4D0FFA9C-8BBB-44CE-ABFC-EBF7E3D3B087}"/>
    <cellStyle name="Heading 3 2 16 10 4" xfId="2311" xr:uid="{0A889379-36EF-429C-B23F-BE9D7C274DE8}"/>
    <cellStyle name="Heading 3 2 16 10 4 2" xfId="2312" xr:uid="{03CA76B3-8522-4F69-A7B9-420E3A9A0DCB}"/>
    <cellStyle name="Heading 3 2 16 11" xfId="2313" xr:uid="{3D6FF691-F4C4-4CBF-AEFC-D81C434FBD3C}"/>
    <cellStyle name="Heading 3 2 16 11 2" xfId="2314" xr:uid="{7784C58A-769C-4243-87B8-71BB1350D283}"/>
    <cellStyle name="Heading 3 2 16 11 2 2" xfId="2315" xr:uid="{5B88505B-E2AF-48A8-93E7-8AB8AA070BD0}"/>
    <cellStyle name="Heading 3 2 16 11 3" xfId="2316" xr:uid="{CA21E2E2-E7D3-4F47-AFB2-37DC937EB06F}"/>
    <cellStyle name="Heading 3 2 16 11 3 2" xfId="2317" xr:uid="{AAE2FE04-7B91-4E30-87AA-7B534092FFB9}"/>
    <cellStyle name="Heading 3 2 16 11 4" xfId="2318" xr:uid="{1B84C905-571C-4B83-B8DA-7372E75874E4}"/>
    <cellStyle name="Heading 3 2 16 11 4 2" xfId="2319" xr:uid="{38F62696-1859-46CF-A7DF-5193AC2B52E6}"/>
    <cellStyle name="Heading 3 2 16 12" xfId="2320" xr:uid="{DF2707C6-65E1-4AF7-B702-18F5551B0428}"/>
    <cellStyle name="Heading 3 2 16 12 2" xfId="2321" xr:uid="{89F4D35A-E09D-460A-8182-57F2BA04D7E0}"/>
    <cellStyle name="Heading 3 2 16 12 2 2" xfId="2322" xr:uid="{0EBC6BAB-85D3-4317-8E19-BA0BA50972C1}"/>
    <cellStyle name="Heading 3 2 16 12 3" xfId="2323" xr:uid="{5F4ADD73-4E31-498A-B4F1-3174D1E572FE}"/>
    <cellStyle name="Heading 3 2 16 12 3 2" xfId="2324" xr:uid="{7B4FAD18-ECF1-4143-BC02-B0796D4077E8}"/>
    <cellStyle name="Heading 3 2 16 12 4" xfId="2325" xr:uid="{DCAFAD61-AFE6-48B1-B989-DC288ED3324A}"/>
    <cellStyle name="Heading 3 2 16 12 4 2" xfId="2326" xr:uid="{9F9387E2-ECD4-4F44-BF8B-321EF4073F1F}"/>
    <cellStyle name="Heading 3 2 16 13" xfId="2327" xr:uid="{EE422F1B-5306-4E6F-B5F9-D0426B073530}"/>
    <cellStyle name="Heading 3 2 16 13 2" xfId="2328" xr:uid="{8CC7B2B9-F6C0-45B3-B7D5-64FF9AC33E57}"/>
    <cellStyle name="Heading 3 2 16 13 2 2" xfId="2329" xr:uid="{98E3C431-29F7-455E-B8C7-270E59498649}"/>
    <cellStyle name="Heading 3 2 16 13 3" xfId="2330" xr:uid="{3626B6D7-8F70-4709-84B0-D856FBC7F0E9}"/>
    <cellStyle name="Heading 3 2 16 13 3 2" xfId="2331" xr:uid="{AC54D9AB-E994-407B-824E-66B0B0E66CE2}"/>
    <cellStyle name="Heading 3 2 16 13 4" xfId="2332" xr:uid="{E2E99887-B6D7-4A1B-8184-076DF7825C0E}"/>
    <cellStyle name="Heading 3 2 16 13 4 2" xfId="2333" xr:uid="{4F923560-741A-45C2-B99E-582B92B7B386}"/>
    <cellStyle name="Heading 3 2 16 14" xfId="2334" xr:uid="{247698C3-8810-48AC-867C-605539565335}"/>
    <cellStyle name="Heading 3 2 16 14 2" xfId="2335" xr:uid="{F78537C9-3EFE-4AAE-8779-1F8DB6979DA5}"/>
    <cellStyle name="Heading 3 2 16 14 2 2" xfId="2336" xr:uid="{4E3AA09A-856D-4EF1-8F92-F099F274DDD7}"/>
    <cellStyle name="Heading 3 2 16 14 3" xfId="2337" xr:uid="{163F4D1A-A611-484D-98DC-1E3DB7ED5DF8}"/>
    <cellStyle name="Heading 3 2 16 14 3 2" xfId="2338" xr:uid="{34BBED23-25A7-4813-AF5F-362E032F88D2}"/>
    <cellStyle name="Heading 3 2 16 14 4" xfId="2339" xr:uid="{B3110952-5D2C-4726-86D8-D37D280B3A5C}"/>
    <cellStyle name="Heading 3 2 16 14 4 2" xfId="2340" xr:uid="{A5C615D5-5B61-4C26-B036-44977003A0D6}"/>
    <cellStyle name="Heading 3 2 16 15" xfId="2341" xr:uid="{BE1DCB53-99D9-49D8-B0E4-E5BFA5179A26}"/>
    <cellStyle name="Heading 3 2 16 15 2" xfId="2342" xr:uid="{E14756AB-5D2F-4D1B-BF14-AD9B6704891B}"/>
    <cellStyle name="Heading 3 2 16 15 2 2" xfId="2343" xr:uid="{F625F470-5AB6-4002-B3E9-79DF20D71956}"/>
    <cellStyle name="Heading 3 2 16 15 3" xfId="2344" xr:uid="{7FAA6562-9573-4F0E-9696-6631C6B5E5F6}"/>
    <cellStyle name="Heading 3 2 16 15 3 2" xfId="2345" xr:uid="{5E209D20-719E-4061-9CAD-6C4377254E10}"/>
    <cellStyle name="Heading 3 2 16 15 4" xfId="2346" xr:uid="{AC65C5E7-C7F2-496D-815E-733C804456CC}"/>
    <cellStyle name="Heading 3 2 16 15 4 2" xfId="2347" xr:uid="{3BC98E03-ABE8-42A3-9E80-D898DB741979}"/>
    <cellStyle name="Heading 3 2 16 16" xfId="2348" xr:uid="{232BC9B6-25BF-4093-96EB-A9DF323EFDD2}"/>
    <cellStyle name="Heading 3 2 16 16 2" xfId="2349" xr:uid="{601E8DBC-7DEF-49F3-9E1F-F4B76C85B145}"/>
    <cellStyle name="Heading 3 2 16 17" xfId="2350" xr:uid="{A375D85C-8FF8-404F-8C41-1790B3198F21}"/>
    <cellStyle name="Heading 3 2 16 17 2" xfId="2351" xr:uid="{A106CB8F-2045-4221-9922-690EEEFA2BE3}"/>
    <cellStyle name="Heading 3 2 16 18" xfId="2352" xr:uid="{ACED5290-0E3F-4C4E-BF22-13BC729D8382}"/>
    <cellStyle name="Heading 3 2 16 18 2" xfId="2353" xr:uid="{E6042A38-DCC9-40CE-94DA-C08E0779F612}"/>
    <cellStyle name="Heading 3 2 16 19" xfId="2354" xr:uid="{73BFEC6D-0C2D-43AA-8E97-638F7CA2B6F0}"/>
    <cellStyle name="Heading 3 2 16 2" xfId="2355" xr:uid="{2B06D8F7-F7FE-47CF-81C9-79CA6EA1F8E4}"/>
    <cellStyle name="Heading 3 2 16 2 2" xfId="2356" xr:uid="{98EB9341-9D46-42F6-A8C9-0C1EFB413C60}"/>
    <cellStyle name="Heading 3 2 16 2 2 2" xfId="2357" xr:uid="{DA2C4F7B-5533-4BB7-9928-25807756BF7C}"/>
    <cellStyle name="Heading 3 2 16 2 3" xfId="2358" xr:uid="{4AB4D678-A21D-464E-9FCE-09430488321D}"/>
    <cellStyle name="Heading 3 2 16 2 3 2" xfId="2359" xr:uid="{24A3A8ED-0B62-4CC0-91E8-FCB37215037D}"/>
    <cellStyle name="Heading 3 2 16 2 4" xfId="2360" xr:uid="{D75B177C-46C7-4B60-962B-3F7446259C67}"/>
    <cellStyle name="Heading 3 2 16 2 4 2" xfId="2361" xr:uid="{448F9ACF-EF3F-46CA-8929-BE1AB0D6959D}"/>
    <cellStyle name="Heading 3 2 16 20" xfId="2362" xr:uid="{B0BB481E-21F2-45F2-B544-A4F59E50E15B}"/>
    <cellStyle name="Heading 3 2 16 21" xfId="2363" xr:uid="{F53BEC0D-35B1-4A8A-941B-7575700F1CE2}"/>
    <cellStyle name="Heading 3 2 16 22" xfId="2364" xr:uid="{386BC8BB-1D8F-462F-ABB0-8A7797FA5194}"/>
    <cellStyle name="Heading 3 2 16 23" xfId="2365" xr:uid="{E05D23D4-C414-4BFE-AAA2-230699EA687E}"/>
    <cellStyle name="Heading 3 2 16 24" xfId="2366" xr:uid="{8D56C03C-BE9A-42AD-8142-919B3BEF4419}"/>
    <cellStyle name="Heading 3 2 16 25" xfId="2367" xr:uid="{E80C83CF-86AB-4D62-80CE-08DBB0592712}"/>
    <cellStyle name="Heading 3 2 16 3" xfId="2368" xr:uid="{451834FB-9095-4DD5-9A48-C2A555D2A868}"/>
    <cellStyle name="Heading 3 2 16 3 2" xfId="2369" xr:uid="{D906B7DE-1D6C-4D71-A8F6-13A096D8BC01}"/>
    <cellStyle name="Heading 3 2 16 3 2 2" xfId="2370" xr:uid="{8DE8A8D3-27EC-4DEB-8854-EB768560478E}"/>
    <cellStyle name="Heading 3 2 16 3 3" xfId="2371" xr:uid="{1850A4A2-A2B2-41DB-B93A-7F07075ABB1D}"/>
    <cellStyle name="Heading 3 2 16 3 3 2" xfId="2372" xr:uid="{E8A1BD62-D326-4638-A9AC-104E22C87E83}"/>
    <cellStyle name="Heading 3 2 16 3 4" xfId="2373" xr:uid="{84252AC0-422D-401D-9B10-B599DC99A239}"/>
    <cellStyle name="Heading 3 2 16 3 4 2" xfId="2374" xr:uid="{6ACEF6A2-D1D5-4A0E-AA4C-30AD6782E68B}"/>
    <cellStyle name="Heading 3 2 16 4" xfId="2375" xr:uid="{D1B1D85F-2227-457A-826C-623DFBBBD236}"/>
    <cellStyle name="Heading 3 2 16 4 2" xfId="2376" xr:uid="{ED670EF6-FE05-4359-B976-DED2DF899F62}"/>
    <cellStyle name="Heading 3 2 16 4 2 2" xfId="2377" xr:uid="{829A0409-E095-4410-98B5-AC24B6DAA40E}"/>
    <cellStyle name="Heading 3 2 16 4 3" xfId="2378" xr:uid="{F39D419D-5DE5-4510-BBB5-8C10DAD8427F}"/>
    <cellStyle name="Heading 3 2 16 4 3 2" xfId="2379" xr:uid="{5EE90FBD-ED48-421F-84F4-707A7166B003}"/>
    <cellStyle name="Heading 3 2 16 4 4" xfId="2380" xr:uid="{44C220C0-36A2-4D22-995E-5BD8F199F3DA}"/>
    <cellStyle name="Heading 3 2 16 4 4 2" xfId="2381" xr:uid="{62E3C920-382C-40B3-8B8C-8CA6244A58C4}"/>
    <cellStyle name="Heading 3 2 16 5" xfId="2382" xr:uid="{E103F008-45D5-432B-A885-58BD2D50C6BA}"/>
    <cellStyle name="Heading 3 2 16 5 2" xfId="2383" xr:uid="{7504B58D-0946-481E-8C25-28A5A349ED77}"/>
    <cellStyle name="Heading 3 2 16 5 2 2" xfId="2384" xr:uid="{5EF5455B-8679-4C1F-AA8F-09D44F52EA69}"/>
    <cellStyle name="Heading 3 2 16 5 3" xfId="2385" xr:uid="{B79DE8EC-95BC-4B87-955B-A0EA2B6A70DC}"/>
    <cellStyle name="Heading 3 2 16 5 3 2" xfId="2386" xr:uid="{83590566-33DD-4CC0-932A-4B7EB2CC1080}"/>
    <cellStyle name="Heading 3 2 16 5 4" xfId="2387" xr:uid="{5271D6C2-1878-401A-A788-217CB80210C1}"/>
    <cellStyle name="Heading 3 2 16 5 4 2" xfId="2388" xr:uid="{97483E31-E246-40F2-8B7F-14BDE98A7D19}"/>
    <cellStyle name="Heading 3 2 16 6" xfId="2389" xr:uid="{7629EFC6-31DF-43BE-A1A1-F810E73E02A5}"/>
    <cellStyle name="Heading 3 2 16 6 2" xfId="2390" xr:uid="{9DC8D15B-4D3B-4764-8608-EE804212094B}"/>
    <cellStyle name="Heading 3 2 16 6 2 2" xfId="2391" xr:uid="{BAECBA65-5832-4721-82BF-1FEE241EBAAE}"/>
    <cellStyle name="Heading 3 2 16 6 3" xfId="2392" xr:uid="{029F3E78-2DBA-40FB-9BF7-D3602BF63504}"/>
    <cellStyle name="Heading 3 2 16 6 3 2" xfId="2393" xr:uid="{02DA4294-615E-4869-9893-192CC5DB8A30}"/>
    <cellStyle name="Heading 3 2 16 6 4" xfId="2394" xr:uid="{508B0A6C-A36F-4F49-8D40-D25896BCEF13}"/>
    <cellStyle name="Heading 3 2 16 6 4 2" xfId="2395" xr:uid="{B481790C-1CF5-4945-86CB-7C8316A9E3FA}"/>
    <cellStyle name="Heading 3 2 16 7" xfId="2396" xr:uid="{F680E8B4-59A9-43BA-9874-C0F4FFFE9BAE}"/>
    <cellStyle name="Heading 3 2 16 7 2" xfId="2397" xr:uid="{F8000C78-2AA1-4D6A-B75E-BD3F14B0714D}"/>
    <cellStyle name="Heading 3 2 16 7 2 2" xfId="2398" xr:uid="{503B7F13-9697-44BA-B86A-694FD6487F9C}"/>
    <cellStyle name="Heading 3 2 16 7 3" xfId="2399" xr:uid="{DBAC53EE-6FE2-4597-B850-B483875C8CC5}"/>
    <cellStyle name="Heading 3 2 16 7 3 2" xfId="2400" xr:uid="{F4957576-13C8-488F-8046-F659FB37585F}"/>
    <cellStyle name="Heading 3 2 16 7 4" xfId="2401" xr:uid="{672B4763-1141-455D-850C-CCDD0B701862}"/>
    <cellStyle name="Heading 3 2 16 7 4 2" xfId="2402" xr:uid="{2F7888DE-03A4-4BE9-9690-2BD4FD3152B7}"/>
    <cellStyle name="Heading 3 2 16 8" xfId="2403" xr:uid="{74D778D3-4252-4052-9514-7FF2CCAED607}"/>
    <cellStyle name="Heading 3 2 16 8 2" xfId="2404" xr:uid="{D779EA82-CF8E-44D0-97BB-9A6EF3E916F2}"/>
    <cellStyle name="Heading 3 2 16 8 2 2" xfId="2405" xr:uid="{EEE2DB55-4F41-433B-A082-A9EC42C1167D}"/>
    <cellStyle name="Heading 3 2 16 8 3" xfId="2406" xr:uid="{BCC3DAAD-AB78-4031-8F3A-8B6ED639257D}"/>
    <cellStyle name="Heading 3 2 16 8 3 2" xfId="2407" xr:uid="{77360C1E-C3F1-4524-9D3F-1A3F56827FC0}"/>
    <cellStyle name="Heading 3 2 16 8 4" xfId="2408" xr:uid="{E0840A2D-FE88-478D-B832-523BB8D49A1B}"/>
    <cellStyle name="Heading 3 2 16 8 4 2" xfId="2409" xr:uid="{992DAB4B-CF9C-4930-942F-8D1BD4F7B76F}"/>
    <cellStyle name="Heading 3 2 16 9" xfId="2410" xr:uid="{9D3E0E08-611F-4466-8210-D1B39B4CC4CC}"/>
    <cellStyle name="Heading 3 2 16 9 2" xfId="2411" xr:uid="{AC200D76-2073-4BCB-BF1F-6FB1B21DA899}"/>
    <cellStyle name="Heading 3 2 16 9 2 2" xfId="2412" xr:uid="{09F9B48B-1A2F-4015-9E76-B370D321702B}"/>
    <cellStyle name="Heading 3 2 16 9 3" xfId="2413" xr:uid="{2D9004A2-FCAB-44C7-A0D7-E59A2DDE7C63}"/>
    <cellStyle name="Heading 3 2 16 9 3 2" xfId="2414" xr:uid="{488449A9-67FE-4A6A-BD4C-5DAB81224C4B}"/>
    <cellStyle name="Heading 3 2 16 9 4" xfId="2415" xr:uid="{F6512948-2A3F-44AB-B2D6-768CEB0C0135}"/>
    <cellStyle name="Heading 3 2 16 9 4 2" xfId="2416" xr:uid="{664B290A-7CF0-4D7A-B1B6-5E7BE3A7B84D}"/>
    <cellStyle name="Heading 3 2 17" xfId="2417" xr:uid="{0C44E47F-D37F-4686-BD3C-A26BE905619F}"/>
    <cellStyle name="Heading 3 2 17 10" xfId="2418" xr:uid="{18877034-06C0-4B25-B7A6-9CFB0BB11AB9}"/>
    <cellStyle name="Heading 3 2 17 10 2" xfId="2419" xr:uid="{9D5E5143-3DB9-4484-9952-1BAAA30DD1A2}"/>
    <cellStyle name="Heading 3 2 17 10 2 2" xfId="2420" xr:uid="{FB35A46E-E104-4CCC-8892-9303384AA0B2}"/>
    <cellStyle name="Heading 3 2 17 10 3" xfId="2421" xr:uid="{6F4BE678-3B91-4C02-8F57-ACE45266FFAD}"/>
    <cellStyle name="Heading 3 2 17 10 3 2" xfId="2422" xr:uid="{389EBBDE-E525-4FC2-875B-9EB85AAC18D4}"/>
    <cellStyle name="Heading 3 2 17 10 4" xfId="2423" xr:uid="{68B24139-EA3C-47D4-A9F3-D94CDF7471E2}"/>
    <cellStyle name="Heading 3 2 17 10 4 2" xfId="2424" xr:uid="{48810D00-9A02-41DD-BEFA-7A3626624732}"/>
    <cellStyle name="Heading 3 2 17 11" xfId="2425" xr:uid="{337A3597-36D7-48AA-B97E-C8BA5654C20B}"/>
    <cellStyle name="Heading 3 2 17 11 2" xfId="2426" xr:uid="{2DD93D7B-2402-4093-96A2-300999EE18DB}"/>
    <cellStyle name="Heading 3 2 17 11 2 2" xfId="2427" xr:uid="{7FCCB457-35B4-4EAE-A771-46625E1B88B2}"/>
    <cellStyle name="Heading 3 2 17 11 3" xfId="2428" xr:uid="{37EF8C7B-2840-47EC-B78F-47DF5AD6E7AB}"/>
    <cellStyle name="Heading 3 2 17 11 3 2" xfId="2429" xr:uid="{7CCAEA3D-50EA-4DAF-B7B7-5678D853460A}"/>
    <cellStyle name="Heading 3 2 17 11 4" xfId="2430" xr:uid="{9E7FCA58-2597-4B7E-AC26-91AADB29C793}"/>
    <cellStyle name="Heading 3 2 17 11 4 2" xfId="2431" xr:uid="{F329537A-E4AB-4480-90D3-9C4C6BF57E91}"/>
    <cellStyle name="Heading 3 2 17 12" xfId="2432" xr:uid="{98DC02E8-8A0D-4169-B4A8-B15B53271E69}"/>
    <cellStyle name="Heading 3 2 17 12 2" xfId="2433" xr:uid="{DD24C6EB-F24A-48A4-BC72-4AB025034DF8}"/>
    <cellStyle name="Heading 3 2 17 12 2 2" xfId="2434" xr:uid="{26F603EB-2FEB-4AA4-82E7-C8B447FEE810}"/>
    <cellStyle name="Heading 3 2 17 12 3" xfId="2435" xr:uid="{E5E7AAC4-89F4-4262-83AF-E3657F8B39E8}"/>
    <cellStyle name="Heading 3 2 17 12 3 2" xfId="2436" xr:uid="{7DE6A414-A273-4A4D-9827-CF1346D6FE2B}"/>
    <cellStyle name="Heading 3 2 17 12 4" xfId="2437" xr:uid="{94D49AAC-8B74-4E7D-9E4D-DFBF4E3B6093}"/>
    <cellStyle name="Heading 3 2 17 12 4 2" xfId="2438" xr:uid="{4AE81B47-0D9E-4AB1-85CE-E014A1FA908C}"/>
    <cellStyle name="Heading 3 2 17 13" xfId="2439" xr:uid="{4CC493FD-2EDA-49E0-99FA-5A33C328FFD4}"/>
    <cellStyle name="Heading 3 2 17 13 2" xfId="2440" xr:uid="{EAB6A5CE-37B1-4A0F-A685-F9A83A1AC50E}"/>
    <cellStyle name="Heading 3 2 17 13 2 2" xfId="2441" xr:uid="{977B441B-E008-4E84-8DDA-E93A530387E1}"/>
    <cellStyle name="Heading 3 2 17 13 3" xfId="2442" xr:uid="{D3357717-9E8B-4EC8-B0D3-AA6152CB9529}"/>
    <cellStyle name="Heading 3 2 17 13 3 2" xfId="2443" xr:uid="{FBBDDDC6-16A7-4182-8A99-8640755CBCD6}"/>
    <cellStyle name="Heading 3 2 17 13 4" xfId="2444" xr:uid="{AA998E6A-3CA4-472C-8A9D-13153BF76D27}"/>
    <cellStyle name="Heading 3 2 17 13 4 2" xfId="2445" xr:uid="{315A94DA-4F94-4977-B60D-CE6683107DFC}"/>
    <cellStyle name="Heading 3 2 17 14" xfId="2446" xr:uid="{923F7E6A-D0A3-4F66-9BF8-B99856925DAB}"/>
    <cellStyle name="Heading 3 2 17 14 2" xfId="2447" xr:uid="{8CE4292E-EFB9-454D-A80E-0D97C9EBE2CF}"/>
    <cellStyle name="Heading 3 2 17 14 2 2" xfId="2448" xr:uid="{068E5541-BA15-4595-BD34-1F3C0A3DF797}"/>
    <cellStyle name="Heading 3 2 17 14 3" xfId="2449" xr:uid="{4D7D7615-FF68-4D29-91E0-96C753DAE712}"/>
    <cellStyle name="Heading 3 2 17 14 3 2" xfId="2450" xr:uid="{A317E10B-B4A3-4D3E-BDEC-442C86C62B9C}"/>
    <cellStyle name="Heading 3 2 17 14 4" xfId="2451" xr:uid="{BE554104-36E8-4D9F-8C52-93177736E330}"/>
    <cellStyle name="Heading 3 2 17 14 4 2" xfId="2452" xr:uid="{443E41E6-7D92-4C0D-93FA-E973A03A5516}"/>
    <cellStyle name="Heading 3 2 17 15" xfId="2453" xr:uid="{22E8822C-CBC1-4EE1-ABC8-016D0433D87F}"/>
    <cellStyle name="Heading 3 2 17 15 2" xfId="2454" xr:uid="{C3AD8C6F-4907-4125-A543-C0B905072F61}"/>
    <cellStyle name="Heading 3 2 17 15 2 2" xfId="2455" xr:uid="{21164252-F51D-4763-900E-7AD92EF01F1B}"/>
    <cellStyle name="Heading 3 2 17 15 3" xfId="2456" xr:uid="{2DC0239A-28A7-403A-99B5-EDAA0D8CA4F4}"/>
    <cellStyle name="Heading 3 2 17 15 3 2" xfId="2457" xr:uid="{5F8741C8-656F-425D-A544-8BAC322D32DB}"/>
    <cellStyle name="Heading 3 2 17 15 4" xfId="2458" xr:uid="{A8C15E9A-4B82-4333-844B-7A65F5CB0FAD}"/>
    <cellStyle name="Heading 3 2 17 15 4 2" xfId="2459" xr:uid="{CF1A8CE9-61E9-422C-827A-CC088B7ACFEB}"/>
    <cellStyle name="Heading 3 2 17 16" xfId="2460" xr:uid="{6CD82A63-12D4-440B-9E18-ADD0F84A223E}"/>
    <cellStyle name="Heading 3 2 17 16 2" xfId="2461" xr:uid="{329F584F-5789-42D9-B417-4C745219267B}"/>
    <cellStyle name="Heading 3 2 17 17" xfId="2462" xr:uid="{A0FE57B6-C011-4663-8CD7-D7D581A4ADDD}"/>
    <cellStyle name="Heading 3 2 17 17 2" xfId="2463" xr:uid="{9E9F02CA-F275-4DE8-9CAD-C75ABA8CF542}"/>
    <cellStyle name="Heading 3 2 17 18" xfId="2464" xr:uid="{DFA19272-2ACC-4B38-811E-54CB79190478}"/>
    <cellStyle name="Heading 3 2 17 18 2" xfId="2465" xr:uid="{D5DC24EA-693D-4D86-90F0-56C077FA3F42}"/>
    <cellStyle name="Heading 3 2 17 19" xfId="2466" xr:uid="{549572FF-7080-4DED-AD5E-33420A156F65}"/>
    <cellStyle name="Heading 3 2 17 2" xfId="2467" xr:uid="{76E8D2FE-822B-4456-B432-2D44D330BE04}"/>
    <cellStyle name="Heading 3 2 17 2 2" xfId="2468" xr:uid="{9BB4C339-6DDE-48B2-9484-DC2BB93A70C4}"/>
    <cellStyle name="Heading 3 2 17 2 2 2" xfId="2469" xr:uid="{E5FF2503-6B87-46C9-AE8B-F9C335CA0A25}"/>
    <cellStyle name="Heading 3 2 17 2 3" xfId="2470" xr:uid="{FE9493E6-09D1-4BD8-9060-3DCD0034C217}"/>
    <cellStyle name="Heading 3 2 17 2 3 2" xfId="2471" xr:uid="{FABB47EF-2F60-4FB0-9C6C-ADBD007855A3}"/>
    <cellStyle name="Heading 3 2 17 2 4" xfId="2472" xr:uid="{8FCCDC24-894D-4879-B1A4-8451F90FE6B8}"/>
    <cellStyle name="Heading 3 2 17 2 4 2" xfId="2473" xr:uid="{CC63B6E4-59C3-4540-AB4D-BF78B4CB4F24}"/>
    <cellStyle name="Heading 3 2 17 20" xfId="2474" xr:uid="{FCFEC4B0-1718-42BA-9DA4-393E2EC1AF58}"/>
    <cellStyle name="Heading 3 2 17 21" xfId="2475" xr:uid="{1E0F5E43-8FD3-450E-B956-A2CEE9E68DBB}"/>
    <cellStyle name="Heading 3 2 17 22" xfId="2476" xr:uid="{3F45061B-90F1-43ED-967E-15F2E63CF4F8}"/>
    <cellStyle name="Heading 3 2 17 23" xfId="2477" xr:uid="{ABDA153C-1854-4133-BFD6-DA70BF7CD8FC}"/>
    <cellStyle name="Heading 3 2 17 24" xfId="2478" xr:uid="{B9A04D0E-0649-4A36-9DBC-45478A442B2B}"/>
    <cellStyle name="Heading 3 2 17 25" xfId="2479" xr:uid="{B97C926A-AA84-4E00-AE46-0EA66D89239D}"/>
    <cellStyle name="Heading 3 2 17 3" xfId="2480" xr:uid="{3699C5AF-6A04-4783-A494-DB063B436384}"/>
    <cellStyle name="Heading 3 2 17 3 2" xfId="2481" xr:uid="{8D2DA41F-634D-4391-A770-B7EF7CC532B7}"/>
    <cellStyle name="Heading 3 2 17 3 2 2" xfId="2482" xr:uid="{C6454569-45CF-483B-A0C1-B2922369FE59}"/>
    <cellStyle name="Heading 3 2 17 3 3" xfId="2483" xr:uid="{3DB78AB5-A061-4096-8ED0-1BFA48EFC8C0}"/>
    <cellStyle name="Heading 3 2 17 3 3 2" xfId="2484" xr:uid="{5BFD3913-6853-46D1-86EF-B0EE8C9EE2F2}"/>
    <cellStyle name="Heading 3 2 17 3 4" xfId="2485" xr:uid="{ABBB392C-C6CF-4E6E-B7F6-DE5E8F3C52D3}"/>
    <cellStyle name="Heading 3 2 17 3 4 2" xfId="2486" xr:uid="{AB70143C-C8BE-47CE-B935-0B25F2BCA3C4}"/>
    <cellStyle name="Heading 3 2 17 4" xfId="2487" xr:uid="{59BF6AA7-7295-411E-9B78-D5A16465F10D}"/>
    <cellStyle name="Heading 3 2 17 4 2" xfId="2488" xr:uid="{2C16220A-CA1D-4C2A-AA53-F3022F3B0557}"/>
    <cellStyle name="Heading 3 2 17 4 2 2" xfId="2489" xr:uid="{D796CD08-8AFA-4F6F-870D-04F883A8C30F}"/>
    <cellStyle name="Heading 3 2 17 4 3" xfId="2490" xr:uid="{5E41E98C-FE59-4625-B191-7C8C522D126A}"/>
    <cellStyle name="Heading 3 2 17 4 3 2" xfId="2491" xr:uid="{7C0BC27D-2C88-4F6E-874F-BD042432EA4F}"/>
    <cellStyle name="Heading 3 2 17 4 4" xfId="2492" xr:uid="{2F25CCDF-F01B-443F-A1CA-48443EB3C75E}"/>
    <cellStyle name="Heading 3 2 17 4 4 2" xfId="2493" xr:uid="{F7F2FDC7-CF09-40A6-BA36-75300364FC34}"/>
    <cellStyle name="Heading 3 2 17 5" xfId="2494" xr:uid="{A8F555F4-70FB-44B2-B93B-B8FCFBFB78C4}"/>
    <cellStyle name="Heading 3 2 17 5 2" xfId="2495" xr:uid="{E91554CB-3A6D-488F-8FBE-8B1B3F82D38A}"/>
    <cellStyle name="Heading 3 2 17 5 2 2" xfId="2496" xr:uid="{F3EC290B-7DE8-43AF-A9EE-B09A8197C5C5}"/>
    <cellStyle name="Heading 3 2 17 5 3" xfId="2497" xr:uid="{A85773C9-F598-46D3-B115-FE5B095EE7EB}"/>
    <cellStyle name="Heading 3 2 17 5 3 2" xfId="2498" xr:uid="{B5641459-F893-4118-BA02-91D200DAA246}"/>
    <cellStyle name="Heading 3 2 17 5 4" xfId="2499" xr:uid="{5F87A6B6-9F1C-400B-8E19-27DD841A119F}"/>
    <cellStyle name="Heading 3 2 17 5 4 2" xfId="2500" xr:uid="{BA5BCBE7-2281-4C85-94E7-B479F5E0F797}"/>
    <cellStyle name="Heading 3 2 17 6" xfId="2501" xr:uid="{BE3BF337-D3B0-48C0-BD03-AE22CF44883C}"/>
    <cellStyle name="Heading 3 2 17 6 2" xfId="2502" xr:uid="{FB4F180A-3FC4-448C-A32E-F5458C0A90C7}"/>
    <cellStyle name="Heading 3 2 17 6 2 2" xfId="2503" xr:uid="{994BCDB9-67D0-4808-AB8C-E35E4ABE8B79}"/>
    <cellStyle name="Heading 3 2 17 6 3" xfId="2504" xr:uid="{2474DF34-250D-47CB-9EC0-716F0857DCC4}"/>
    <cellStyle name="Heading 3 2 17 6 3 2" xfId="2505" xr:uid="{6DD364D6-9B18-4A17-8537-3A30BDEE0DC7}"/>
    <cellStyle name="Heading 3 2 17 6 4" xfId="2506" xr:uid="{09933D7C-8B6B-4B28-B81A-C822EAF6621E}"/>
    <cellStyle name="Heading 3 2 17 6 4 2" xfId="2507" xr:uid="{1EF862F9-E2CE-4F17-B9C1-CDA481744F7C}"/>
    <cellStyle name="Heading 3 2 17 7" xfId="2508" xr:uid="{7781E0CE-F78B-4031-B5EF-3AC2C1CA5389}"/>
    <cellStyle name="Heading 3 2 17 7 2" xfId="2509" xr:uid="{ED595728-A398-40D8-9F29-A5999FE95339}"/>
    <cellStyle name="Heading 3 2 17 7 2 2" xfId="2510" xr:uid="{0E0A8421-F74A-4C36-8D54-F3E9C044BD8F}"/>
    <cellStyle name="Heading 3 2 17 7 3" xfId="2511" xr:uid="{7453E345-8C96-4511-90A5-1B218B6AB6DF}"/>
    <cellStyle name="Heading 3 2 17 7 3 2" xfId="2512" xr:uid="{EDA10AE3-D63E-46D3-A769-5EB661633DA3}"/>
    <cellStyle name="Heading 3 2 17 7 4" xfId="2513" xr:uid="{178F4B43-4B70-4E86-8709-559D070843C3}"/>
    <cellStyle name="Heading 3 2 17 7 4 2" xfId="2514" xr:uid="{5492A8D4-A9DD-4E77-92A8-363FFF749C4D}"/>
    <cellStyle name="Heading 3 2 17 8" xfId="2515" xr:uid="{0A4D214A-B7B4-4522-8A70-8AD211F2EFCF}"/>
    <cellStyle name="Heading 3 2 17 8 2" xfId="2516" xr:uid="{D0C23CEE-E1E9-4151-8E69-7811B5196F70}"/>
    <cellStyle name="Heading 3 2 17 8 2 2" xfId="2517" xr:uid="{E3588225-CE07-485F-8974-4FCCC4AA5392}"/>
    <cellStyle name="Heading 3 2 17 8 3" xfId="2518" xr:uid="{34BB2988-5821-430F-9EBC-9471BA6BCA46}"/>
    <cellStyle name="Heading 3 2 17 8 3 2" xfId="2519" xr:uid="{B89D6842-F8A0-4EBC-8956-A2A2C797270B}"/>
    <cellStyle name="Heading 3 2 17 8 4" xfId="2520" xr:uid="{1616206D-1279-4AA3-AE9E-21783744A218}"/>
    <cellStyle name="Heading 3 2 17 8 4 2" xfId="2521" xr:uid="{C0E7EE26-DD59-4DBE-8EE2-E7319C6FD366}"/>
    <cellStyle name="Heading 3 2 17 9" xfId="2522" xr:uid="{7124BBBE-AF86-4316-AB7F-9CD5F7EA2FEB}"/>
    <cellStyle name="Heading 3 2 17 9 2" xfId="2523" xr:uid="{51F3E387-5624-4574-82EA-3C7CE75CE9BD}"/>
    <cellStyle name="Heading 3 2 17 9 2 2" xfId="2524" xr:uid="{D5EF895B-8178-43F2-B790-9E0ED8495637}"/>
    <cellStyle name="Heading 3 2 17 9 3" xfId="2525" xr:uid="{7E21B242-389C-41D5-84BB-39D11E2FC941}"/>
    <cellStyle name="Heading 3 2 17 9 3 2" xfId="2526" xr:uid="{0D71724A-5C23-4FE1-A90A-1CF6F1A88F90}"/>
    <cellStyle name="Heading 3 2 17 9 4" xfId="2527" xr:uid="{35A8BE5F-5439-4996-AEDE-DCF260454B56}"/>
    <cellStyle name="Heading 3 2 17 9 4 2" xfId="2528" xr:uid="{F4013CC6-A277-4D4D-85D0-1FF14C20B02A}"/>
    <cellStyle name="Heading 3 2 18" xfId="2529" xr:uid="{E47A581A-9B62-4B2C-8D41-84B9B115A8F4}"/>
    <cellStyle name="Heading 3 2 18 10" xfId="2530" xr:uid="{312A2B45-EEE8-4EEC-B7E7-E270C66FE3E7}"/>
    <cellStyle name="Heading 3 2 18 10 2" xfId="2531" xr:uid="{58DF9D47-E377-4286-BEA0-666731A02CE8}"/>
    <cellStyle name="Heading 3 2 18 10 2 2" xfId="2532" xr:uid="{4592E863-777B-4A53-92D1-48B6F7F3B9E5}"/>
    <cellStyle name="Heading 3 2 18 10 3" xfId="2533" xr:uid="{E96F41EE-6B0B-4BB7-A6C0-8F1F60B67C23}"/>
    <cellStyle name="Heading 3 2 18 10 3 2" xfId="2534" xr:uid="{C3AC47F0-EED5-494B-A220-808B5337E71B}"/>
    <cellStyle name="Heading 3 2 18 10 4" xfId="2535" xr:uid="{900CC08A-56E1-470B-84F5-8FEFFE65047F}"/>
    <cellStyle name="Heading 3 2 18 10 4 2" xfId="2536" xr:uid="{0E4423F4-DC9F-43BF-A80F-2D80B6886E3B}"/>
    <cellStyle name="Heading 3 2 18 11" xfId="2537" xr:uid="{DFB627ED-03FF-4360-BBBD-3BF78BD3E701}"/>
    <cellStyle name="Heading 3 2 18 11 2" xfId="2538" xr:uid="{6A41BC08-BA7F-49CC-90D4-1E0A3533D64F}"/>
    <cellStyle name="Heading 3 2 18 11 2 2" xfId="2539" xr:uid="{8452B137-822B-4FC6-AEB5-DF5E421CB428}"/>
    <cellStyle name="Heading 3 2 18 11 3" xfId="2540" xr:uid="{9F5A96E5-3F1C-479C-92FF-9A3BCFACCBA0}"/>
    <cellStyle name="Heading 3 2 18 11 3 2" xfId="2541" xr:uid="{3A67B98A-4705-41B2-8C8E-803E2A6894E6}"/>
    <cellStyle name="Heading 3 2 18 11 4" xfId="2542" xr:uid="{DCE5CABD-B835-49F6-B307-2514A9E8AE28}"/>
    <cellStyle name="Heading 3 2 18 11 4 2" xfId="2543" xr:uid="{B8723927-34F1-4EBE-ADDE-B932F436E302}"/>
    <cellStyle name="Heading 3 2 18 12" xfId="2544" xr:uid="{C48F85BB-C2D5-47E2-A666-EFD61F85521C}"/>
    <cellStyle name="Heading 3 2 18 12 2" xfId="2545" xr:uid="{52E09956-4968-461C-AE30-E27EF9D5B2C3}"/>
    <cellStyle name="Heading 3 2 18 12 2 2" xfId="2546" xr:uid="{F5F69282-BB1C-43A3-B375-493500C8D294}"/>
    <cellStyle name="Heading 3 2 18 12 3" xfId="2547" xr:uid="{9629C58B-C0FA-41DB-8B6A-21EB970F861C}"/>
    <cellStyle name="Heading 3 2 18 12 3 2" xfId="2548" xr:uid="{ECCF010D-FDF0-4C12-8170-0B8390A5BE6A}"/>
    <cellStyle name="Heading 3 2 18 12 4" xfId="2549" xr:uid="{9F28A0EC-67D8-4464-8404-A338E2DE6313}"/>
    <cellStyle name="Heading 3 2 18 12 4 2" xfId="2550" xr:uid="{A9194355-9CFE-4A56-B66B-01947C4D9A99}"/>
    <cellStyle name="Heading 3 2 18 13" xfId="2551" xr:uid="{EC6EFF64-E096-46F2-BADD-23515E5C5F35}"/>
    <cellStyle name="Heading 3 2 18 13 2" xfId="2552" xr:uid="{10C28BC3-44F1-4AA5-887F-6C1D1D8570F5}"/>
    <cellStyle name="Heading 3 2 18 13 2 2" xfId="2553" xr:uid="{7F1AA5A3-AD0C-4626-B345-8FF323EA1442}"/>
    <cellStyle name="Heading 3 2 18 13 3" xfId="2554" xr:uid="{8D197D09-0CD5-4D1E-9207-6F249754E20E}"/>
    <cellStyle name="Heading 3 2 18 13 3 2" xfId="2555" xr:uid="{3A549B3D-0681-4502-BD38-198A6375E5C7}"/>
    <cellStyle name="Heading 3 2 18 13 4" xfId="2556" xr:uid="{A90B5E0F-BABE-463E-9924-C7390D6BC2EB}"/>
    <cellStyle name="Heading 3 2 18 13 4 2" xfId="2557" xr:uid="{878E6281-1C2A-4F63-AD90-EB49B4AB2434}"/>
    <cellStyle name="Heading 3 2 18 14" xfId="2558" xr:uid="{085EF665-2A0C-4DBE-88DB-7639DF02ED88}"/>
    <cellStyle name="Heading 3 2 18 14 2" xfId="2559" xr:uid="{4E007B14-68FE-409F-BB83-E066518477D0}"/>
    <cellStyle name="Heading 3 2 18 14 2 2" xfId="2560" xr:uid="{4CEA0C5B-D1B1-4DFA-847F-E4C44D37081E}"/>
    <cellStyle name="Heading 3 2 18 14 3" xfId="2561" xr:uid="{06CB44D4-21A4-48DF-B581-08CBE0AD6B88}"/>
    <cellStyle name="Heading 3 2 18 14 3 2" xfId="2562" xr:uid="{5613AD66-C51C-469F-9D99-981F45E04300}"/>
    <cellStyle name="Heading 3 2 18 14 4" xfId="2563" xr:uid="{6A363EB6-55F6-428A-B874-281C27C57BD8}"/>
    <cellStyle name="Heading 3 2 18 14 4 2" xfId="2564" xr:uid="{4CC2BAFB-7647-4A22-928B-AB41850D6BA3}"/>
    <cellStyle name="Heading 3 2 18 15" xfId="2565" xr:uid="{9BE9CF64-DDAB-4791-8AEA-B01A6B297AA4}"/>
    <cellStyle name="Heading 3 2 18 15 2" xfId="2566" xr:uid="{9C84FAA9-BF8C-4634-973A-603D0CC4F47B}"/>
    <cellStyle name="Heading 3 2 18 15 2 2" xfId="2567" xr:uid="{46E59263-8FB8-457A-918D-237781669719}"/>
    <cellStyle name="Heading 3 2 18 15 3" xfId="2568" xr:uid="{53856401-7EA4-42DF-8E27-A06A4CF123F6}"/>
    <cellStyle name="Heading 3 2 18 15 3 2" xfId="2569" xr:uid="{9BA0DCA5-1532-4E72-8566-B14D5D1A1E5C}"/>
    <cellStyle name="Heading 3 2 18 15 4" xfId="2570" xr:uid="{0A74FF1F-E5A8-4B86-B159-C3030089C2E0}"/>
    <cellStyle name="Heading 3 2 18 15 4 2" xfId="2571" xr:uid="{08D2ED8C-AA2B-4520-A625-3DCAA5B0157B}"/>
    <cellStyle name="Heading 3 2 18 16" xfId="2572" xr:uid="{73FF586F-CF8C-4315-9348-A5487AED9727}"/>
    <cellStyle name="Heading 3 2 18 16 2" xfId="2573" xr:uid="{5E8FE56C-99DD-422C-BCBC-14A8950AC9F3}"/>
    <cellStyle name="Heading 3 2 18 17" xfId="2574" xr:uid="{7E276231-C8F2-4F25-AE8E-7E4CB205261B}"/>
    <cellStyle name="Heading 3 2 18 17 2" xfId="2575" xr:uid="{05E52144-D770-429E-AEF7-47ECF73A74C1}"/>
    <cellStyle name="Heading 3 2 18 18" xfId="2576" xr:uid="{24E1B78B-E357-472D-ACEC-D9EC4087B722}"/>
    <cellStyle name="Heading 3 2 18 18 2" xfId="2577" xr:uid="{C9EA1471-0E72-48BA-A604-1ECB42FF0575}"/>
    <cellStyle name="Heading 3 2 18 19" xfId="2578" xr:uid="{FE834E39-F68A-4606-A859-0F6983889CAC}"/>
    <cellStyle name="Heading 3 2 18 2" xfId="2579" xr:uid="{A6471E7A-7D7E-44BA-AE19-9A2AD856ED8C}"/>
    <cellStyle name="Heading 3 2 18 2 2" xfId="2580" xr:uid="{96ACD061-FDE8-4624-8F33-15A6540D9795}"/>
    <cellStyle name="Heading 3 2 18 2 2 2" xfId="2581" xr:uid="{F78E2817-D487-4E73-B2DA-785FF655213A}"/>
    <cellStyle name="Heading 3 2 18 2 3" xfId="2582" xr:uid="{53CDC2E5-7D52-47E9-82DA-C316B2ABF993}"/>
    <cellStyle name="Heading 3 2 18 2 3 2" xfId="2583" xr:uid="{2EA065B7-F42D-45B4-8A0B-78CBD4B8BF4E}"/>
    <cellStyle name="Heading 3 2 18 2 4" xfId="2584" xr:uid="{D1F8BE02-FD65-4C02-B3C5-4D9D1947D909}"/>
    <cellStyle name="Heading 3 2 18 2 4 2" xfId="2585" xr:uid="{CB7CAEA5-20BD-423F-8308-8CAC8ED288C4}"/>
    <cellStyle name="Heading 3 2 18 20" xfId="2586" xr:uid="{DA9C2252-63CB-438A-9AB6-F62C3806E4FA}"/>
    <cellStyle name="Heading 3 2 18 21" xfId="2587" xr:uid="{367DD77E-FB5C-4209-82AF-8A0F5DB27625}"/>
    <cellStyle name="Heading 3 2 18 22" xfId="2588" xr:uid="{F38B00B7-A2D2-4204-AC39-2B2A30F1C592}"/>
    <cellStyle name="Heading 3 2 18 23" xfId="2589" xr:uid="{C05DEAEC-E35E-43F8-85BC-DF6A9C9DD20B}"/>
    <cellStyle name="Heading 3 2 18 24" xfId="2590" xr:uid="{5D7BE62F-1467-4230-AFAD-00746FBB01C0}"/>
    <cellStyle name="Heading 3 2 18 25" xfId="2591" xr:uid="{BC8CE813-6E61-4F4D-867E-12E6CB8C6F5D}"/>
    <cellStyle name="Heading 3 2 18 3" xfId="2592" xr:uid="{33FAC679-C6A4-4E58-ADA5-2EEFB9B22C5B}"/>
    <cellStyle name="Heading 3 2 18 3 2" xfId="2593" xr:uid="{F969150F-C937-4E60-A73D-3A5B6377FBCA}"/>
    <cellStyle name="Heading 3 2 18 3 2 2" xfId="2594" xr:uid="{DCAF9922-C269-4F8F-A4AC-2BAFA86933ED}"/>
    <cellStyle name="Heading 3 2 18 3 3" xfId="2595" xr:uid="{D83DC3F9-6946-44F1-9C1F-EE9ECDE9B511}"/>
    <cellStyle name="Heading 3 2 18 3 3 2" xfId="2596" xr:uid="{97DB5D64-966B-43C1-9BF7-FFBD5AE5B27B}"/>
    <cellStyle name="Heading 3 2 18 3 4" xfId="2597" xr:uid="{DEAD5CCD-BED4-49D6-867B-F22DCD9B1D16}"/>
    <cellStyle name="Heading 3 2 18 3 4 2" xfId="2598" xr:uid="{240CCE62-E119-4AF6-AFDC-E79256E921D6}"/>
    <cellStyle name="Heading 3 2 18 4" xfId="2599" xr:uid="{3F5FC706-3006-4C30-AB95-FDAD1A1B7560}"/>
    <cellStyle name="Heading 3 2 18 4 2" xfId="2600" xr:uid="{2A9341E7-5FAE-40DD-A45C-43F376754A96}"/>
    <cellStyle name="Heading 3 2 18 4 2 2" xfId="2601" xr:uid="{B498CB11-DEA6-4361-AD5F-ECEC772D00B1}"/>
    <cellStyle name="Heading 3 2 18 4 3" xfId="2602" xr:uid="{A06ED259-4F4E-4D35-BF89-40CCDF6EF359}"/>
    <cellStyle name="Heading 3 2 18 4 3 2" xfId="2603" xr:uid="{A48227AD-438E-49DE-A802-93A2F3D3C21F}"/>
    <cellStyle name="Heading 3 2 18 4 4" xfId="2604" xr:uid="{3C67C51D-2029-4F2F-8B89-1E0743FA27D2}"/>
    <cellStyle name="Heading 3 2 18 4 4 2" xfId="2605" xr:uid="{937D994D-051F-4B5B-B481-73EDA4694AD4}"/>
    <cellStyle name="Heading 3 2 18 5" xfId="2606" xr:uid="{5397C950-A73D-47D9-B92D-DE4026C78D02}"/>
    <cellStyle name="Heading 3 2 18 5 2" xfId="2607" xr:uid="{AF1064DA-28DF-409F-8167-67ACE3212E4B}"/>
    <cellStyle name="Heading 3 2 18 5 2 2" xfId="2608" xr:uid="{A5D721F7-56F0-4502-8E6D-2AEF16F9524D}"/>
    <cellStyle name="Heading 3 2 18 5 3" xfId="2609" xr:uid="{41AF1CCE-7289-4D6A-91E6-8C55519A37D4}"/>
    <cellStyle name="Heading 3 2 18 5 3 2" xfId="2610" xr:uid="{06E38610-4DD0-47B8-A587-C00EB4F83A82}"/>
    <cellStyle name="Heading 3 2 18 5 4" xfId="2611" xr:uid="{5F3AA978-AB3E-4EC7-829A-545F17F73BAD}"/>
    <cellStyle name="Heading 3 2 18 5 4 2" xfId="2612" xr:uid="{15AF269F-12E0-47BE-9372-1BE34B2A50EF}"/>
    <cellStyle name="Heading 3 2 18 6" xfId="2613" xr:uid="{8ED0EC4B-0D07-4B1A-A2A1-5E165DC668F5}"/>
    <cellStyle name="Heading 3 2 18 6 2" xfId="2614" xr:uid="{85FF4B82-8B93-4EF2-94BD-F3ABD02CD438}"/>
    <cellStyle name="Heading 3 2 18 6 2 2" xfId="2615" xr:uid="{4B999CAA-56D1-4BCE-8350-221AA0ADF00B}"/>
    <cellStyle name="Heading 3 2 18 6 3" xfId="2616" xr:uid="{2F3A913B-16D3-455A-B507-EDA2501137FF}"/>
    <cellStyle name="Heading 3 2 18 6 3 2" xfId="2617" xr:uid="{0F90F015-69CD-400F-8B1B-938447FD8D40}"/>
    <cellStyle name="Heading 3 2 18 6 4" xfId="2618" xr:uid="{981BD366-225A-4C80-AD7B-4B6CE3FB6F62}"/>
    <cellStyle name="Heading 3 2 18 6 4 2" xfId="2619" xr:uid="{454F42F5-FA4C-4B7E-A32F-D0205E91F589}"/>
    <cellStyle name="Heading 3 2 18 7" xfId="2620" xr:uid="{A7F3FB0C-430C-4C1F-A53C-584E151D1E6D}"/>
    <cellStyle name="Heading 3 2 18 7 2" xfId="2621" xr:uid="{D90B409B-BEF0-4CBE-AE0E-20C6543FBFD2}"/>
    <cellStyle name="Heading 3 2 18 7 2 2" xfId="2622" xr:uid="{C67E56CA-F15D-45DC-B620-64E7D1DA011A}"/>
    <cellStyle name="Heading 3 2 18 7 3" xfId="2623" xr:uid="{3235EB06-818C-4FC3-A407-69AE927AD2A9}"/>
    <cellStyle name="Heading 3 2 18 7 3 2" xfId="2624" xr:uid="{2ED4732B-AA64-449A-9704-D634D7C902DB}"/>
    <cellStyle name="Heading 3 2 18 7 4" xfId="2625" xr:uid="{8D75B44B-315A-4FD5-B674-ECD52A0CC8DE}"/>
    <cellStyle name="Heading 3 2 18 7 4 2" xfId="2626" xr:uid="{8AF70D45-0AF1-47B6-832A-A2085B06509F}"/>
    <cellStyle name="Heading 3 2 18 8" xfId="2627" xr:uid="{79B3B482-3E3E-41F9-8B1C-A30F8B473047}"/>
    <cellStyle name="Heading 3 2 18 8 2" xfId="2628" xr:uid="{A58F58AD-EB22-4FA0-8A6E-5C4630119501}"/>
    <cellStyle name="Heading 3 2 18 8 2 2" xfId="2629" xr:uid="{DF5FFD6F-FE58-4264-825D-00FCAE5B03A6}"/>
    <cellStyle name="Heading 3 2 18 8 3" xfId="2630" xr:uid="{5C23F082-B946-468B-A11A-54538B4246DD}"/>
    <cellStyle name="Heading 3 2 18 8 3 2" xfId="2631" xr:uid="{16840F7F-0FB5-4D26-914F-24A40D39DABD}"/>
    <cellStyle name="Heading 3 2 18 8 4" xfId="2632" xr:uid="{8CFA1EBA-13A8-4E65-942B-E9645F58AA33}"/>
    <cellStyle name="Heading 3 2 18 8 4 2" xfId="2633" xr:uid="{555F671E-1393-44D4-9C66-08D8E2A3438E}"/>
    <cellStyle name="Heading 3 2 18 9" xfId="2634" xr:uid="{8C3AB7CA-4191-4148-AC1C-F7AC69553AC7}"/>
    <cellStyle name="Heading 3 2 18 9 2" xfId="2635" xr:uid="{56B2EA26-9A76-4919-8A8A-961B792320F4}"/>
    <cellStyle name="Heading 3 2 18 9 2 2" xfId="2636" xr:uid="{7447A864-E7AF-4A5E-B47A-5FE675F9776E}"/>
    <cellStyle name="Heading 3 2 18 9 3" xfId="2637" xr:uid="{DE5B1E34-BD1E-4A89-BC5C-D273BEE441E4}"/>
    <cellStyle name="Heading 3 2 18 9 3 2" xfId="2638" xr:uid="{906D3E0B-173C-4854-9966-FD53D718AF8C}"/>
    <cellStyle name="Heading 3 2 18 9 4" xfId="2639" xr:uid="{66260DCC-2814-422C-A4A4-74990D11BDC7}"/>
    <cellStyle name="Heading 3 2 18 9 4 2" xfId="2640" xr:uid="{25A75754-0224-4290-858C-2A4F720FA741}"/>
    <cellStyle name="Heading 3 2 19" xfId="2641" xr:uid="{6199B95B-F6F1-4CFC-B710-DA8C7308533B}"/>
    <cellStyle name="Heading 3 2 19 10" xfId="2642" xr:uid="{197CD498-C6DB-49EF-8D3A-513832EC0E52}"/>
    <cellStyle name="Heading 3 2 19 10 2" xfId="2643" xr:uid="{13B816E0-51F2-4400-80E1-7EBAC587060E}"/>
    <cellStyle name="Heading 3 2 19 10 2 2" xfId="2644" xr:uid="{502A5F84-AF33-425D-BC1E-33387E09C210}"/>
    <cellStyle name="Heading 3 2 19 10 3" xfId="2645" xr:uid="{E1BE5EE4-56AE-47F2-BA0C-5D40941F3D7C}"/>
    <cellStyle name="Heading 3 2 19 10 3 2" xfId="2646" xr:uid="{B15A7BBE-75E9-462E-A751-4B52CC839686}"/>
    <cellStyle name="Heading 3 2 19 10 4" xfId="2647" xr:uid="{5FAD87FE-324B-4FB2-9A2F-C84A7283FFE2}"/>
    <cellStyle name="Heading 3 2 19 10 4 2" xfId="2648" xr:uid="{456FEC24-E984-4C09-A03D-CBA333121508}"/>
    <cellStyle name="Heading 3 2 19 11" xfId="2649" xr:uid="{142BDEB1-C4B9-4E09-A433-EAC8C98FD195}"/>
    <cellStyle name="Heading 3 2 19 11 2" xfId="2650" xr:uid="{CF65FFED-3AA9-4476-B54A-30A0E49155FD}"/>
    <cellStyle name="Heading 3 2 19 11 2 2" xfId="2651" xr:uid="{508A96EC-B138-4F00-970C-E3AC25DC97B8}"/>
    <cellStyle name="Heading 3 2 19 11 3" xfId="2652" xr:uid="{389B9C2A-04BF-44C8-8514-E9050C576D24}"/>
    <cellStyle name="Heading 3 2 19 11 3 2" xfId="2653" xr:uid="{F9F97F01-B3CD-4EBC-9A68-9D7A2798841C}"/>
    <cellStyle name="Heading 3 2 19 11 4" xfId="2654" xr:uid="{5F336A0F-B76B-4A7B-BE60-03115D862C32}"/>
    <cellStyle name="Heading 3 2 19 11 4 2" xfId="2655" xr:uid="{3DBEC53B-2907-4824-9AEC-0C0966C35BF5}"/>
    <cellStyle name="Heading 3 2 19 12" xfId="2656" xr:uid="{69E7E5AA-40CC-4F99-B10F-8BFB8D001517}"/>
    <cellStyle name="Heading 3 2 19 12 2" xfId="2657" xr:uid="{A2C523D2-265D-4B99-9579-FA34AE2FDC9A}"/>
    <cellStyle name="Heading 3 2 19 12 2 2" xfId="2658" xr:uid="{F2CFA51B-7F7B-4BAF-93BF-F8ED1D8095A8}"/>
    <cellStyle name="Heading 3 2 19 12 3" xfId="2659" xr:uid="{DC8DA66A-A8D3-46FE-BFF2-B28E821BF80C}"/>
    <cellStyle name="Heading 3 2 19 12 3 2" xfId="2660" xr:uid="{1C157DBC-B2C4-42F2-9281-9CB04BBD705E}"/>
    <cellStyle name="Heading 3 2 19 12 4" xfId="2661" xr:uid="{875C793D-C7B6-4AF6-BB56-F9F5FBB818E8}"/>
    <cellStyle name="Heading 3 2 19 12 4 2" xfId="2662" xr:uid="{08CB257B-BFDE-4796-9B22-D4C2F84D0393}"/>
    <cellStyle name="Heading 3 2 19 13" xfId="2663" xr:uid="{EEB2FB45-914E-4D69-8456-9A81EF389A21}"/>
    <cellStyle name="Heading 3 2 19 13 2" xfId="2664" xr:uid="{9D149166-2654-42DC-BC6A-DBC2B68ED560}"/>
    <cellStyle name="Heading 3 2 19 13 2 2" xfId="2665" xr:uid="{77590D4B-26C6-43B2-BBE2-96A9BA896FDA}"/>
    <cellStyle name="Heading 3 2 19 13 3" xfId="2666" xr:uid="{B6B1F284-4259-42E0-A667-F6078E2AB593}"/>
    <cellStyle name="Heading 3 2 19 13 3 2" xfId="2667" xr:uid="{3A2C986A-38C4-43E6-8049-73A4EA656535}"/>
    <cellStyle name="Heading 3 2 19 13 4" xfId="2668" xr:uid="{FA6D138A-FAE2-439E-AA69-62302BDAC2CB}"/>
    <cellStyle name="Heading 3 2 19 13 4 2" xfId="2669" xr:uid="{D90BC3B5-D3B4-43C7-9669-6D08820683DB}"/>
    <cellStyle name="Heading 3 2 19 14" xfId="2670" xr:uid="{F2B336AD-E4DC-41CE-B120-F40549A80FE1}"/>
    <cellStyle name="Heading 3 2 19 14 2" xfId="2671" xr:uid="{0435E318-1F94-48B5-A628-F6A8DA0BA18B}"/>
    <cellStyle name="Heading 3 2 19 14 2 2" xfId="2672" xr:uid="{0B17CA76-C193-4574-9BB8-BD0F9C45657B}"/>
    <cellStyle name="Heading 3 2 19 14 3" xfId="2673" xr:uid="{F1774F40-3764-45FB-826D-E892C245669E}"/>
    <cellStyle name="Heading 3 2 19 14 3 2" xfId="2674" xr:uid="{77980438-A9C3-4126-B21D-1A802179BFCB}"/>
    <cellStyle name="Heading 3 2 19 14 4" xfId="2675" xr:uid="{74495B83-A221-4018-81C5-DEBCF2D2D7B1}"/>
    <cellStyle name="Heading 3 2 19 14 4 2" xfId="2676" xr:uid="{29F6A585-2432-4DB3-8B60-B6B22E3B4D4C}"/>
    <cellStyle name="Heading 3 2 19 15" xfId="2677" xr:uid="{51692F04-7CA8-4E8C-923F-CAEE9C2FD88B}"/>
    <cellStyle name="Heading 3 2 19 15 2" xfId="2678" xr:uid="{C84A06A4-3845-43C9-87AA-3C61018975E0}"/>
    <cellStyle name="Heading 3 2 19 15 2 2" xfId="2679" xr:uid="{459B0563-E6A4-4184-96A6-0F3200F255C3}"/>
    <cellStyle name="Heading 3 2 19 15 3" xfId="2680" xr:uid="{7EAA388F-A47B-4244-8176-0F90555B8C5E}"/>
    <cellStyle name="Heading 3 2 19 15 3 2" xfId="2681" xr:uid="{72243DD5-A520-4B2E-9AC9-17C24233B67C}"/>
    <cellStyle name="Heading 3 2 19 15 4" xfId="2682" xr:uid="{461DD81E-4749-4E3C-81C4-77CCAF6E0C70}"/>
    <cellStyle name="Heading 3 2 19 15 4 2" xfId="2683" xr:uid="{E8CA92A8-0F26-4BB8-8CC7-719CE88302A4}"/>
    <cellStyle name="Heading 3 2 19 16" xfId="2684" xr:uid="{36A47598-CBA8-41D2-B50A-331617BBAD82}"/>
    <cellStyle name="Heading 3 2 19 16 2" xfId="2685" xr:uid="{4140BCDF-4FD7-4224-8E42-34CE324ECFC3}"/>
    <cellStyle name="Heading 3 2 19 17" xfId="2686" xr:uid="{863E78F1-9FCD-4FF6-86B6-F9AC800ECEE9}"/>
    <cellStyle name="Heading 3 2 19 17 2" xfId="2687" xr:uid="{55D4F27C-C625-47C2-8B0D-EB28C6CC26C0}"/>
    <cellStyle name="Heading 3 2 19 18" xfId="2688" xr:uid="{9BB2F322-CD35-4D7E-9CD0-153A67AF8D45}"/>
    <cellStyle name="Heading 3 2 19 18 2" xfId="2689" xr:uid="{6E05E71E-9F1C-4EAD-B71C-D30096CAC4C9}"/>
    <cellStyle name="Heading 3 2 19 19" xfId="2690" xr:uid="{FC760F7E-BAFC-436F-9C47-76773D04BC69}"/>
    <cellStyle name="Heading 3 2 19 2" xfId="2691" xr:uid="{10CE0CE8-EAEA-42F8-814E-4C9A1CCB7DD1}"/>
    <cellStyle name="Heading 3 2 19 2 2" xfId="2692" xr:uid="{6DABA7A0-3290-4E93-9981-B03BB02C2548}"/>
    <cellStyle name="Heading 3 2 19 2 2 2" xfId="2693" xr:uid="{F6EEDA7C-D02C-49A9-A856-DB3EEE066847}"/>
    <cellStyle name="Heading 3 2 19 2 3" xfId="2694" xr:uid="{3A2B1DAE-6143-40B5-8FCC-09C569637BB0}"/>
    <cellStyle name="Heading 3 2 19 2 3 2" xfId="2695" xr:uid="{2B7E546F-0A5E-480C-97B3-60C7679C69EB}"/>
    <cellStyle name="Heading 3 2 19 2 4" xfId="2696" xr:uid="{119B6859-E16E-4A8D-88F5-C327A42D814A}"/>
    <cellStyle name="Heading 3 2 19 2 4 2" xfId="2697" xr:uid="{048D5050-0031-4796-9302-D5F7611F9F89}"/>
    <cellStyle name="Heading 3 2 19 20" xfId="2698" xr:uid="{1CA4DEB0-ECBE-44E8-8F1B-C4E165546CD2}"/>
    <cellStyle name="Heading 3 2 19 21" xfId="2699" xr:uid="{14DC5D7C-66E2-415D-9894-DABD3A43D7B0}"/>
    <cellStyle name="Heading 3 2 19 22" xfId="2700" xr:uid="{60A6A195-378F-49EF-9629-4162DBF28921}"/>
    <cellStyle name="Heading 3 2 19 23" xfId="2701" xr:uid="{9A3FD7B0-B4AD-4EC0-9E4E-E572E8E48B62}"/>
    <cellStyle name="Heading 3 2 19 24" xfId="2702" xr:uid="{17459F3F-E826-4DDF-BB98-0F5D38449647}"/>
    <cellStyle name="Heading 3 2 19 25" xfId="2703" xr:uid="{C1091F2A-1097-4CAE-B8F5-7450192B1E73}"/>
    <cellStyle name="Heading 3 2 19 3" xfId="2704" xr:uid="{40E8EED9-37DD-4CEE-86A7-94A1FEA8A4B5}"/>
    <cellStyle name="Heading 3 2 19 3 2" xfId="2705" xr:uid="{393C35A7-66FA-4863-A0CD-35388A6F3344}"/>
    <cellStyle name="Heading 3 2 19 3 2 2" xfId="2706" xr:uid="{3A0667FB-6A58-4E38-A432-6BFB0886A31A}"/>
    <cellStyle name="Heading 3 2 19 3 3" xfId="2707" xr:uid="{5928EEBB-858F-49BA-BBBE-A518E288DF2E}"/>
    <cellStyle name="Heading 3 2 19 3 3 2" xfId="2708" xr:uid="{F65DC364-5B3B-4A3B-971E-BECAE4E7045D}"/>
    <cellStyle name="Heading 3 2 19 3 4" xfId="2709" xr:uid="{C37D9AD4-BEB1-4C81-A2B9-CDB0436B585C}"/>
    <cellStyle name="Heading 3 2 19 3 4 2" xfId="2710" xr:uid="{4E5F59D5-B92A-47B8-A4BA-785AEE005B3C}"/>
    <cellStyle name="Heading 3 2 19 4" xfId="2711" xr:uid="{6DF942FD-5C9F-4170-BF75-471DF17D9666}"/>
    <cellStyle name="Heading 3 2 19 4 2" xfId="2712" xr:uid="{11B8E8AB-AE82-41FC-9E40-229B5D8286AA}"/>
    <cellStyle name="Heading 3 2 19 4 2 2" xfId="2713" xr:uid="{A2110CA2-25EF-483D-BE81-544395E7F441}"/>
    <cellStyle name="Heading 3 2 19 4 3" xfId="2714" xr:uid="{0AE98F6D-3557-480F-B3AC-626E0E01F84D}"/>
    <cellStyle name="Heading 3 2 19 4 3 2" xfId="2715" xr:uid="{1FF9C7DB-C3FB-4482-8D58-5D227637ED88}"/>
    <cellStyle name="Heading 3 2 19 4 4" xfId="2716" xr:uid="{69D9684B-237C-420E-8745-603EE7501628}"/>
    <cellStyle name="Heading 3 2 19 4 4 2" xfId="2717" xr:uid="{29A01436-8E83-4C08-9FEF-55B22F875190}"/>
    <cellStyle name="Heading 3 2 19 5" xfId="2718" xr:uid="{0116FEE0-8704-4BF5-A63D-213E0C508AFF}"/>
    <cellStyle name="Heading 3 2 19 5 2" xfId="2719" xr:uid="{6E5B6AB6-8129-47EA-ABDA-8A9D5F7C10EB}"/>
    <cellStyle name="Heading 3 2 19 5 2 2" xfId="2720" xr:uid="{E5A1815A-0166-429A-8EC2-1455118A854F}"/>
    <cellStyle name="Heading 3 2 19 5 3" xfId="2721" xr:uid="{932452D5-C8D7-40DB-BEE9-1F3A879BF9A6}"/>
    <cellStyle name="Heading 3 2 19 5 3 2" xfId="2722" xr:uid="{E79758F0-3FFD-4E05-9794-E124B5BB5935}"/>
    <cellStyle name="Heading 3 2 19 5 4" xfId="2723" xr:uid="{908CD55F-07E1-4456-AEFE-7FB9A1C02474}"/>
    <cellStyle name="Heading 3 2 19 5 4 2" xfId="2724" xr:uid="{3A53A705-580C-4F1B-88C2-A3B9EE798175}"/>
    <cellStyle name="Heading 3 2 19 6" xfId="2725" xr:uid="{1FB1AD84-DB31-4086-ADC4-E963A5B7D79A}"/>
    <cellStyle name="Heading 3 2 19 6 2" xfId="2726" xr:uid="{8A9EAE5E-4717-4F29-9A6F-2A193168B1F3}"/>
    <cellStyle name="Heading 3 2 19 6 2 2" xfId="2727" xr:uid="{53D92099-0712-419F-94AA-D0B5C354919C}"/>
    <cellStyle name="Heading 3 2 19 6 3" xfId="2728" xr:uid="{F518DF0E-34B2-4909-AA37-6FFBDF9ACCA7}"/>
    <cellStyle name="Heading 3 2 19 6 3 2" xfId="2729" xr:uid="{5F0635BC-A329-414A-AF37-7FF77B903361}"/>
    <cellStyle name="Heading 3 2 19 6 4" xfId="2730" xr:uid="{AD518BDC-B698-4642-85A3-2CC4C5599001}"/>
    <cellStyle name="Heading 3 2 19 6 4 2" xfId="2731" xr:uid="{3533A57A-54A5-4BA7-97C6-A3B8F3960DBB}"/>
    <cellStyle name="Heading 3 2 19 7" xfId="2732" xr:uid="{E45D1D9E-DA93-4C9E-ACD4-A396D8DDE76C}"/>
    <cellStyle name="Heading 3 2 19 7 2" xfId="2733" xr:uid="{963F4146-34F4-49E4-8773-A5819534F254}"/>
    <cellStyle name="Heading 3 2 19 7 2 2" xfId="2734" xr:uid="{19F37DF1-5E07-41C0-B339-1D62AA31A87F}"/>
    <cellStyle name="Heading 3 2 19 7 3" xfId="2735" xr:uid="{60D0A22D-D7AF-47A7-879C-8B520D8F5A77}"/>
    <cellStyle name="Heading 3 2 19 7 3 2" xfId="2736" xr:uid="{FABB44E6-245B-44FD-BE39-400D7D216D0E}"/>
    <cellStyle name="Heading 3 2 19 7 4" xfId="2737" xr:uid="{BF1BCC88-31C3-40D8-9836-F8EE114872A0}"/>
    <cellStyle name="Heading 3 2 19 7 4 2" xfId="2738" xr:uid="{2B52E772-B039-42EB-B171-6519B0C3C616}"/>
    <cellStyle name="Heading 3 2 19 8" xfId="2739" xr:uid="{75A36889-1B5D-4079-815A-94E6FB5AF50B}"/>
    <cellStyle name="Heading 3 2 19 8 2" xfId="2740" xr:uid="{9E655047-5830-4B33-92AF-4749A2BAE89B}"/>
    <cellStyle name="Heading 3 2 19 8 2 2" xfId="2741" xr:uid="{C8FC8089-FA9A-4237-A62F-7A869BF3C374}"/>
    <cellStyle name="Heading 3 2 19 8 3" xfId="2742" xr:uid="{09A9AA83-5BE1-4FD2-9970-49BA6D9BBD02}"/>
    <cellStyle name="Heading 3 2 19 8 3 2" xfId="2743" xr:uid="{95C14BA5-38D5-4DA6-8CAE-408F499BF4A3}"/>
    <cellStyle name="Heading 3 2 19 8 4" xfId="2744" xr:uid="{B8534F0C-8A36-487A-ADD0-9774F07ABAC4}"/>
    <cellStyle name="Heading 3 2 19 8 4 2" xfId="2745" xr:uid="{D69CA972-EFEA-4804-A0EF-22D84B26290D}"/>
    <cellStyle name="Heading 3 2 19 9" xfId="2746" xr:uid="{CF1A5705-FB07-43E9-8F11-8846907FEF3D}"/>
    <cellStyle name="Heading 3 2 19 9 2" xfId="2747" xr:uid="{3ABC2910-4317-48EF-8251-97C3E28EF545}"/>
    <cellStyle name="Heading 3 2 19 9 2 2" xfId="2748" xr:uid="{F69A1396-B9E2-40BF-8671-978F7E2D0A18}"/>
    <cellStyle name="Heading 3 2 19 9 3" xfId="2749" xr:uid="{2D2678A2-9348-48FE-A5C2-188264588E4E}"/>
    <cellStyle name="Heading 3 2 19 9 3 2" xfId="2750" xr:uid="{76C58C63-852D-49DC-83C6-59B75976D07D}"/>
    <cellStyle name="Heading 3 2 19 9 4" xfId="2751" xr:uid="{C239F643-42F2-419B-B299-7E8C2F700B48}"/>
    <cellStyle name="Heading 3 2 19 9 4 2" xfId="2752" xr:uid="{62C5FF1D-8DC7-47EC-A7F1-E267B764C71D}"/>
    <cellStyle name="Heading 3 2 2" xfId="2753" xr:uid="{2504DB77-BEC0-48FA-BB04-971157872F13}"/>
    <cellStyle name="Heading 3 2 2 2" xfId="6502" xr:uid="{343C4CAA-E4DE-4D58-865A-6A7EF3493707}"/>
    <cellStyle name="Heading 3 2 20" xfId="2754" xr:uid="{1C1D712D-7DDB-40D1-AE33-036BFBA896C4}"/>
    <cellStyle name="Heading 3 2 20 10" xfId="2755" xr:uid="{85F1C01A-21ED-42CD-9841-C28B2E5D2905}"/>
    <cellStyle name="Heading 3 2 20 10 2" xfId="2756" xr:uid="{659315A1-70CF-4E22-BDE2-871212DC1290}"/>
    <cellStyle name="Heading 3 2 20 10 2 2" xfId="2757" xr:uid="{2836A31D-3B0D-405D-BC74-0ACEA2A0303C}"/>
    <cellStyle name="Heading 3 2 20 10 3" xfId="2758" xr:uid="{6F8B67E7-B717-4414-92E7-95C12C3F14BE}"/>
    <cellStyle name="Heading 3 2 20 10 3 2" xfId="2759" xr:uid="{33686D75-9557-48F1-AAA2-A0C88E0BFBAE}"/>
    <cellStyle name="Heading 3 2 20 10 4" xfId="2760" xr:uid="{2C6D0D36-561A-4B72-89FC-584C42288FB9}"/>
    <cellStyle name="Heading 3 2 20 10 4 2" xfId="2761" xr:uid="{076030B2-4D41-4088-ADC2-2A3A98C409E4}"/>
    <cellStyle name="Heading 3 2 20 11" xfId="2762" xr:uid="{4B1E23B2-E88F-4EBB-BBBF-5DC8F995C478}"/>
    <cellStyle name="Heading 3 2 20 11 2" xfId="2763" xr:uid="{75B277A5-ADAA-4306-8B46-7CD0ACB5DD53}"/>
    <cellStyle name="Heading 3 2 20 11 2 2" xfId="2764" xr:uid="{BE16810B-1293-489F-825F-D0815CB4C6AB}"/>
    <cellStyle name="Heading 3 2 20 11 3" xfId="2765" xr:uid="{7E009DC0-5179-409C-AA63-690133B6ADDE}"/>
    <cellStyle name="Heading 3 2 20 11 3 2" xfId="2766" xr:uid="{41B6C163-9136-4CCC-8573-BDF8BB4745BF}"/>
    <cellStyle name="Heading 3 2 20 11 4" xfId="2767" xr:uid="{5B743837-F571-439D-AB2D-B1B0E0866997}"/>
    <cellStyle name="Heading 3 2 20 11 4 2" xfId="2768" xr:uid="{8E145CFE-8BEE-4D6F-A75B-4A1AA35EE7FF}"/>
    <cellStyle name="Heading 3 2 20 12" xfId="2769" xr:uid="{35ED8902-AD24-4D58-9AAB-7CDD4F809634}"/>
    <cellStyle name="Heading 3 2 20 12 2" xfId="2770" xr:uid="{00BBA83D-B703-4188-BC0A-8E639021377C}"/>
    <cellStyle name="Heading 3 2 20 12 2 2" xfId="2771" xr:uid="{57DBDEB7-18D5-4EBB-A19C-542AF37B38DC}"/>
    <cellStyle name="Heading 3 2 20 12 3" xfId="2772" xr:uid="{CCAEDFDE-D7D2-44D9-A9B9-3091A081858D}"/>
    <cellStyle name="Heading 3 2 20 12 3 2" xfId="2773" xr:uid="{F629AC39-795C-4F43-BFA4-E5378229A05E}"/>
    <cellStyle name="Heading 3 2 20 12 4" xfId="2774" xr:uid="{7B54A114-D939-452A-9E9C-955A379F8DAB}"/>
    <cellStyle name="Heading 3 2 20 12 4 2" xfId="2775" xr:uid="{8040D7A6-1E13-40F2-A635-DC01D20CAC1E}"/>
    <cellStyle name="Heading 3 2 20 13" xfId="2776" xr:uid="{F28F78FC-4D59-4412-AD99-53EFFEA80F74}"/>
    <cellStyle name="Heading 3 2 20 13 2" xfId="2777" xr:uid="{BFDB7C3D-4448-433C-B361-6D8EA344BA33}"/>
    <cellStyle name="Heading 3 2 20 13 2 2" xfId="2778" xr:uid="{4A9C2D9F-9B5E-4901-915F-3EB55913D055}"/>
    <cellStyle name="Heading 3 2 20 13 3" xfId="2779" xr:uid="{B2DFC26C-A1F1-47A4-ABEE-36D1D42A91C4}"/>
    <cellStyle name="Heading 3 2 20 13 3 2" xfId="2780" xr:uid="{B653E26D-9930-49E0-A96E-15934A36DE70}"/>
    <cellStyle name="Heading 3 2 20 13 4" xfId="2781" xr:uid="{A30CC354-C7EE-48A3-A7AC-A7C5FE5213B9}"/>
    <cellStyle name="Heading 3 2 20 13 4 2" xfId="2782" xr:uid="{715A4330-C3A2-40DB-94B6-1567779AE523}"/>
    <cellStyle name="Heading 3 2 20 14" xfId="2783" xr:uid="{4DC35D22-3451-4C39-9517-628744FE5B0D}"/>
    <cellStyle name="Heading 3 2 20 14 2" xfId="2784" xr:uid="{296F46E8-4B72-43BF-81B0-A6E62A8F1E53}"/>
    <cellStyle name="Heading 3 2 20 14 2 2" xfId="2785" xr:uid="{5D3E2739-527C-410A-992A-C0B3D677B042}"/>
    <cellStyle name="Heading 3 2 20 14 3" xfId="2786" xr:uid="{F6F39712-C502-4188-BF28-4592103B4AEA}"/>
    <cellStyle name="Heading 3 2 20 14 3 2" xfId="2787" xr:uid="{65F97D22-88C6-477B-BFDE-79FB5CF000D7}"/>
    <cellStyle name="Heading 3 2 20 14 4" xfId="2788" xr:uid="{9FC6EA3E-92E5-4E9E-A947-E3D3CB0FBFEF}"/>
    <cellStyle name="Heading 3 2 20 14 4 2" xfId="2789" xr:uid="{3E1F3112-C5AD-46CD-BBCB-B5518D5658FC}"/>
    <cellStyle name="Heading 3 2 20 15" xfId="2790" xr:uid="{C0B19CA4-163E-4501-B4E6-E83C21F4D047}"/>
    <cellStyle name="Heading 3 2 20 15 2" xfId="2791" xr:uid="{D4151473-DA35-4AAE-AB66-369B58FFC483}"/>
    <cellStyle name="Heading 3 2 20 15 2 2" xfId="2792" xr:uid="{173FD269-E2CF-4736-AC41-9539927DC8C3}"/>
    <cellStyle name="Heading 3 2 20 15 3" xfId="2793" xr:uid="{0666C409-9CE7-48F1-B9E2-163C2BFC6FA9}"/>
    <cellStyle name="Heading 3 2 20 15 3 2" xfId="2794" xr:uid="{D1439A57-C02F-49ED-805F-D2820182EE58}"/>
    <cellStyle name="Heading 3 2 20 15 4" xfId="2795" xr:uid="{4CBBE2E9-9816-4DCE-AF7B-D4EFB2A85DB1}"/>
    <cellStyle name="Heading 3 2 20 15 4 2" xfId="2796" xr:uid="{C5EE411B-9A59-4672-90A8-BDC190D7E3EB}"/>
    <cellStyle name="Heading 3 2 20 16" xfId="2797" xr:uid="{1D89EC1B-3568-49D7-B568-BE4DC8D16CDE}"/>
    <cellStyle name="Heading 3 2 20 16 2" xfId="2798" xr:uid="{8D0E445D-F64B-4AA5-BEA5-C7B106EC0571}"/>
    <cellStyle name="Heading 3 2 20 17" xfId="2799" xr:uid="{8CDF27A1-E658-4D3D-B514-97453CDF9BB7}"/>
    <cellStyle name="Heading 3 2 20 17 2" xfId="2800" xr:uid="{646B289E-8A3C-4801-9351-0FE137B14EF4}"/>
    <cellStyle name="Heading 3 2 20 18" xfId="2801" xr:uid="{10DA261E-9120-42A8-BA65-8F0AA5C966BB}"/>
    <cellStyle name="Heading 3 2 20 18 2" xfId="2802" xr:uid="{10FB093C-62E0-4DEA-8946-B25C8E2329DB}"/>
    <cellStyle name="Heading 3 2 20 19" xfId="2803" xr:uid="{15BEB1ED-C7B5-4324-B9FF-44EA53AE1CC2}"/>
    <cellStyle name="Heading 3 2 20 2" xfId="2804" xr:uid="{B1A89B8F-C9D5-4480-87D9-0E4149853233}"/>
    <cellStyle name="Heading 3 2 20 2 2" xfId="2805" xr:uid="{80C20275-B91D-4E1E-A42D-19E6B457AC05}"/>
    <cellStyle name="Heading 3 2 20 2 2 2" xfId="2806" xr:uid="{A3E8CC9D-1C77-4848-B34E-C3D7672960E6}"/>
    <cellStyle name="Heading 3 2 20 2 3" xfId="2807" xr:uid="{8F4E899F-F9DF-44F7-841D-0E822087ECD5}"/>
    <cellStyle name="Heading 3 2 20 2 3 2" xfId="2808" xr:uid="{997F434C-4E7B-4474-BA80-F0F4BC51721F}"/>
    <cellStyle name="Heading 3 2 20 2 4" xfId="2809" xr:uid="{F00A4F20-95B6-4887-B13B-7B7309234D3E}"/>
    <cellStyle name="Heading 3 2 20 2 4 2" xfId="2810" xr:uid="{66422470-C6E8-4AD1-ACA3-D3912EAD6290}"/>
    <cellStyle name="Heading 3 2 20 20" xfId="2811" xr:uid="{A5799DCE-B563-43B6-9464-AF2F247DA66D}"/>
    <cellStyle name="Heading 3 2 20 21" xfId="2812" xr:uid="{5A02FC6E-32AE-4A0F-AC77-67F921D677BA}"/>
    <cellStyle name="Heading 3 2 20 22" xfId="2813" xr:uid="{9D0E5493-3C8E-4884-9B6D-0350A76BFBFB}"/>
    <cellStyle name="Heading 3 2 20 23" xfId="2814" xr:uid="{07F35DF7-9FF4-4016-AA87-16143224837D}"/>
    <cellStyle name="Heading 3 2 20 24" xfId="2815" xr:uid="{C2988867-6BAD-440B-B50A-C3ADE8876907}"/>
    <cellStyle name="Heading 3 2 20 25" xfId="2816" xr:uid="{AA946324-C344-481B-952B-01775E0F043E}"/>
    <cellStyle name="Heading 3 2 20 3" xfId="2817" xr:uid="{AE53116C-2212-489E-804C-BEF22E4ED410}"/>
    <cellStyle name="Heading 3 2 20 3 2" xfId="2818" xr:uid="{FB4A4920-E311-47E0-9E41-A9B61EA80424}"/>
    <cellStyle name="Heading 3 2 20 3 2 2" xfId="2819" xr:uid="{28FA85F5-821D-4444-B8FC-E409546E9239}"/>
    <cellStyle name="Heading 3 2 20 3 3" xfId="2820" xr:uid="{44D6D605-B119-48CD-8489-D7258F0F8C22}"/>
    <cellStyle name="Heading 3 2 20 3 3 2" xfId="2821" xr:uid="{85662320-7E7F-4A75-91B6-A24E3B5AD485}"/>
    <cellStyle name="Heading 3 2 20 3 4" xfId="2822" xr:uid="{EE8F0A4A-E2B4-40F4-B63A-1BC2863A96C1}"/>
    <cellStyle name="Heading 3 2 20 3 4 2" xfId="2823" xr:uid="{B94B64D0-ABCA-4F48-819B-E3210635253A}"/>
    <cellStyle name="Heading 3 2 20 4" xfId="2824" xr:uid="{5191ED4E-7B31-4B81-A4BE-F9BF4B6233AE}"/>
    <cellStyle name="Heading 3 2 20 4 2" xfId="2825" xr:uid="{B410432F-1B9A-4719-A879-F7149F438E1C}"/>
    <cellStyle name="Heading 3 2 20 4 2 2" xfId="2826" xr:uid="{4E015313-3BEE-4349-84BA-A2EF806CFF76}"/>
    <cellStyle name="Heading 3 2 20 4 3" xfId="2827" xr:uid="{A6BBA01C-1D43-44BD-878C-C933282F5C85}"/>
    <cellStyle name="Heading 3 2 20 4 3 2" xfId="2828" xr:uid="{EC974747-9B7F-4FCB-9986-0A423947EE6F}"/>
    <cellStyle name="Heading 3 2 20 4 4" xfId="2829" xr:uid="{5855E51B-592D-4DC6-B9FC-78C219C559E7}"/>
    <cellStyle name="Heading 3 2 20 4 4 2" xfId="2830" xr:uid="{5BC98370-D0A0-4CB8-9E3B-069AC984D4E4}"/>
    <cellStyle name="Heading 3 2 20 5" xfId="2831" xr:uid="{5E94BBBC-2249-4F65-8653-5943BB49F9DC}"/>
    <cellStyle name="Heading 3 2 20 5 2" xfId="2832" xr:uid="{9022FF9E-5BC8-4B7F-8EC0-0885428FCA35}"/>
    <cellStyle name="Heading 3 2 20 5 2 2" xfId="2833" xr:uid="{DE182974-FAFF-4666-AF8B-DD4510328D64}"/>
    <cellStyle name="Heading 3 2 20 5 3" xfId="2834" xr:uid="{F2EB6A87-AD6E-4837-BF5C-9B99603618A0}"/>
    <cellStyle name="Heading 3 2 20 5 3 2" xfId="2835" xr:uid="{ABDBF106-BE98-4667-8D6B-A5B183F29D36}"/>
    <cellStyle name="Heading 3 2 20 5 4" xfId="2836" xr:uid="{DC665ABB-C220-4DC5-8473-EED89E009113}"/>
    <cellStyle name="Heading 3 2 20 5 4 2" xfId="2837" xr:uid="{CD178E06-5B02-4CB4-BC88-C1F7674BB9F1}"/>
    <cellStyle name="Heading 3 2 20 6" xfId="2838" xr:uid="{8FA4CE7F-E30C-4840-9B3A-759E57F02583}"/>
    <cellStyle name="Heading 3 2 20 6 2" xfId="2839" xr:uid="{DB95D6D4-BCF0-43DB-9924-2701DB29ADD0}"/>
    <cellStyle name="Heading 3 2 20 6 2 2" xfId="2840" xr:uid="{4025AEFB-29C1-47DA-9993-2CB83A142D2D}"/>
    <cellStyle name="Heading 3 2 20 6 3" xfId="2841" xr:uid="{483C0FC3-7A07-49D7-9E37-AFB1DE956A00}"/>
    <cellStyle name="Heading 3 2 20 6 3 2" xfId="2842" xr:uid="{7F1F70BF-45BB-45A5-A1B1-3AAFD518B13B}"/>
    <cellStyle name="Heading 3 2 20 6 4" xfId="2843" xr:uid="{88C7F81E-A874-4256-971D-C47E277B83EA}"/>
    <cellStyle name="Heading 3 2 20 6 4 2" xfId="2844" xr:uid="{CF528CF5-19E7-41DA-A0EA-85B0763BC24B}"/>
    <cellStyle name="Heading 3 2 20 7" xfId="2845" xr:uid="{D3B57DBC-FF05-4A6D-8DBE-6A7D6D79FC3E}"/>
    <cellStyle name="Heading 3 2 20 7 2" xfId="2846" xr:uid="{0826550B-DD6F-48BA-B3A2-E4B42AA9ACF1}"/>
    <cellStyle name="Heading 3 2 20 7 2 2" xfId="2847" xr:uid="{64F69AC2-1311-4F12-82D6-0847C0557706}"/>
    <cellStyle name="Heading 3 2 20 7 3" xfId="2848" xr:uid="{31543A2C-89F6-4F23-9049-F971545141BB}"/>
    <cellStyle name="Heading 3 2 20 7 3 2" xfId="2849" xr:uid="{61A5EC19-AE17-46BC-9C0A-31BFC19D57A4}"/>
    <cellStyle name="Heading 3 2 20 7 4" xfId="2850" xr:uid="{51D11BE7-DD12-4DC4-B3DF-FD5497763784}"/>
    <cellStyle name="Heading 3 2 20 7 4 2" xfId="2851" xr:uid="{A79AB301-A398-4C3E-9FCB-F38FC908A2DD}"/>
    <cellStyle name="Heading 3 2 20 8" xfId="2852" xr:uid="{BAB4531F-3656-40D2-BE06-8392A0004585}"/>
    <cellStyle name="Heading 3 2 20 8 2" xfId="2853" xr:uid="{1E707279-71AE-420E-99B1-3E480DC3C713}"/>
    <cellStyle name="Heading 3 2 20 8 2 2" xfId="2854" xr:uid="{1D3239BC-1165-437A-BC90-F62CC3021696}"/>
    <cellStyle name="Heading 3 2 20 8 3" xfId="2855" xr:uid="{02D73284-765F-4F8C-9ED7-E61B989898FE}"/>
    <cellStyle name="Heading 3 2 20 8 3 2" xfId="2856" xr:uid="{57A7C72F-7704-411C-A69B-A752E9BF2CE5}"/>
    <cellStyle name="Heading 3 2 20 8 4" xfId="2857" xr:uid="{0C160D87-C2AC-4BAD-B0A8-8E9C110821BC}"/>
    <cellStyle name="Heading 3 2 20 8 4 2" xfId="2858" xr:uid="{90302A64-6AC7-44B9-B184-5D984EDCF8C3}"/>
    <cellStyle name="Heading 3 2 20 9" xfId="2859" xr:uid="{C9294427-A83D-4844-A475-3CD764F541B6}"/>
    <cellStyle name="Heading 3 2 20 9 2" xfId="2860" xr:uid="{41CC25F3-5464-4FBD-8564-E99275927418}"/>
    <cellStyle name="Heading 3 2 20 9 2 2" xfId="2861" xr:uid="{8B4ACA8B-65A8-4E70-833A-5F1CE07F4679}"/>
    <cellStyle name="Heading 3 2 20 9 3" xfId="2862" xr:uid="{4DAB0135-A3C7-45C8-94CC-E603F29D537D}"/>
    <cellStyle name="Heading 3 2 20 9 3 2" xfId="2863" xr:uid="{E768A20B-A260-40CE-9230-A6436A067BC3}"/>
    <cellStyle name="Heading 3 2 20 9 4" xfId="2864" xr:uid="{8D9457DF-E42B-4F1F-B8F7-5660BFE75FFB}"/>
    <cellStyle name="Heading 3 2 20 9 4 2" xfId="2865" xr:uid="{E2B75DFC-19CE-417F-A72B-D5AD8ABC7061}"/>
    <cellStyle name="Heading 3 2 21" xfId="2866" xr:uid="{01AAC6E4-9AEA-4011-A217-E6B2F692B9FB}"/>
    <cellStyle name="Heading 3 2 21 10" xfId="2867" xr:uid="{B7AE8BE9-0E4D-4F34-9E3E-561B18735E92}"/>
    <cellStyle name="Heading 3 2 21 10 2" xfId="2868" xr:uid="{21135B02-6F21-451B-AF03-75850DEECF18}"/>
    <cellStyle name="Heading 3 2 21 10 2 2" xfId="2869" xr:uid="{7F828929-DDDE-4332-8083-CC4817B31808}"/>
    <cellStyle name="Heading 3 2 21 10 3" xfId="2870" xr:uid="{298E63C8-C1DB-4B16-8B50-C04F5CAAFBE4}"/>
    <cellStyle name="Heading 3 2 21 10 3 2" xfId="2871" xr:uid="{50D5D7ED-4FFE-48A9-A92B-5AAF481DE388}"/>
    <cellStyle name="Heading 3 2 21 10 4" xfId="2872" xr:uid="{2028325F-3BDB-4A62-9EA6-CB9B42EB1357}"/>
    <cellStyle name="Heading 3 2 21 10 4 2" xfId="2873" xr:uid="{04707AC5-8172-434A-88B8-2655DCA9CF62}"/>
    <cellStyle name="Heading 3 2 21 11" xfId="2874" xr:uid="{FBAACA49-2968-4E6A-AFA8-062D771BF799}"/>
    <cellStyle name="Heading 3 2 21 11 2" xfId="2875" xr:uid="{A4497EB7-2C80-4A04-876D-6D947606BD3A}"/>
    <cellStyle name="Heading 3 2 21 11 2 2" xfId="2876" xr:uid="{4B157523-123E-432D-80D4-5A33C4CC63A1}"/>
    <cellStyle name="Heading 3 2 21 11 3" xfId="2877" xr:uid="{19188177-3223-4251-9D4E-17109929D683}"/>
    <cellStyle name="Heading 3 2 21 11 3 2" xfId="2878" xr:uid="{B3EABA7F-00EB-4E2D-AC36-E49CBCEE0964}"/>
    <cellStyle name="Heading 3 2 21 11 4" xfId="2879" xr:uid="{D1B01541-906F-44DE-8694-E2881D53695E}"/>
    <cellStyle name="Heading 3 2 21 11 4 2" xfId="2880" xr:uid="{407C84FA-3AAA-4928-8782-4CC8F19F00DC}"/>
    <cellStyle name="Heading 3 2 21 12" xfId="2881" xr:uid="{8643EB89-105A-4A5C-A536-2FC1B059DA1F}"/>
    <cellStyle name="Heading 3 2 21 12 2" xfId="2882" xr:uid="{B2C8447D-DAFB-4A61-80E5-916BBFCCBD95}"/>
    <cellStyle name="Heading 3 2 21 12 2 2" xfId="2883" xr:uid="{C4E486D6-28FB-4B95-A682-E050863FE761}"/>
    <cellStyle name="Heading 3 2 21 12 3" xfId="2884" xr:uid="{215BDC15-8584-4A45-B0CC-3BC05DF54BD5}"/>
    <cellStyle name="Heading 3 2 21 12 3 2" xfId="2885" xr:uid="{2839EBE9-E3DA-4BCA-A6B0-B766AC887DFF}"/>
    <cellStyle name="Heading 3 2 21 12 4" xfId="2886" xr:uid="{989255DA-4EE0-448D-885F-96FBAE626168}"/>
    <cellStyle name="Heading 3 2 21 12 4 2" xfId="2887" xr:uid="{0D920045-3041-4F8F-9E25-D28A32847945}"/>
    <cellStyle name="Heading 3 2 21 13" xfId="2888" xr:uid="{9C5B32F6-D77D-42FA-819C-F1B62F2034A0}"/>
    <cellStyle name="Heading 3 2 21 13 2" xfId="2889" xr:uid="{1E3AA47C-9522-4416-A9B1-2A04CE7F89CE}"/>
    <cellStyle name="Heading 3 2 21 13 2 2" xfId="2890" xr:uid="{ED9F8D00-F7C6-44FE-A00A-54F7144B2F89}"/>
    <cellStyle name="Heading 3 2 21 13 3" xfId="2891" xr:uid="{20912540-1B18-4AF2-A5BA-A1F270619BC0}"/>
    <cellStyle name="Heading 3 2 21 13 3 2" xfId="2892" xr:uid="{088851BB-DE03-4D52-9208-71E98126992A}"/>
    <cellStyle name="Heading 3 2 21 13 4" xfId="2893" xr:uid="{B7D444BB-F526-480F-B929-E71073FE0932}"/>
    <cellStyle name="Heading 3 2 21 13 4 2" xfId="2894" xr:uid="{5462BB76-3831-4C59-ACC7-9B96573E24B9}"/>
    <cellStyle name="Heading 3 2 21 14" xfId="2895" xr:uid="{15E39183-EE59-406E-8EB5-14959F80D64C}"/>
    <cellStyle name="Heading 3 2 21 14 2" xfId="2896" xr:uid="{97B0C9E3-056F-4BC9-A5A3-FCB04EAF6B05}"/>
    <cellStyle name="Heading 3 2 21 14 2 2" xfId="2897" xr:uid="{3BADB831-B85A-457C-A5F3-768C153009D2}"/>
    <cellStyle name="Heading 3 2 21 14 3" xfId="2898" xr:uid="{26B64272-5461-4898-AE29-56F55BB56CE1}"/>
    <cellStyle name="Heading 3 2 21 14 3 2" xfId="2899" xr:uid="{6C185C13-3292-46F1-9390-A420E620E866}"/>
    <cellStyle name="Heading 3 2 21 14 4" xfId="2900" xr:uid="{08768800-AA1A-4B9B-AD52-72AA1958F82A}"/>
    <cellStyle name="Heading 3 2 21 14 4 2" xfId="2901" xr:uid="{459663CD-A6DD-4E2A-8450-74DDD841C04D}"/>
    <cellStyle name="Heading 3 2 21 15" xfId="2902" xr:uid="{33F6E39A-74DE-4CF0-A33D-4B6DF3500362}"/>
    <cellStyle name="Heading 3 2 21 15 2" xfId="2903" xr:uid="{FB3A8AF7-BC0E-4341-AE74-64303EA843F8}"/>
    <cellStyle name="Heading 3 2 21 15 2 2" xfId="2904" xr:uid="{53CE0873-AD0A-4A01-A831-C0C6C87E4DCE}"/>
    <cellStyle name="Heading 3 2 21 15 3" xfId="2905" xr:uid="{B35E54C2-7DE3-4770-BD5D-310330B9CC95}"/>
    <cellStyle name="Heading 3 2 21 15 3 2" xfId="2906" xr:uid="{7215D328-5A3A-482A-81A5-2FF6223D30F1}"/>
    <cellStyle name="Heading 3 2 21 15 4" xfId="2907" xr:uid="{E04D4E25-5FCE-488F-B66E-07301EC04ECC}"/>
    <cellStyle name="Heading 3 2 21 15 4 2" xfId="2908" xr:uid="{1FB9D30B-5F55-4BE8-91AD-04F62C91BF31}"/>
    <cellStyle name="Heading 3 2 21 16" xfId="2909" xr:uid="{0196FE5F-5331-4238-88D2-DAE8DBE6D5CF}"/>
    <cellStyle name="Heading 3 2 21 16 2" xfId="2910" xr:uid="{7207877F-793B-47D8-BC15-18C71E08BB66}"/>
    <cellStyle name="Heading 3 2 21 17" xfId="2911" xr:uid="{A8DEA433-2715-4D5C-A72B-135596C3DF3C}"/>
    <cellStyle name="Heading 3 2 21 17 2" xfId="2912" xr:uid="{49C92F66-FFE2-41AD-A9DB-85325E3E7204}"/>
    <cellStyle name="Heading 3 2 21 18" xfId="2913" xr:uid="{5ACD39D9-6C7E-4F47-9451-ED0B5767290F}"/>
    <cellStyle name="Heading 3 2 21 18 2" xfId="2914" xr:uid="{9DD7BC0B-5EFF-4EDB-AF90-CB58481B028D}"/>
    <cellStyle name="Heading 3 2 21 19" xfId="2915" xr:uid="{3E0E20BD-2DB1-4D2B-A74C-B8DFA5CC7564}"/>
    <cellStyle name="Heading 3 2 21 2" xfId="2916" xr:uid="{EE1FFB90-B9CC-4122-81E0-081393F728AF}"/>
    <cellStyle name="Heading 3 2 21 2 2" xfId="2917" xr:uid="{C458C55A-A6C6-4770-A4F9-A3622381A27F}"/>
    <cellStyle name="Heading 3 2 21 2 2 2" xfId="2918" xr:uid="{6381F5FA-6FC4-4902-A803-4D26F2252722}"/>
    <cellStyle name="Heading 3 2 21 2 3" xfId="2919" xr:uid="{A23CA5D5-F01B-4496-939D-2874173B185A}"/>
    <cellStyle name="Heading 3 2 21 2 3 2" xfId="2920" xr:uid="{2ACF9F12-2402-4229-B8DF-7E257E23DF94}"/>
    <cellStyle name="Heading 3 2 21 2 4" xfId="2921" xr:uid="{CB152FBC-01BD-4C17-B048-0298CA0EB448}"/>
    <cellStyle name="Heading 3 2 21 2 4 2" xfId="2922" xr:uid="{5D927DC7-2417-42F8-B801-AF84AAFF7265}"/>
    <cellStyle name="Heading 3 2 21 20" xfId="2923" xr:uid="{2B1A6861-34B9-4911-8BF4-BC58D6BCF60D}"/>
    <cellStyle name="Heading 3 2 21 21" xfId="2924" xr:uid="{2668A843-E703-4A4C-B8EB-77EC298D61BE}"/>
    <cellStyle name="Heading 3 2 21 22" xfId="2925" xr:uid="{3856C03B-F1B7-416A-95DC-C4083C76E174}"/>
    <cellStyle name="Heading 3 2 21 23" xfId="2926" xr:uid="{C633E3FD-5E7A-4F95-B30B-A8A3AFE14396}"/>
    <cellStyle name="Heading 3 2 21 24" xfId="2927" xr:uid="{706E3C43-4C74-45AC-8AA8-3C58261DFD09}"/>
    <cellStyle name="Heading 3 2 21 25" xfId="2928" xr:uid="{E513223A-7BD3-44F9-93D6-1D39F77A9287}"/>
    <cellStyle name="Heading 3 2 21 3" xfId="2929" xr:uid="{E899EC05-0ED4-4748-9D7D-AF96E7C64B30}"/>
    <cellStyle name="Heading 3 2 21 3 2" xfId="2930" xr:uid="{BBC9B21F-0F06-4A8D-8D92-7487E173F4F7}"/>
    <cellStyle name="Heading 3 2 21 3 2 2" xfId="2931" xr:uid="{1E97C09D-1E7B-47E0-B6BC-344DB5D4E82E}"/>
    <cellStyle name="Heading 3 2 21 3 3" xfId="2932" xr:uid="{DCAA280B-951D-4059-B229-52368014E657}"/>
    <cellStyle name="Heading 3 2 21 3 3 2" xfId="2933" xr:uid="{C0448A93-B138-42EA-84EC-7630C5547C93}"/>
    <cellStyle name="Heading 3 2 21 3 4" xfId="2934" xr:uid="{220C7B06-2C97-46DA-8F92-318EBE0C7384}"/>
    <cellStyle name="Heading 3 2 21 3 4 2" xfId="2935" xr:uid="{6C667DFE-7051-4955-B466-E2D21D1715E9}"/>
    <cellStyle name="Heading 3 2 21 4" xfId="2936" xr:uid="{D9D86564-8E25-4D0F-9E4A-C03D4C252172}"/>
    <cellStyle name="Heading 3 2 21 4 2" xfId="2937" xr:uid="{06713CC0-D73E-4D10-B80B-F442F8434063}"/>
    <cellStyle name="Heading 3 2 21 4 2 2" xfId="2938" xr:uid="{7A6B6B17-F997-4761-9179-3631AA671D82}"/>
    <cellStyle name="Heading 3 2 21 4 3" xfId="2939" xr:uid="{0BAFB0C7-347E-44E8-9CE6-B3282E82600F}"/>
    <cellStyle name="Heading 3 2 21 4 3 2" xfId="2940" xr:uid="{FFD48264-9221-49FE-9F6E-46B363165AE7}"/>
    <cellStyle name="Heading 3 2 21 4 4" xfId="2941" xr:uid="{154C2F29-6002-4873-91E9-F1E039F46841}"/>
    <cellStyle name="Heading 3 2 21 4 4 2" xfId="2942" xr:uid="{3CA0DA5A-A788-43CD-9131-25B99413960A}"/>
    <cellStyle name="Heading 3 2 21 5" xfId="2943" xr:uid="{2C6EAE6A-FB22-4DCA-BC4B-47AF36551419}"/>
    <cellStyle name="Heading 3 2 21 5 2" xfId="2944" xr:uid="{7465E9D9-5A13-477B-9A9F-0B4C0F556D37}"/>
    <cellStyle name="Heading 3 2 21 5 2 2" xfId="2945" xr:uid="{F708EF1E-ADCF-49B6-976A-9000A017A133}"/>
    <cellStyle name="Heading 3 2 21 5 3" xfId="2946" xr:uid="{5C8E6A40-B587-4038-B49D-04C3D531256A}"/>
    <cellStyle name="Heading 3 2 21 5 3 2" xfId="2947" xr:uid="{8EDDF53B-1B9C-4B1D-8F77-5F5D6983F8E2}"/>
    <cellStyle name="Heading 3 2 21 5 4" xfId="2948" xr:uid="{9B307BE4-845C-42E5-A7AC-D86847B8A521}"/>
    <cellStyle name="Heading 3 2 21 5 4 2" xfId="2949" xr:uid="{A1812484-B902-46D3-8CB5-1BE0B2961A08}"/>
    <cellStyle name="Heading 3 2 21 6" xfId="2950" xr:uid="{7EBF9A97-4CCE-4EF9-836C-1C7243524713}"/>
    <cellStyle name="Heading 3 2 21 6 2" xfId="2951" xr:uid="{45C89183-E41A-4528-9E5E-D8641E7BE255}"/>
    <cellStyle name="Heading 3 2 21 6 2 2" xfId="2952" xr:uid="{681BB4B3-D272-4ED2-B9EA-1860B7BB41A3}"/>
    <cellStyle name="Heading 3 2 21 6 3" xfId="2953" xr:uid="{D81239F6-8901-4CA6-8F9F-7CD3A8AA024F}"/>
    <cellStyle name="Heading 3 2 21 6 3 2" xfId="2954" xr:uid="{BEB64BF8-7349-413F-88AF-B10BEC23BB2D}"/>
    <cellStyle name="Heading 3 2 21 6 4" xfId="2955" xr:uid="{064C7B12-6860-4DB0-A74C-109051B34C45}"/>
    <cellStyle name="Heading 3 2 21 6 4 2" xfId="2956" xr:uid="{F063E17A-3DE5-447B-925E-C89BDA020F1D}"/>
    <cellStyle name="Heading 3 2 21 7" xfId="2957" xr:uid="{A5C62674-A990-49F3-A2C2-EA7DA8ABC720}"/>
    <cellStyle name="Heading 3 2 21 7 2" xfId="2958" xr:uid="{6B012072-8DEA-4041-A315-183696D8EED6}"/>
    <cellStyle name="Heading 3 2 21 7 2 2" xfId="2959" xr:uid="{BE42AE55-A5CE-4B17-A2DB-6D48D4977FB5}"/>
    <cellStyle name="Heading 3 2 21 7 3" xfId="2960" xr:uid="{767A8102-CF96-4774-853C-9255F1C540D2}"/>
    <cellStyle name="Heading 3 2 21 7 3 2" xfId="2961" xr:uid="{6CC4ECA7-2895-4B5A-A7D1-19EB6BEA2CA9}"/>
    <cellStyle name="Heading 3 2 21 7 4" xfId="2962" xr:uid="{8D7DB4BD-A707-4C60-9626-369B597A73DA}"/>
    <cellStyle name="Heading 3 2 21 7 4 2" xfId="2963" xr:uid="{BAC00823-2D2A-4938-B3D9-2096895C7701}"/>
    <cellStyle name="Heading 3 2 21 8" xfId="2964" xr:uid="{F6AF2074-F83C-4935-9687-56B4DFFCA45D}"/>
    <cellStyle name="Heading 3 2 21 8 2" xfId="2965" xr:uid="{23D277D3-0830-4724-B93A-BF878838296A}"/>
    <cellStyle name="Heading 3 2 21 8 2 2" xfId="2966" xr:uid="{2AFDF8AE-D5F6-420D-964B-4459251ACC55}"/>
    <cellStyle name="Heading 3 2 21 8 3" xfId="2967" xr:uid="{FACA92B4-1543-4E1A-9D3D-7D19FBE5698F}"/>
    <cellStyle name="Heading 3 2 21 8 3 2" xfId="2968" xr:uid="{BA6F5BF7-7C53-4CCF-90E7-C68E8D8C621F}"/>
    <cellStyle name="Heading 3 2 21 8 4" xfId="2969" xr:uid="{D602BD25-2615-4F97-827F-F5B451A59199}"/>
    <cellStyle name="Heading 3 2 21 8 4 2" xfId="2970" xr:uid="{B1CCF496-FF82-4A30-98DF-CF4BA48CCF84}"/>
    <cellStyle name="Heading 3 2 21 9" xfId="2971" xr:uid="{9E2B3803-67EB-4BFB-8CB9-0882CE098618}"/>
    <cellStyle name="Heading 3 2 21 9 2" xfId="2972" xr:uid="{B98179ED-C872-466E-8A22-21DF07DBF2A4}"/>
    <cellStyle name="Heading 3 2 21 9 2 2" xfId="2973" xr:uid="{B502B57C-6199-4DBB-9E4F-36028AD1A6D5}"/>
    <cellStyle name="Heading 3 2 21 9 3" xfId="2974" xr:uid="{B2DFF37E-DD0F-45B4-9524-348A593F7A45}"/>
    <cellStyle name="Heading 3 2 21 9 3 2" xfId="2975" xr:uid="{F1254992-6661-4999-A1ED-1E45DD24E874}"/>
    <cellStyle name="Heading 3 2 21 9 4" xfId="2976" xr:uid="{E47DFE3C-D23C-4865-8BD3-28A8F108DC03}"/>
    <cellStyle name="Heading 3 2 21 9 4 2" xfId="2977" xr:uid="{0896D5F2-CB20-4240-B1D5-3B418DF9849E}"/>
    <cellStyle name="Heading 3 2 22" xfId="2978" xr:uid="{745F5B65-9C3E-4671-9899-48E9D0A50F9F}"/>
    <cellStyle name="Heading 3 2 22 10" xfId="2979" xr:uid="{25486A8B-0E7D-4F36-A64A-FB19018BB043}"/>
    <cellStyle name="Heading 3 2 22 10 2" xfId="2980" xr:uid="{6A77A473-41E1-4B6E-AFFB-8EE5C051C4CC}"/>
    <cellStyle name="Heading 3 2 22 10 2 2" xfId="2981" xr:uid="{7343A83B-95B7-4BBF-BD23-087885C87FA3}"/>
    <cellStyle name="Heading 3 2 22 10 3" xfId="2982" xr:uid="{A0EFE723-EF27-45C9-93DA-62E3428A12C6}"/>
    <cellStyle name="Heading 3 2 22 10 3 2" xfId="2983" xr:uid="{8672548F-1744-4410-B0A8-1452B61F010F}"/>
    <cellStyle name="Heading 3 2 22 10 4" xfId="2984" xr:uid="{3B93E09E-7D76-4D79-A186-9E6D1D183177}"/>
    <cellStyle name="Heading 3 2 22 10 4 2" xfId="2985" xr:uid="{62578B00-A58F-4EC2-87AC-7A1C16F1AE57}"/>
    <cellStyle name="Heading 3 2 22 11" xfId="2986" xr:uid="{89891DB5-71C3-4A99-A4B4-1C3DEE508797}"/>
    <cellStyle name="Heading 3 2 22 11 2" xfId="2987" xr:uid="{E07664DF-73A2-4337-AC4C-62A5C0440B5E}"/>
    <cellStyle name="Heading 3 2 22 11 2 2" xfId="2988" xr:uid="{9CDAAB48-5F95-49D8-BF87-4E53EE5FE83F}"/>
    <cellStyle name="Heading 3 2 22 11 3" xfId="2989" xr:uid="{D1C704D5-5FC0-4F83-8276-66964435DD51}"/>
    <cellStyle name="Heading 3 2 22 11 3 2" xfId="2990" xr:uid="{62B9CE66-73A3-4557-B4AA-53F84B7788F9}"/>
    <cellStyle name="Heading 3 2 22 11 4" xfId="2991" xr:uid="{B75F2023-AD82-4EF0-B96F-F28224492113}"/>
    <cellStyle name="Heading 3 2 22 11 4 2" xfId="2992" xr:uid="{A7FED7ED-4497-4EE7-935F-A6566A0435D4}"/>
    <cellStyle name="Heading 3 2 22 12" xfId="2993" xr:uid="{74417788-F240-4D24-B584-6DD9320F461A}"/>
    <cellStyle name="Heading 3 2 22 12 2" xfId="2994" xr:uid="{C4CD3AAE-E0D2-4B36-9443-033179F0249B}"/>
    <cellStyle name="Heading 3 2 22 12 2 2" xfId="2995" xr:uid="{9AD3CECC-137C-4061-9360-1BBE905D6A7C}"/>
    <cellStyle name="Heading 3 2 22 12 3" xfId="2996" xr:uid="{FE197CCE-CAE3-4CD7-970B-BD9185236D39}"/>
    <cellStyle name="Heading 3 2 22 12 3 2" xfId="2997" xr:uid="{442153C6-8F16-49DC-B7FA-D0F9D8EF185E}"/>
    <cellStyle name="Heading 3 2 22 12 4" xfId="2998" xr:uid="{1B430DE6-CF4F-49E6-A28A-B0B96CF47F68}"/>
    <cellStyle name="Heading 3 2 22 12 4 2" xfId="2999" xr:uid="{10687655-8F34-49A9-A9D8-0E5683BDCD0B}"/>
    <cellStyle name="Heading 3 2 22 13" xfId="3000" xr:uid="{243FC0FA-E097-41AA-AF91-84B8C36A3BAE}"/>
    <cellStyle name="Heading 3 2 22 13 2" xfId="3001" xr:uid="{676E52FA-CBEE-4B33-88F3-34193A933F68}"/>
    <cellStyle name="Heading 3 2 22 13 2 2" xfId="3002" xr:uid="{EB08B056-3B71-4CB2-897D-8A974544CF60}"/>
    <cellStyle name="Heading 3 2 22 13 3" xfId="3003" xr:uid="{A30D8E77-DE3B-4667-A0B2-80576E89AE11}"/>
    <cellStyle name="Heading 3 2 22 13 3 2" xfId="3004" xr:uid="{199CFC67-7E1E-41D7-8409-93B3ECA88498}"/>
    <cellStyle name="Heading 3 2 22 13 4" xfId="3005" xr:uid="{BC3C319D-9338-4B5D-84A0-2F0ED28D23EC}"/>
    <cellStyle name="Heading 3 2 22 13 4 2" xfId="3006" xr:uid="{56443F9D-A94C-4704-A3D0-72428CA2BD49}"/>
    <cellStyle name="Heading 3 2 22 14" xfId="3007" xr:uid="{80596063-B646-4781-A1AD-AB1E4F7A7C48}"/>
    <cellStyle name="Heading 3 2 22 14 2" xfId="3008" xr:uid="{7A421EA3-99A0-47A9-98E7-57B61CBBF912}"/>
    <cellStyle name="Heading 3 2 22 14 2 2" xfId="3009" xr:uid="{080D07AC-983F-4844-81BC-401D4135F7D4}"/>
    <cellStyle name="Heading 3 2 22 14 3" xfId="3010" xr:uid="{52630851-6FE6-4CF3-AFFA-A53087432912}"/>
    <cellStyle name="Heading 3 2 22 14 3 2" xfId="3011" xr:uid="{BF5219AC-1332-451C-BAE5-1D8DD3A881BC}"/>
    <cellStyle name="Heading 3 2 22 14 4" xfId="3012" xr:uid="{9C39E66F-BC10-4D96-8EB7-0A395FE626B9}"/>
    <cellStyle name="Heading 3 2 22 14 4 2" xfId="3013" xr:uid="{516EF7E5-04B3-487A-B189-D64C441298DF}"/>
    <cellStyle name="Heading 3 2 22 15" xfId="3014" xr:uid="{DC808010-2121-4F96-A893-A4AE3DF4BD4E}"/>
    <cellStyle name="Heading 3 2 22 15 2" xfId="3015" xr:uid="{06CBF18E-8CAB-4CE3-BAD4-E71A948E01E7}"/>
    <cellStyle name="Heading 3 2 22 15 2 2" xfId="3016" xr:uid="{91632851-88C9-4019-98A0-573ABAA6C8C1}"/>
    <cellStyle name="Heading 3 2 22 15 3" xfId="3017" xr:uid="{7447A445-DA01-42BE-BFFD-435EB18C1F00}"/>
    <cellStyle name="Heading 3 2 22 15 3 2" xfId="3018" xr:uid="{EE470B43-C017-4EF3-8009-12CC745E649E}"/>
    <cellStyle name="Heading 3 2 22 15 4" xfId="3019" xr:uid="{44080311-9774-4A0C-A516-110D768EA909}"/>
    <cellStyle name="Heading 3 2 22 15 4 2" xfId="3020" xr:uid="{8CB85149-9D1C-4345-877D-AC5C7842BCB8}"/>
    <cellStyle name="Heading 3 2 22 16" xfId="3021" xr:uid="{25886D09-F556-461E-84B7-0AC18386D0EE}"/>
    <cellStyle name="Heading 3 2 22 16 2" xfId="3022" xr:uid="{874FF38A-4A06-4A32-90FD-2B5016A17A08}"/>
    <cellStyle name="Heading 3 2 22 17" xfId="3023" xr:uid="{52239D9F-2A6B-40D6-9A71-C4BBD46F7694}"/>
    <cellStyle name="Heading 3 2 22 17 2" xfId="3024" xr:uid="{237CBC1D-8F56-4127-AA29-1E49C876F33C}"/>
    <cellStyle name="Heading 3 2 22 18" xfId="3025" xr:uid="{4DDCF0E1-0477-49BA-8830-1F86457ECE8D}"/>
    <cellStyle name="Heading 3 2 22 18 2" xfId="3026" xr:uid="{CFF37F99-31E2-49D4-A833-7C02818894B6}"/>
    <cellStyle name="Heading 3 2 22 19" xfId="3027" xr:uid="{724BD056-B745-40F1-9352-20FE54542349}"/>
    <cellStyle name="Heading 3 2 22 2" xfId="3028" xr:uid="{0DA44D49-B02A-429E-816A-D6C15A93892B}"/>
    <cellStyle name="Heading 3 2 22 2 2" xfId="3029" xr:uid="{EA8AF738-43B2-459F-9D82-4011706CFF71}"/>
    <cellStyle name="Heading 3 2 22 2 2 2" xfId="3030" xr:uid="{01C7360B-F714-45A7-8D8B-20128B5FB054}"/>
    <cellStyle name="Heading 3 2 22 2 3" xfId="3031" xr:uid="{06022A4C-6533-42F6-8170-17D484ACEC19}"/>
    <cellStyle name="Heading 3 2 22 2 3 2" xfId="3032" xr:uid="{1205FDE2-814B-4EC2-9196-5031E5E8A820}"/>
    <cellStyle name="Heading 3 2 22 2 4" xfId="3033" xr:uid="{51DC1897-211C-4368-BEA2-EA800B7B9D0D}"/>
    <cellStyle name="Heading 3 2 22 2 4 2" xfId="3034" xr:uid="{9A77F9B1-73E6-490D-A523-DE5409F8098E}"/>
    <cellStyle name="Heading 3 2 22 20" xfId="3035" xr:uid="{6D261C3D-835E-4F3A-B480-152251C8F311}"/>
    <cellStyle name="Heading 3 2 22 21" xfId="3036" xr:uid="{767BC4AA-8712-4840-A1B7-E7DE76722A50}"/>
    <cellStyle name="Heading 3 2 22 22" xfId="3037" xr:uid="{30870860-667E-4B8F-A21D-0798C7FAA6BE}"/>
    <cellStyle name="Heading 3 2 22 23" xfId="3038" xr:uid="{4E4AFC24-AFEA-4617-8EC8-47622ECD7FD6}"/>
    <cellStyle name="Heading 3 2 22 24" xfId="3039" xr:uid="{CD83CD10-2124-4753-94AD-3B801775C489}"/>
    <cellStyle name="Heading 3 2 22 25" xfId="3040" xr:uid="{056F6C0C-D0F7-405E-B2FF-12547AC01BF5}"/>
    <cellStyle name="Heading 3 2 22 3" xfId="3041" xr:uid="{D62C3E99-BBBB-4FE3-B19A-A3034D24F7ED}"/>
    <cellStyle name="Heading 3 2 22 3 2" xfId="3042" xr:uid="{E11652C7-CD4A-4052-9463-97F21928072C}"/>
    <cellStyle name="Heading 3 2 22 3 2 2" xfId="3043" xr:uid="{60A2CB76-5E63-4DE2-BEEB-084D336C81D8}"/>
    <cellStyle name="Heading 3 2 22 3 3" xfId="3044" xr:uid="{E352B1C1-57E3-4960-BA0C-0C84005DEA2C}"/>
    <cellStyle name="Heading 3 2 22 3 3 2" xfId="3045" xr:uid="{098B7EF6-C426-4A2F-B686-F04730DC2A7E}"/>
    <cellStyle name="Heading 3 2 22 3 4" xfId="3046" xr:uid="{E9739C5C-DF1D-4292-8BED-9814EE95CCA7}"/>
    <cellStyle name="Heading 3 2 22 3 4 2" xfId="3047" xr:uid="{B8436558-A8DC-4F36-82AD-6577F242A88A}"/>
    <cellStyle name="Heading 3 2 22 4" xfId="3048" xr:uid="{DC318C1B-2B2E-481A-BA84-1B9C19CEA612}"/>
    <cellStyle name="Heading 3 2 22 4 2" xfId="3049" xr:uid="{A6494F89-A281-4EBF-BAE6-FEF9690A8C8E}"/>
    <cellStyle name="Heading 3 2 22 4 2 2" xfId="3050" xr:uid="{0067F2C4-1289-4954-AC51-5A0D326E297D}"/>
    <cellStyle name="Heading 3 2 22 4 3" xfId="3051" xr:uid="{E99F3F8B-6F16-4D01-83F8-DB6F556BA1B4}"/>
    <cellStyle name="Heading 3 2 22 4 3 2" xfId="3052" xr:uid="{FB379763-1992-461E-99E1-D1DA53AE329B}"/>
    <cellStyle name="Heading 3 2 22 4 4" xfId="3053" xr:uid="{29F102EA-65C5-4B23-B8D5-A24E462A6004}"/>
    <cellStyle name="Heading 3 2 22 4 4 2" xfId="3054" xr:uid="{A100E03F-3BC6-4C35-BF65-7408161828BE}"/>
    <cellStyle name="Heading 3 2 22 5" xfId="3055" xr:uid="{E304786E-4417-4B80-95E2-E424D492DE42}"/>
    <cellStyle name="Heading 3 2 22 5 2" xfId="3056" xr:uid="{E93C9B3A-0D2C-4408-920C-5476476B1CA4}"/>
    <cellStyle name="Heading 3 2 22 5 2 2" xfId="3057" xr:uid="{47844A02-6456-4785-959B-F1124A3BAF98}"/>
    <cellStyle name="Heading 3 2 22 5 3" xfId="3058" xr:uid="{3170A97E-F776-4F45-BC44-9C5572DC0DFB}"/>
    <cellStyle name="Heading 3 2 22 5 3 2" xfId="3059" xr:uid="{A513E828-EB02-4C14-88EA-BC53B965430B}"/>
    <cellStyle name="Heading 3 2 22 5 4" xfId="3060" xr:uid="{F8715DA6-BB34-4696-A727-6E1D860A2D22}"/>
    <cellStyle name="Heading 3 2 22 5 4 2" xfId="3061" xr:uid="{94BE36FF-D227-40BF-BF45-4BCF9EAC5D15}"/>
    <cellStyle name="Heading 3 2 22 6" xfId="3062" xr:uid="{32FADE8D-7DBC-48B8-994B-D2795FC70B90}"/>
    <cellStyle name="Heading 3 2 22 6 2" xfId="3063" xr:uid="{279DCBF3-77A3-44D2-94D8-52FDDE525E81}"/>
    <cellStyle name="Heading 3 2 22 6 2 2" xfId="3064" xr:uid="{8B8F3883-491C-4D11-BA7C-06E747DE9453}"/>
    <cellStyle name="Heading 3 2 22 6 3" xfId="3065" xr:uid="{4E7BB44E-0F74-4EDF-A1AA-E7F7F37BAFCE}"/>
    <cellStyle name="Heading 3 2 22 6 3 2" xfId="3066" xr:uid="{D9368A71-2E89-4183-8AF6-BD87D57734F7}"/>
    <cellStyle name="Heading 3 2 22 6 4" xfId="3067" xr:uid="{40FB3D77-B097-4A18-9E66-44FF274C5EDB}"/>
    <cellStyle name="Heading 3 2 22 6 4 2" xfId="3068" xr:uid="{B9FBCE65-CD01-44F6-9E60-87687AEFB66E}"/>
    <cellStyle name="Heading 3 2 22 7" xfId="3069" xr:uid="{29280C81-6646-457F-B1CA-083C895EC07E}"/>
    <cellStyle name="Heading 3 2 22 7 2" xfId="3070" xr:uid="{9F05AE98-66F0-4D78-B21D-D96F4B2C74E3}"/>
    <cellStyle name="Heading 3 2 22 7 2 2" xfId="3071" xr:uid="{A1687331-E0A9-44DE-9C52-E0AC5333AD29}"/>
    <cellStyle name="Heading 3 2 22 7 3" xfId="3072" xr:uid="{4571EB34-171C-4556-ADE2-6574FE0E6CA2}"/>
    <cellStyle name="Heading 3 2 22 7 3 2" xfId="3073" xr:uid="{C0C79C6F-63D8-4B6F-A62B-E3A64D9CA17E}"/>
    <cellStyle name="Heading 3 2 22 7 4" xfId="3074" xr:uid="{66B45B71-534A-42AA-81BB-D8ED2722968C}"/>
    <cellStyle name="Heading 3 2 22 7 4 2" xfId="3075" xr:uid="{65D5BA5A-CD4E-44F9-9643-DBCD9AB3A0FE}"/>
    <cellStyle name="Heading 3 2 22 8" xfId="3076" xr:uid="{65E8DE92-5073-482B-BEBD-7071FFA9E1D6}"/>
    <cellStyle name="Heading 3 2 22 8 2" xfId="3077" xr:uid="{1C36DCEF-E275-4443-851D-DA276FEFD91C}"/>
    <cellStyle name="Heading 3 2 22 8 2 2" xfId="3078" xr:uid="{B49DBA23-68A0-40E3-A40F-D402226818DE}"/>
    <cellStyle name="Heading 3 2 22 8 3" xfId="3079" xr:uid="{E0F9A65C-5B7B-4C82-9587-00351F807560}"/>
    <cellStyle name="Heading 3 2 22 8 3 2" xfId="3080" xr:uid="{FDF24C8C-785B-43E8-8364-423E7966B30D}"/>
    <cellStyle name="Heading 3 2 22 8 4" xfId="3081" xr:uid="{9AF82379-F1BD-4C03-AAE3-F70331FD03D0}"/>
    <cellStyle name="Heading 3 2 22 8 4 2" xfId="3082" xr:uid="{B297AFF8-8FE2-40DF-BEEC-CD195FBB93CD}"/>
    <cellStyle name="Heading 3 2 22 9" xfId="3083" xr:uid="{53534773-3593-49AE-9CF7-646358A466A4}"/>
    <cellStyle name="Heading 3 2 22 9 2" xfId="3084" xr:uid="{E63D84A0-D2A2-4D71-83B3-D3EE299D234F}"/>
    <cellStyle name="Heading 3 2 22 9 2 2" xfId="3085" xr:uid="{A028EDC7-D04E-414F-838F-B631EFCF886A}"/>
    <cellStyle name="Heading 3 2 22 9 3" xfId="3086" xr:uid="{51800A61-9153-41C0-B192-195F7D7B3519}"/>
    <cellStyle name="Heading 3 2 22 9 3 2" xfId="3087" xr:uid="{6C50089B-35D4-4BAB-B1D6-42F8B45B979F}"/>
    <cellStyle name="Heading 3 2 22 9 4" xfId="3088" xr:uid="{87ADC45E-B0B8-413B-9D4D-84A5C71C123A}"/>
    <cellStyle name="Heading 3 2 22 9 4 2" xfId="3089" xr:uid="{FA56E43E-0DEE-4824-A38B-961263CF9B03}"/>
    <cellStyle name="Heading 3 2 23" xfId="3090" xr:uid="{F85AE9C7-8104-47EA-B5C6-B3D1C4413B4A}"/>
    <cellStyle name="Heading 3 2 23 10" xfId="3091" xr:uid="{E7C19A3A-DE4B-46E1-8090-AB3867C55B6B}"/>
    <cellStyle name="Heading 3 2 23 10 2" xfId="3092" xr:uid="{555DADA0-1843-4A5E-ACB3-8469B7DC5D88}"/>
    <cellStyle name="Heading 3 2 23 10 2 2" xfId="3093" xr:uid="{B8EAD4AE-CF22-41C7-A40F-A1C6025B95AB}"/>
    <cellStyle name="Heading 3 2 23 10 3" xfId="3094" xr:uid="{96C5A4D8-6B4E-480D-A6CB-83CFCD798335}"/>
    <cellStyle name="Heading 3 2 23 10 3 2" xfId="3095" xr:uid="{DA364E78-3502-4149-8F23-FC44971ED2EB}"/>
    <cellStyle name="Heading 3 2 23 10 4" xfId="3096" xr:uid="{9CAABB9E-B079-493F-AC6C-7BE1F32C9628}"/>
    <cellStyle name="Heading 3 2 23 10 4 2" xfId="3097" xr:uid="{A493E12F-A5AA-41E2-89A6-3292462031A1}"/>
    <cellStyle name="Heading 3 2 23 11" xfId="3098" xr:uid="{2F2CEBF6-57E9-4B31-BBEF-A176E762991E}"/>
    <cellStyle name="Heading 3 2 23 11 2" xfId="3099" xr:uid="{37F3D629-47D2-4887-A620-26742D85D7CD}"/>
    <cellStyle name="Heading 3 2 23 11 2 2" xfId="3100" xr:uid="{4305D8CD-1829-462E-8158-0AAD520C69EC}"/>
    <cellStyle name="Heading 3 2 23 11 3" xfId="3101" xr:uid="{EE7A1BFE-8138-4FF8-98B6-0946A376DFF6}"/>
    <cellStyle name="Heading 3 2 23 11 3 2" xfId="3102" xr:uid="{A7FA489F-A67A-4637-A582-EC102C3BC9CA}"/>
    <cellStyle name="Heading 3 2 23 11 4" xfId="3103" xr:uid="{3F617989-B1A8-462F-8512-C75F5029729E}"/>
    <cellStyle name="Heading 3 2 23 11 4 2" xfId="3104" xr:uid="{8BA53163-4980-4F54-8464-DB3D82F68E0D}"/>
    <cellStyle name="Heading 3 2 23 12" xfId="3105" xr:uid="{AEED18BA-94D9-4C9D-B19C-1771AB08274E}"/>
    <cellStyle name="Heading 3 2 23 12 2" xfId="3106" xr:uid="{57C88AF6-EFDD-42F2-B0D7-BCE441AF82A1}"/>
    <cellStyle name="Heading 3 2 23 12 2 2" xfId="3107" xr:uid="{118A4737-0702-43FC-8204-E3D95CA6C9DC}"/>
    <cellStyle name="Heading 3 2 23 12 3" xfId="3108" xr:uid="{4AFCE70D-693F-4FF5-9FE5-89E3C139B0FD}"/>
    <cellStyle name="Heading 3 2 23 12 3 2" xfId="3109" xr:uid="{2301C0CF-9101-45D7-848B-2E2E2FCA29C9}"/>
    <cellStyle name="Heading 3 2 23 12 4" xfId="3110" xr:uid="{41E1CD6C-E1C6-42DB-888B-5E864DA3C9A6}"/>
    <cellStyle name="Heading 3 2 23 12 4 2" xfId="3111" xr:uid="{5AD47CD4-225D-4E6B-B909-6FAE0A3D382B}"/>
    <cellStyle name="Heading 3 2 23 13" xfId="3112" xr:uid="{276F9382-61D9-4602-A955-35F3ADE5732E}"/>
    <cellStyle name="Heading 3 2 23 13 2" xfId="3113" xr:uid="{1F5BBD6F-7927-429E-99AF-9C7DA862A11B}"/>
    <cellStyle name="Heading 3 2 23 13 2 2" xfId="3114" xr:uid="{AD9A8486-32E9-464C-94CE-BB07C4BBFCF3}"/>
    <cellStyle name="Heading 3 2 23 13 3" xfId="3115" xr:uid="{8E1E4445-4F97-455D-AF12-ED1C0D2CCCAE}"/>
    <cellStyle name="Heading 3 2 23 13 3 2" xfId="3116" xr:uid="{EF524817-7C34-4BA3-BB1F-753D306CEEAB}"/>
    <cellStyle name="Heading 3 2 23 13 4" xfId="3117" xr:uid="{12D114F4-B8EB-495C-A765-72852F7856C4}"/>
    <cellStyle name="Heading 3 2 23 13 4 2" xfId="3118" xr:uid="{327DC0E4-59DE-448D-96FB-277F8CD317CB}"/>
    <cellStyle name="Heading 3 2 23 14" xfId="3119" xr:uid="{F34A9882-C22B-42BF-94A7-F403514C016D}"/>
    <cellStyle name="Heading 3 2 23 14 2" xfId="3120" xr:uid="{7731595B-F67C-446E-90E5-D60AB11839B7}"/>
    <cellStyle name="Heading 3 2 23 14 2 2" xfId="3121" xr:uid="{24624881-5A02-4A9D-8129-C1AAF3459C68}"/>
    <cellStyle name="Heading 3 2 23 14 3" xfId="3122" xr:uid="{9A1D123E-C3A0-473A-A65D-4DF06854ABB8}"/>
    <cellStyle name="Heading 3 2 23 14 3 2" xfId="3123" xr:uid="{C0EF6069-5029-4DA7-B62C-E90820965A50}"/>
    <cellStyle name="Heading 3 2 23 14 4" xfId="3124" xr:uid="{572E8CC3-D298-4E20-9472-487747DF43B1}"/>
    <cellStyle name="Heading 3 2 23 14 4 2" xfId="3125" xr:uid="{7666A895-43AC-42D4-815B-4F9C2C93AA01}"/>
    <cellStyle name="Heading 3 2 23 15" xfId="3126" xr:uid="{1C2EB30E-9A9D-4A27-844D-787A5883A33C}"/>
    <cellStyle name="Heading 3 2 23 15 2" xfId="3127" xr:uid="{1AA85B9F-13AA-46E3-999F-542B21A10C17}"/>
    <cellStyle name="Heading 3 2 23 15 2 2" xfId="3128" xr:uid="{DC5BC6AE-B285-4897-A509-24275FBDFA5F}"/>
    <cellStyle name="Heading 3 2 23 15 3" xfId="3129" xr:uid="{8C00672D-FB26-4865-BCAA-EF32863A0A01}"/>
    <cellStyle name="Heading 3 2 23 15 3 2" xfId="3130" xr:uid="{1725F938-E716-4CD4-B5C8-E298BF69374D}"/>
    <cellStyle name="Heading 3 2 23 15 4" xfId="3131" xr:uid="{B3BB9823-7D25-4D3D-BE5F-10BD164014B0}"/>
    <cellStyle name="Heading 3 2 23 15 4 2" xfId="3132" xr:uid="{754478C7-FA33-4140-B1CD-359B79BEB759}"/>
    <cellStyle name="Heading 3 2 23 16" xfId="3133" xr:uid="{F7AC706F-3CE7-4836-A00B-095D673801FC}"/>
    <cellStyle name="Heading 3 2 23 16 2" xfId="3134" xr:uid="{E847419C-153E-4707-9247-1F44C382E93E}"/>
    <cellStyle name="Heading 3 2 23 17" xfId="3135" xr:uid="{F31EA9F1-E549-433C-BB9B-6E58A8A01D04}"/>
    <cellStyle name="Heading 3 2 23 17 2" xfId="3136" xr:uid="{697D0BE1-FB38-406F-8A74-205D9314600D}"/>
    <cellStyle name="Heading 3 2 23 18" xfId="3137" xr:uid="{CDE4BAF8-60AC-4839-9475-D6D250552DD8}"/>
    <cellStyle name="Heading 3 2 23 18 2" xfId="3138" xr:uid="{86AAA355-E6AD-4E6A-9B60-6E82A9B3133B}"/>
    <cellStyle name="Heading 3 2 23 19" xfId="3139" xr:uid="{267B1521-6D0D-4E42-9B22-1D6D9039CE22}"/>
    <cellStyle name="Heading 3 2 23 2" xfId="3140" xr:uid="{8B07DDE3-1A2D-4D23-A969-2B5BFD10D4F7}"/>
    <cellStyle name="Heading 3 2 23 2 2" xfId="3141" xr:uid="{4846F090-90BE-492F-9CB3-31078E150D8F}"/>
    <cellStyle name="Heading 3 2 23 2 2 2" xfId="3142" xr:uid="{24051DCE-E0D5-472E-B033-C512A5DF5174}"/>
    <cellStyle name="Heading 3 2 23 2 3" xfId="3143" xr:uid="{79669748-93DD-4370-A482-EFEF781477C7}"/>
    <cellStyle name="Heading 3 2 23 2 3 2" xfId="3144" xr:uid="{FA5FAA9D-124D-430B-8DBB-1FFEE54064C4}"/>
    <cellStyle name="Heading 3 2 23 2 4" xfId="3145" xr:uid="{AACFFCCE-8367-449A-B42F-94EAC441B9B0}"/>
    <cellStyle name="Heading 3 2 23 2 4 2" xfId="3146" xr:uid="{8E660540-729B-4671-9CF4-7A4F2F389A9C}"/>
    <cellStyle name="Heading 3 2 23 20" xfId="3147" xr:uid="{8418A238-17E1-43AD-BC87-319EC1191046}"/>
    <cellStyle name="Heading 3 2 23 21" xfId="3148" xr:uid="{4625C3BA-193A-4281-8D44-89245E3A71E2}"/>
    <cellStyle name="Heading 3 2 23 22" xfId="3149" xr:uid="{9F53F331-31A7-485E-8593-7986CB828979}"/>
    <cellStyle name="Heading 3 2 23 23" xfId="3150" xr:uid="{837B5F45-969E-476C-94CA-9C301A3EB799}"/>
    <cellStyle name="Heading 3 2 23 24" xfId="3151" xr:uid="{8E52E220-25BF-4AF3-88BD-18F99FCDA72B}"/>
    <cellStyle name="Heading 3 2 23 25" xfId="3152" xr:uid="{EA0B6207-7F5E-4544-B51C-5CC28C1DCF25}"/>
    <cellStyle name="Heading 3 2 23 3" xfId="3153" xr:uid="{B5DAB867-45C8-4827-B4CB-598111841B71}"/>
    <cellStyle name="Heading 3 2 23 3 2" xfId="3154" xr:uid="{F21919DF-67E9-46AF-9C47-5D217CD36199}"/>
    <cellStyle name="Heading 3 2 23 3 2 2" xfId="3155" xr:uid="{08D4C8A3-93BF-43EF-86A4-33340CA28295}"/>
    <cellStyle name="Heading 3 2 23 3 3" xfId="3156" xr:uid="{6084A726-B340-400D-84E8-D9544D346F8F}"/>
    <cellStyle name="Heading 3 2 23 3 3 2" xfId="3157" xr:uid="{748DDDDF-7EE7-466A-973D-EE7B0E4AA5A6}"/>
    <cellStyle name="Heading 3 2 23 3 4" xfId="3158" xr:uid="{47215915-C034-432D-8C90-89E8C7CAC7E2}"/>
    <cellStyle name="Heading 3 2 23 3 4 2" xfId="3159" xr:uid="{C84D64CF-D1A5-4EE3-A3C0-1D1BAA572BC4}"/>
    <cellStyle name="Heading 3 2 23 4" xfId="3160" xr:uid="{635D92A1-2957-42A0-8FD7-1A51D086EED3}"/>
    <cellStyle name="Heading 3 2 23 4 2" xfId="3161" xr:uid="{3390D7E9-EF37-420F-88DD-D514C8A94991}"/>
    <cellStyle name="Heading 3 2 23 4 2 2" xfId="3162" xr:uid="{ADCC310B-0155-489A-A41C-CFA952E0AE96}"/>
    <cellStyle name="Heading 3 2 23 4 3" xfId="3163" xr:uid="{D2FAC51C-9467-458A-B76B-93E37674779D}"/>
    <cellStyle name="Heading 3 2 23 4 3 2" xfId="3164" xr:uid="{4C398D9A-588B-40C2-BEA7-BBAC89B4BE5B}"/>
    <cellStyle name="Heading 3 2 23 4 4" xfId="3165" xr:uid="{6769BE23-8E6B-405D-9889-DEA73E42B8D5}"/>
    <cellStyle name="Heading 3 2 23 4 4 2" xfId="3166" xr:uid="{5BD97427-3D47-4D23-9D7D-04190C548317}"/>
    <cellStyle name="Heading 3 2 23 5" xfId="3167" xr:uid="{2CEC5706-F3D0-4924-9E08-2F7A3B82B332}"/>
    <cellStyle name="Heading 3 2 23 5 2" xfId="3168" xr:uid="{A83A9521-1787-46D7-8638-018DC87043AF}"/>
    <cellStyle name="Heading 3 2 23 5 2 2" xfId="3169" xr:uid="{4223CFE4-9DBD-4518-9FCF-8420808F5EDD}"/>
    <cellStyle name="Heading 3 2 23 5 3" xfId="3170" xr:uid="{B0B424C1-0108-4B9D-8046-758A006EE956}"/>
    <cellStyle name="Heading 3 2 23 5 3 2" xfId="3171" xr:uid="{9A2CCC4D-7D33-4B2F-A807-16A29101E0D2}"/>
    <cellStyle name="Heading 3 2 23 5 4" xfId="3172" xr:uid="{8138B781-90A9-4341-943F-87F81455FFE3}"/>
    <cellStyle name="Heading 3 2 23 5 4 2" xfId="3173" xr:uid="{47DC8F7D-7F89-4F59-9933-5C867ED247EA}"/>
    <cellStyle name="Heading 3 2 23 6" xfId="3174" xr:uid="{A8D0E121-B2F8-46B7-8AF8-FBA94C3E5FE5}"/>
    <cellStyle name="Heading 3 2 23 6 2" xfId="3175" xr:uid="{A364D71E-45AC-4233-A254-363ED02B27C1}"/>
    <cellStyle name="Heading 3 2 23 6 2 2" xfId="3176" xr:uid="{D21D4335-22FC-4191-813E-63E1AB341C5C}"/>
    <cellStyle name="Heading 3 2 23 6 3" xfId="3177" xr:uid="{AEA11181-DB7C-4DB1-AFC3-AA0A7706A6EB}"/>
    <cellStyle name="Heading 3 2 23 6 3 2" xfId="3178" xr:uid="{1577B38F-4581-4993-8A59-DEC1BE908AAB}"/>
    <cellStyle name="Heading 3 2 23 6 4" xfId="3179" xr:uid="{E1990E9B-C776-4108-9D80-AC0C8C689228}"/>
    <cellStyle name="Heading 3 2 23 6 4 2" xfId="3180" xr:uid="{47B1A521-EB5E-47E3-A8BB-A79BA2BF4C19}"/>
    <cellStyle name="Heading 3 2 23 7" xfId="3181" xr:uid="{3E8CD09D-EB1A-4118-8AC0-A0445627E8AC}"/>
    <cellStyle name="Heading 3 2 23 7 2" xfId="3182" xr:uid="{A852ACDC-260D-4F81-AFB7-635D0EB107E6}"/>
    <cellStyle name="Heading 3 2 23 7 2 2" xfId="3183" xr:uid="{B96462B5-65E3-4994-8CDE-F72E55D40C27}"/>
    <cellStyle name="Heading 3 2 23 7 3" xfId="3184" xr:uid="{57E04F66-1D7E-41BF-997F-B548855CC34A}"/>
    <cellStyle name="Heading 3 2 23 7 3 2" xfId="3185" xr:uid="{EE7C0DA7-7ED2-457E-928F-8829D349309B}"/>
    <cellStyle name="Heading 3 2 23 7 4" xfId="3186" xr:uid="{9F605C34-880A-4C37-9A4E-8D133DFAC8AB}"/>
    <cellStyle name="Heading 3 2 23 7 4 2" xfId="3187" xr:uid="{273F3A3D-9C11-4F02-9D52-DD41B5E37F00}"/>
    <cellStyle name="Heading 3 2 23 8" xfId="3188" xr:uid="{DD632913-28D2-4F23-B087-1F9577470D0A}"/>
    <cellStyle name="Heading 3 2 23 8 2" xfId="3189" xr:uid="{326B6644-FCBD-47AD-95D2-B16666D8BC5D}"/>
    <cellStyle name="Heading 3 2 23 8 2 2" xfId="3190" xr:uid="{E262066C-FBD7-43F9-906B-7D3F9278B4B1}"/>
    <cellStyle name="Heading 3 2 23 8 3" xfId="3191" xr:uid="{384A6AC0-9435-4993-AB98-F0754A982D63}"/>
    <cellStyle name="Heading 3 2 23 8 3 2" xfId="3192" xr:uid="{28205ED8-CE9A-4E33-8CC8-B1C5B640DE71}"/>
    <cellStyle name="Heading 3 2 23 8 4" xfId="3193" xr:uid="{FF24672F-6701-4C10-B4B3-66F55ACDE16C}"/>
    <cellStyle name="Heading 3 2 23 8 4 2" xfId="3194" xr:uid="{F93EEA45-D18E-4D7B-B651-6DC1FB577656}"/>
    <cellStyle name="Heading 3 2 23 9" xfId="3195" xr:uid="{494AECFC-1F8D-4007-AA16-1239678D8078}"/>
    <cellStyle name="Heading 3 2 23 9 2" xfId="3196" xr:uid="{DD9E9503-5088-42D4-8E2D-223B296896EA}"/>
    <cellStyle name="Heading 3 2 23 9 2 2" xfId="3197" xr:uid="{3C23B975-C85F-4ADC-9104-B0A7E9CADDE9}"/>
    <cellStyle name="Heading 3 2 23 9 3" xfId="3198" xr:uid="{0E451686-F70C-4853-B9FD-5F72B6DAB526}"/>
    <cellStyle name="Heading 3 2 23 9 3 2" xfId="3199" xr:uid="{B5201770-943D-4FE4-AF0B-4EBF9230CCBD}"/>
    <cellStyle name="Heading 3 2 23 9 4" xfId="3200" xr:uid="{EE8662F7-E155-4FCA-8911-B57624A5C7CC}"/>
    <cellStyle name="Heading 3 2 23 9 4 2" xfId="3201" xr:uid="{256DF535-CE0F-4689-A978-1D03377EE3BE}"/>
    <cellStyle name="Heading 3 2 24" xfId="3202" xr:uid="{4069D0EB-B34F-410F-A9B2-BDEACFA7E31E}"/>
    <cellStyle name="Heading 3 2 24 10" xfId="3203" xr:uid="{0FDFDB65-4DA9-4A2F-9484-48D94F0F0AB0}"/>
    <cellStyle name="Heading 3 2 24 10 2" xfId="3204" xr:uid="{195B310D-468B-45D6-B676-3E3780CE00E0}"/>
    <cellStyle name="Heading 3 2 24 10 2 2" xfId="3205" xr:uid="{B0911DCE-98CE-4D88-A991-361FBF2E17C9}"/>
    <cellStyle name="Heading 3 2 24 10 3" xfId="3206" xr:uid="{B3D176DD-70F6-47B6-9017-25DA0884189B}"/>
    <cellStyle name="Heading 3 2 24 10 3 2" xfId="3207" xr:uid="{FFC78045-3523-4D3A-9C79-14495398E148}"/>
    <cellStyle name="Heading 3 2 24 10 4" xfId="3208" xr:uid="{7B3B6D61-B406-43FA-BE0B-473B39F553E2}"/>
    <cellStyle name="Heading 3 2 24 10 4 2" xfId="3209" xr:uid="{FB06DF67-D36D-45D2-8DC6-D42F4B9E2176}"/>
    <cellStyle name="Heading 3 2 24 11" xfId="3210" xr:uid="{043AAAF4-1322-4D6F-9510-967CA245CFD6}"/>
    <cellStyle name="Heading 3 2 24 11 2" xfId="3211" xr:uid="{52652597-7DF7-4E1A-9440-857657981E7B}"/>
    <cellStyle name="Heading 3 2 24 11 2 2" xfId="3212" xr:uid="{3A6B0FD4-7A85-47F1-AAF0-517D1CAB6B2E}"/>
    <cellStyle name="Heading 3 2 24 11 3" xfId="3213" xr:uid="{C9A83096-B3D6-42DE-A379-D4180B11508A}"/>
    <cellStyle name="Heading 3 2 24 11 3 2" xfId="3214" xr:uid="{34A0D831-55FB-4677-A45E-B35CDCE712BA}"/>
    <cellStyle name="Heading 3 2 24 11 4" xfId="3215" xr:uid="{5F098ABC-2729-45D3-BB51-267D7C7521A4}"/>
    <cellStyle name="Heading 3 2 24 11 4 2" xfId="3216" xr:uid="{DA3D45C3-CC82-4DAE-A251-BA68734D795E}"/>
    <cellStyle name="Heading 3 2 24 12" xfId="3217" xr:uid="{3A55A0B9-86E0-4975-92A7-7FAA601BABCC}"/>
    <cellStyle name="Heading 3 2 24 12 2" xfId="3218" xr:uid="{BF01C81A-8C73-4216-9E9A-32C591C7EF5E}"/>
    <cellStyle name="Heading 3 2 24 12 2 2" xfId="3219" xr:uid="{8063A590-1D20-4B87-9991-6B639B69AE70}"/>
    <cellStyle name="Heading 3 2 24 12 3" xfId="3220" xr:uid="{DCA41058-B53B-4289-8D6C-BF5503ADAD3A}"/>
    <cellStyle name="Heading 3 2 24 12 3 2" xfId="3221" xr:uid="{3172275C-45DD-42A4-8D52-8E7BCF477D7A}"/>
    <cellStyle name="Heading 3 2 24 12 4" xfId="3222" xr:uid="{671C8118-90A5-4C85-A201-1882A6A7885C}"/>
    <cellStyle name="Heading 3 2 24 12 4 2" xfId="3223" xr:uid="{14B96E21-A97E-429B-917D-2C898A17537C}"/>
    <cellStyle name="Heading 3 2 24 13" xfId="3224" xr:uid="{4CFE2BD4-E845-4791-8140-7FB6FDD9CB69}"/>
    <cellStyle name="Heading 3 2 24 13 2" xfId="3225" xr:uid="{ACA287DB-6A08-43D3-B1AA-4C09E99BE740}"/>
    <cellStyle name="Heading 3 2 24 13 2 2" xfId="3226" xr:uid="{D22C6530-A27A-4F99-81C2-F8E2123B713A}"/>
    <cellStyle name="Heading 3 2 24 13 3" xfId="3227" xr:uid="{D8C91640-97FC-41C1-9857-CC55769E4270}"/>
    <cellStyle name="Heading 3 2 24 13 3 2" xfId="3228" xr:uid="{B78BC002-1579-4262-8723-1A310B9C52F8}"/>
    <cellStyle name="Heading 3 2 24 13 4" xfId="3229" xr:uid="{7C8E0AFE-3C38-4AD9-AB43-C28B8894D7C2}"/>
    <cellStyle name="Heading 3 2 24 13 4 2" xfId="3230" xr:uid="{A443707E-088F-49AA-B5FA-991A77BE73C7}"/>
    <cellStyle name="Heading 3 2 24 14" xfId="3231" xr:uid="{6992B963-728B-417D-9C8F-C558BF2F63D9}"/>
    <cellStyle name="Heading 3 2 24 14 2" xfId="3232" xr:uid="{5D5A01FC-A769-44C6-B670-B33C582576AA}"/>
    <cellStyle name="Heading 3 2 24 14 2 2" xfId="3233" xr:uid="{E69F9EF1-DF03-4245-AC35-6A607389C453}"/>
    <cellStyle name="Heading 3 2 24 14 3" xfId="3234" xr:uid="{A48836C3-4E9B-4A68-8B8B-CE90EEA29385}"/>
    <cellStyle name="Heading 3 2 24 14 3 2" xfId="3235" xr:uid="{1DADC135-85C3-4EC6-ABFD-A428BE424A0E}"/>
    <cellStyle name="Heading 3 2 24 14 4" xfId="3236" xr:uid="{F22C7854-C382-4764-8AEC-B683344B0BDD}"/>
    <cellStyle name="Heading 3 2 24 14 4 2" xfId="3237" xr:uid="{6CF38627-46C8-4168-BFA3-B3C3A3FF7CA7}"/>
    <cellStyle name="Heading 3 2 24 15" xfId="3238" xr:uid="{9EF648E5-C9A2-415F-9019-AD51B4264D27}"/>
    <cellStyle name="Heading 3 2 24 15 2" xfId="3239" xr:uid="{690E5673-1E52-4857-9CEC-0702A8D02444}"/>
    <cellStyle name="Heading 3 2 24 15 2 2" xfId="3240" xr:uid="{2BC6CBC7-7882-414A-9CCB-13316926B8C1}"/>
    <cellStyle name="Heading 3 2 24 15 3" xfId="3241" xr:uid="{58313215-34BA-4A38-9792-6C9A12835EBA}"/>
    <cellStyle name="Heading 3 2 24 15 3 2" xfId="3242" xr:uid="{CEF09216-8029-4166-82B5-1BBA29A01528}"/>
    <cellStyle name="Heading 3 2 24 15 4" xfId="3243" xr:uid="{6E43002D-708F-4A88-A990-23963F5935E2}"/>
    <cellStyle name="Heading 3 2 24 15 4 2" xfId="3244" xr:uid="{11AE3CAD-AB3A-4889-B4D8-0B614FF52DCC}"/>
    <cellStyle name="Heading 3 2 24 16" xfId="3245" xr:uid="{2F1BBDD1-E289-4AA0-A5BA-91ACE8E47B83}"/>
    <cellStyle name="Heading 3 2 24 16 2" xfId="3246" xr:uid="{70E44DC5-3D97-4544-BDBE-531A1D8D3F2E}"/>
    <cellStyle name="Heading 3 2 24 17" xfId="3247" xr:uid="{264B440E-5050-4D93-B01B-10C51F423D03}"/>
    <cellStyle name="Heading 3 2 24 17 2" xfId="3248" xr:uid="{98188212-B2C0-41A8-B649-1BE0FFD5B038}"/>
    <cellStyle name="Heading 3 2 24 18" xfId="3249" xr:uid="{8496EDA0-4D0F-4351-8338-AAA82A391FA4}"/>
    <cellStyle name="Heading 3 2 24 18 2" xfId="3250" xr:uid="{A9CA3E7D-C4B2-49FA-80C8-5A873A149540}"/>
    <cellStyle name="Heading 3 2 24 19" xfId="3251" xr:uid="{E0C3BA7E-EA95-4ED7-BE11-C2C114D7EFBD}"/>
    <cellStyle name="Heading 3 2 24 2" xfId="3252" xr:uid="{FC08F1C7-C6A9-4243-9A62-1CF79F3036F7}"/>
    <cellStyle name="Heading 3 2 24 2 2" xfId="3253" xr:uid="{C25A3C8C-7104-4207-8ECA-54E9F5EE2806}"/>
    <cellStyle name="Heading 3 2 24 2 2 2" xfId="3254" xr:uid="{68BA82CE-802F-4D2D-9497-3A7A7739F211}"/>
    <cellStyle name="Heading 3 2 24 2 3" xfId="3255" xr:uid="{BE369A0C-F532-4ED0-A964-4FC9E48E5FFC}"/>
    <cellStyle name="Heading 3 2 24 2 3 2" xfId="3256" xr:uid="{3F5BD3BB-B311-4B83-9503-EB51DD154291}"/>
    <cellStyle name="Heading 3 2 24 2 4" xfId="3257" xr:uid="{4FC73971-4261-4504-95BB-1A10EFC4D73D}"/>
    <cellStyle name="Heading 3 2 24 2 4 2" xfId="3258" xr:uid="{1A8D4758-C904-4805-8EB2-6D48119CCD25}"/>
    <cellStyle name="Heading 3 2 24 20" xfId="3259" xr:uid="{32DF2A6C-68FD-4686-946C-37158A809B4B}"/>
    <cellStyle name="Heading 3 2 24 21" xfId="3260" xr:uid="{631823AC-BCC6-4DD7-92B6-BC35256D35EE}"/>
    <cellStyle name="Heading 3 2 24 22" xfId="3261" xr:uid="{D468B693-9785-4EB4-808D-83391F3108E1}"/>
    <cellStyle name="Heading 3 2 24 23" xfId="3262" xr:uid="{98566727-F8C9-495E-89AD-AC09BAFE5B90}"/>
    <cellStyle name="Heading 3 2 24 24" xfId="3263" xr:uid="{A31C5A2D-1D7D-4203-B278-151116CCE9DF}"/>
    <cellStyle name="Heading 3 2 24 25" xfId="3264" xr:uid="{A807A951-6823-4EA4-A511-2C54489FED19}"/>
    <cellStyle name="Heading 3 2 24 3" xfId="3265" xr:uid="{127FECCE-6865-43CD-ADAD-0ADFACAD56D5}"/>
    <cellStyle name="Heading 3 2 24 3 2" xfId="3266" xr:uid="{738B5CF6-4FDD-4B0A-AC73-1A4C1844A9F4}"/>
    <cellStyle name="Heading 3 2 24 3 2 2" xfId="3267" xr:uid="{37264F88-A44F-42B5-A8E0-292B6F9D9AD4}"/>
    <cellStyle name="Heading 3 2 24 3 3" xfId="3268" xr:uid="{26418945-E104-4721-AC05-F040A3E55557}"/>
    <cellStyle name="Heading 3 2 24 3 3 2" xfId="3269" xr:uid="{8B6EDB95-FCE6-4E56-BAE4-22071ED8CC42}"/>
    <cellStyle name="Heading 3 2 24 3 4" xfId="3270" xr:uid="{8594D569-738F-49E7-8C83-EEC9F0863855}"/>
    <cellStyle name="Heading 3 2 24 3 4 2" xfId="3271" xr:uid="{075F5EDE-13C7-4B2B-9D4B-850C86AF425F}"/>
    <cellStyle name="Heading 3 2 24 4" xfId="3272" xr:uid="{A163A4E5-1309-4642-A1FA-DE60A092F5B9}"/>
    <cellStyle name="Heading 3 2 24 4 2" xfId="3273" xr:uid="{74FE339E-ABDB-43D9-90B9-A00A48FFC565}"/>
    <cellStyle name="Heading 3 2 24 4 2 2" xfId="3274" xr:uid="{5973106F-5853-4C15-B60C-F531A6845E6F}"/>
    <cellStyle name="Heading 3 2 24 4 3" xfId="3275" xr:uid="{86E40551-5442-4AC7-AB51-90D2D8D7A5C1}"/>
    <cellStyle name="Heading 3 2 24 4 3 2" xfId="3276" xr:uid="{9A330B9A-38FD-4AF9-8464-E5C147522715}"/>
    <cellStyle name="Heading 3 2 24 4 4" xfId="3277" xr:uid="{E57F88C2-30F5-46A1-BA41-B31F489FF10D}"/>
    <cellStyle name="Heading 3 2 24 4 4 2" xfId="3278" xr:uid="{6B6D5B51-4E08-409F-A94D-A5C17DB6FE2E}"/>
    <cellStyle name="Heading 3 2 24 5" xfId="3279" xr:uid="{268E1C89-1323-4535-8D4A-6C575F47C0DF}"/>
    <cellStyle name="Heading 3 2 24 5 2" xfId="3280" xr:uid="{13A93DBE-F07D-48B3-A7D8-12CAE26E35FB}"/>
    <cellStyle name="Heading 3 2 24 5 2 2" xfId="3281" xr:uid="{2E89171E-0ED4-4DF9-BCA4-145E9C171CC9}"/>
    <cellStyle name="Heading 3 2 24 5 3" xfId="3282" xr:uid="{78E2626C-27A3-4767-9A3E-ED1FB908CB93}"/>
    <cellStyle name="Heading 3 2 24 5 3 2" xfId="3283" xr:uid="{F6DB9081-6FD1-4BAE-B772-05E8ED462D05}"/>
    <cellStyle name="Heading 3 2 24 5 4" xfId="3284" xr:uid="{EB217B84-BAFA-4EF1-A464-878A38DA8368}"/>
    <cellStyle name="Heading 3 2 24 5 4 2" xfId="3285" xr:uid="{7E31B12D-FC42-483D-BFC2-B1105E0A9C5C}"/>
    <cellStyle name="Heading 3 2 24 6" xfId="3286" xr:uid="{85CE1E56-AECB-4CB1-B81E-E1C8BA6747D9}"/>
    <cellStyle name="Heading 3 2 24 6 2" xfId="3287" xr:uid="{03F4631B-E1FE-429A-9320-FC5A2F2C3552}"/>
    <cellStyle name="Heading 3 2 24 6 2 2" xfId="3288" xr:uid="{BC13699E-3803-49F3-9C5A-7864068FF6C8}"/>
    <cellStyle name="Heading 3 2 24 6 3" xfId="3289" xr:uid="{12C3C7BC-9DC1-4F31-9A4F-164C30EEA558}"/>
    <cellStyle name="Heading 3 2 24 6 3 2" xfId="3290" xr:uid="{6501D6D4-973C-47A3-B4E0-CF918841011C}"/>
    <cellStyle name="Heading 3 2 24 6 4" xfId="3291" xr:uid="{BB80DFD5-9CD6-4AFD-B735-009D82FCD939}"/>
    <cellStyle name="Heading 3 2 24 6 4 2" xfId="3292" xr:uid="{437FCC9C-13FA-4983-9771-7B75EDED52B3}"/>
    <cellStyle name="Heading 3 2 24 7" xfId="3293" xr:uid="{F44A55B3-771D-449B-A2DA-EFF441758C2E}"/>
    <cellStyle name="Heading 3 2 24 7 2" xfId="3294" xr:uid="{B9DEF673-20A8-44E4-9B0D-B241E0B5CA27}"/>
    <cellStyle name="Heading 3 2 24 7 2 2" xfId="3295" xr:uid="{64098A8B-8A23-4309-9071-897E474190DB}"/>
    <cellStyle name="Heading 3 2 24 7 3" xfId="3296" xr:uid="{91E323F2-2355-48D7-B02C-66A80A48D723}"/>
    <cellStyle name="Heading 3 2 24 7 3 2" xfId="3297" xr:uid="{C256CE59-E2C9-4F06-8A5F-F770F59052E0}"/>
    <cellStyle name="Heading 3 2 24 7 4" xfId="3298" xr:uid="{A988BD24-0F70-4063-B0CE-44BC189DD72A}"/>
    <cellStyle name="Heading 3 2 24 7 4 2" xfId="3299" xr:uid="{2747ED0C-DC06-45CD-BCBC-E7D62C2A8B8B}"/>
    <cellStyle name="Heading 3 2 24 8" xfId="3300" xr:uid="{878C1AC7-233D-4D98-8120-495A626E88D0}"/>
    <cellStyle name="Heading 3 2 24 8 2" xfId="3301" xr:uid="{FB5ECC44-517A-4139-9E0F-BD0E72280190}"/>
    <cellStyle name="Heading 3 2 24 8 2 2" xfId="3302" xr:uid="{254F1C25-2A7E-4FA4-8E49-42B4B01C6DA9}"/>
    <cellStyle name="Heading 3 2 24 8 3" xfId="3303" xr:uid="{E5C302EC-91C5-436F-9DCF-63B94728B317}"/>
    <cellStyle name="Heading 3 2 24 8 3 2" xfId="3304" xr:uid="{B9828FA2-B5C7-4E7B-8F2B-1CC5CC4842DD}"/>
    <cellStyle name="Heading 3 2 24 8 4" xfId="3305" xr:uid="{1DB4BE46-2B4C-4C58-8387-B124AFFA580B}"/>
    <cellStyle name="Heading 3 2 24 8 4 2" xfId="3306" xr:uid="{64FDDAF4-1121-4EFC-96E1-F9B49083A417}"/>
    <cellStyle name="Heading 3 2 24 9" xfId="3307" xr:uid="{B17BE869-D316-4F0C-8CBD-2FD174C13875}"/>
    <cellStyle name="Heading 3 2 24 9 2" xfId="3308" xr:uid="{8B1F45F2-BE5A-4E37-8F62-2513D656B907}"/>
    <cellStyle name="Heading 3 2 24 9 2 2" xfId="3309" xr:uid="{CB6DB08E-1D00-4A21-A8B6-4C5BB02B72A9}"/>
    <cellStyle name="Heading 3 2 24 9 3" xfId="3310" xr:uid="{91096C99-DD8A-4051-8EEC-83CEAA25C783}"/>
    <cellStyle name="Heading 3 2 24 9 3 2" xfId="3311" xr:uid="{F3F72024-B828-4764-A0E9-D89E214F653E}"/>
    <cellStyle name="Heading 3 2 24 9 4" xfId="3312" xr:uid="{60F146BA-831C-4A13-AB07-704C57A07980}"/>
    <cellStyle name="Heading 3 2 24 9 4 2" xfId="3313" xr:uid="{B0922E2C-4AC3-4D50-9E4D-51E239402CAD}"/>
    <cellStyle name="Heading 3 2 25" xfId="3314" xr:uid="{7B8436EB-C29C-47C0-B862-CA00790A59DB}"/>
    <cellStyle name="Heading 3 2 25 10" xfId="3315" xr:uid="{43324421-62BA-4E15-9A91-651905C965B6}"/>
    <cellStyle name="Heading 3 2 25 10 2" xfId="3316" xr:uid="{809541FA-B985-479C-A9F9-C856254BFE61}"/>
    <cellStyle name="Heading 3 2 25 10 2 2" xfId="3317" xr:uid="{E94F8C57-27CA-423F-86B6-E9F32FE076C6}"/>
    <cellStyle name="Heading 3 2 25 10 3" xfId="3318" xr:uid="{43026124-B5A5-4C2E-81AA-C559E294E828}"/>
    <cellStyle name="Heading 3 2 25 10 3 2" xfId="3319" xr:uid="{67FF6837-1C55-496F-8651-2C0957B3C9FA}"/>
    <cellStyle name="Heading 3 2 25 10 4" xfId="3320" xr:uid="{0F13D61E-DCEC-4194-BA56-105F16ADCD51}"/>
    <cellStyle name="Heading 3 2 25 10 4 2" xfId="3321" xr:uid="{738A45A5-11E0-4084-BD12-10B92F562844}"/>
    <cellStyle name="Heading 3 2 25 11" xfId="3322" xr:uid="{268B2C64-5441-4DC6-8DEF-58A27F6D29D5}"/>
    <cellStyle name="Heading 3 2 25 11 2" xfId="3323" xr:uid="{687A8C8E-F3C5-45D5-A119-836889A1424A}"/>
    <cellStyle name="Heading 3 2 25 11 2 2" xfId="3324" xr:uid="{ADC6AFD0-5E13-42E9-9A17-7BC809F24BD7}"/>
    <cellStyle name="Heading 3 2 25 11 3" xfId="3325" xr:uid="{99405721-D32E-4E58-B0E7-D69DE6C64F4A}"/>
    <cellStyle name="Heading 3 2 25 11 3 2" xfId="3326" xr:uid="{50536B6F-423E-4EB6-9809-B384993C7C71}"/>
    <cellStyle name="Heading 3 2 25 11 4" xfId="3327" xr:uid="{F5808E22-3C88-4F98-8930-5A94E4C2A1FD}"/>
    <cellStyle name="Heading 3 2 25 11 4 2" xfId="3328" xr:uid="{FC141CA9-8F44-49E4-A534-B49CA2976178}"/>
    <cellStyle name="Heading 3 2 25 12" xfId="3329" xr:uid="{1E83E6C8-9F04-456E-B531-D7EE5D03C766}"/>
    <cellStyle name="Heading 3 2 25 12 2" xfId="3330" xr:uid="{566CE1A8-D693-4187-BDA0-BF3D18B8B839}"/>
    <cellStyle name="Heading 3 2 25 12 2 2" xfId="3331" xr:uid="{74B141D3-E713-4B95-8070-841192354E27}"/>
    <cellStyle name="Heading 3 2 25 12 3" xfId="3332" xr:uid="{34013D79-6F5C-4281-B0BD-2832C8B5F5F8}"/>
    <cellStyle name="Heading 3 2 25 12 3 2" xfId="3333" xr:uid="{03906C9D-41B0-4774-B8D8-2D3927F7E76C}"/>
    <cellStyle name="Heading 3 2 25 12 4" xfId="3334" xr:uid="{724934E4-A1B8-4E4B-9F1B-389987A25AB5}"/>
    <cellStyle name="Heading 3 2 25 12 4 2" xfId="3335" xr:uid="{3826C39E-D0BF-4B78-9298-D31FC291C246}"/>
    <cellStyle name="Heading 3 2 25 13" xfId="3336" xr:uid="{DC3DBED3-C3AF-4F8C-9581-F5D3A5B54270}"/>
    <cellStyle name="Heading 3 2 25 13 2" xfId="3337" xr:uid="{120A1978-D67D-434C-B7B5-05D48A6AF4C2}"/>
    <cellStyle name="Heading 3 2 25 13 2 2" xfId="3338" xr:uid="{B7838202-6990-446B-B2C0-F7ACFDA71987}"/>
    <cellStyle name="Heading 3 2 25 13 3" xfId="3339" xr:uid="{8180D32B-5E63-451A-A495-D3D308AD33EA}"/>
    <cellStyle name="Heading 3 2 25 13 3 2" xfId="3340" xr:uid="{8F6F7E7D-CC31-45E5-A785-4B6FA300254E}"/>
    <cellStyle name="Heading 3 2 25 13 4" xfId="3341" xr:uid="{D0C84F82-3BD6-4C0C-A4A9-904D7D5E3FCC}"/>
    <cellStyle name="Heading 3 2 25 13 4 2" xfId="3342" xr:uid="{322061A5-4EA1-4D54-A038-C668BCF948E0}"/>
    <cellStyle name="Heading 3 2 25 14" xfId="3343" xr:uid="{E499CEF1-1007-45E3-8244-B03F76C9B325}"/>
    <cellStyle name="Heading 3 2 25 14 2" xfId="3344" xr:uid="{9C4F0A82-39A0-4F43-8972-7268B985A0CE}"/>
    <cellStyle name="Heading 3 2 25 14 2 2" xfId="3345" xr:uid="{B0A7FF66-EF89-4CDD-BE88-33F0B68ECD60}"/>
    <cellStyle name="Heading 3 2 25 14 3" xfId="3346" xr:uid="{F9F6ADB6-1175-4808-9CD3-07EE7CFAA383}"/>
    <cellStyle name="Heading 3 2 25 14 3 2" xfId="3347" xr:uid="{FD2D5385-A851-42F3-8540-F171FBF6CCF7}"/>
    <cellStyle name="Heading 3 2 25 14 4" xfId="3348" xr:uid="{02616B0D-A922-470D-BCA0-06883394FAA9}"/>
    <cellStyle name="Heading 3 2 25 14 4 2" xfId="3349" xr:uid="{D6FE1B2A-4D28-44A5-BEB0-10348A89E835}"/>
    <cellStyle name="Heading 3 2 25 15" xfId="3350" xr:uid="{2A4255CA-06F1-49B5-997B-AF610834387C}"/>
    <cellStyle name="Heading 3 2 25 15 2" xfId="3351" xr:uid="{34459616-051A-4A6C-BFFB-63E300AAF75A}"/>
    <cellStyle name="Heading 3 2 25 15 2 2" xfId="3352" xr:uid="{399B97AE-7449-43A1-96BD-B9A199DD2806}"/>
    <cellStyle name="Heading 3 2 25 15 3" xfId="3353" xr:uid="{5515397A-03A6-4095-B0EB-44192A20817F}"/>
    <cellStyle name="Heading 3 2 25 15 3 2" xfId="3354" xr:uid="{FC8F0216-A92A-4DE1-9CC0-284A9552D116}"/>
    <cellStyle name="Heading 3 2 25 15 4" xfId="3355" xr:uid="{248468E8-375A-4F68-A13A-24423148D4F7}"/>
    <cellStyle name="Heading 3 2 25 15 4 2" xfId="3356" xr:uid="{BDC2117E-D9F7-480D-8073-0B7A8F644093}"/>
    <cellStyle name="Heading 3 2 25 16" xfId="3357" xr:uid="{A2721C58-AA12-4C36-8097-0A93B0DB1446}"/>
    <cellStyle name="Heading 3 2 25 16 2" xfId="3358" xr:uid="{FACC4148-4ECC-4A42-A22F-7B696517E22D}"/>
    <cellStyle name="Heading 3 2 25 17" xfId="3359" xr:uid="{1DB62BCD-FC27-4D2F-8228-5FDA8DB0B66A}"/>
    <cellStyle name="Heading 3 2 25 17 2" xfId="3360" xr:uid="{483074F9-D4AC-46D0-9E65-6A1D13F5B045}"/>
    <cellStyle name="Heading 3 2 25 18" xfId="3361" xr:uid="{3D4B1A32-2879-42A0-A44E-7021EF8D8AB0}"/>
    <cellStyle name="Heading 3 2 25 18 2" xfId="3362" xr:uid="{428418D3-FC51-4A7D-804B-F037C1A310A6}"/>
    <cellStyle name="Heading 3 2 25 19" xfId="3363" xr:uid="{1F6B448F-DF43-4452-B01D-0FBA309ACB0F}"/>
    <cellStyle name="Heading 3 2 25 2" xfId="3364" xr:uid="{024F4D21-DA9F-40D5-BA47-9727BB36DB31}"/>
    <cellStyle name="Heading 3 2 25 2 2" xfId="3365" xr:uid="{8AA4FE39-46A7-4570-B11F-9363DF741CAE}"/>
    <cellStyle name="Heading 3 2 25 2 2 2" xfId="3366" xr:uid="{EFDA1DFC-481E-4586-AFE3-B68A8366801E}"/>
    <cellStyle name="Heading 3 2 25 2 3" xfId="3367" xr:uid="{43E2A4A9-0B9C-429D-B376-F231B56159A7}"/>
    <cellStyle name="Heading 3 2 25 2 3 2" xfId="3368" xr:uid="{B86361C6-2950-49A4-B84B-A25B4A4AEC99}"/>
    <cellStyle name="Heading 3 2 25 2 4" xfId="3369" xr:uid="{0A378F88-928E-42F0-ADD4-A4B33CB51FF0}"/>
    <cellStyle name="Heading 3 2 25 2 4 2" xfId="3370" xr:uid="{FFB14483-D0C6-4775-99BF-FE2DA9115D04}"/>
    <cellStyle name="Heading 3 2 25 20" xfId="3371" xr:uid="{4C2D2C6C-EF85-4916-980E-E67885E29BED}"/>
    <cellStyle name="Heading 3 2 25 21" xfId="3372" xr:uid="{5EEB771A-55D8-40FD-90D5-76E551879935}"/>
    <cellStyle name="Heading 3 2 25 22" xfId="3373" xr:uid="{D8D323A0-06D4-4182-91A3-AF38AC4C0B7E}"/>
    <cellStyle name="Heading 3 2 25 23" xfId="3374" xr:uid="{55A9132B-2DFC-4CDD-8FEC-EAC891D89646}"/>
    <cellStyle name="Heading 3 2 25 24" xfId="3375" xr:uid="{7608FC06-8056-4FC2-BA5B-3704E8FC5FFE}"/>
    <cellStyle name="Heading 3 2 25 25" xfId="3376" xr:uid="{1C428166-63BB-48A2-98F5-86C525384FE1}"/>
    <cellStyle name="Heading 3 2 25 3" xfId="3377" xr:uid="{2572E426-0791-43D4-95DE-11BED0EC96E3}"/>
    <cellStyle name="Heading 3 2 25 3 2" xfId="3378" xr:uid="{11CE6793-9514-4295-80EC-1B97FBCC2991}"/>
    <cellStyle name="Heading 3 2 25 3 2 2" xfId="3379" xr:uid="{F2701DF5-9DAB-40CD-A762-9703A7F7218F}"/>
    <cellStyle name="Heading 3 2 25 3 3" xfId="3380" xr:uid="{319AECDD-94C4-4147-91EF-7AA10DCCA591}"/>
    <cellStyle name="Heading 3 2 25 3 3 2" xfId="3381" xr:uid="{A16BF390-805D-4757-A37C-0541A2DD0FC4}"/>
    <cellStyle name="Heading 3 2 25 3 4" xfId="3382" xr:uid="{6B0B5D42-379C-482C-8571-13B5DC09C200}"/>
    <cellStyle name="Heading 3 2 25 3 4 2" xfId="3383" xr:uid="{63DDC918-F95A-44E9-9C48-90F3B104C055}"/>
    <cellStyle name="Heading 3 2 25 4" xfId="3384" xr:uid="{D22F8AEA-1D9F-409E-8FCF-0822B1F8BCC0}"/>
    <cellStyle name="Heading 3 2 25 4 2" xfId="3385" xr:uid="{7978D0D4-A265-453D-A43C-FFF57D48D8C5}"/>
    <cellStyle name="Heading 3 2 25 4 2 2" xfId="3386" xr:uid="{0336956C-88AB-4DF2-B090-756684730692}"/>
    <cellStyle name="Heading 3 2 25 4 3" xfId="3387" xr:uid="{DD8939C8-FCB9-4BDE-A009-7321376E8D10}"/>
    <cellStyle name="Heading 3 2 25 4 3 2" xfId="3388" xr:uid="{7530090C-1596-4DAB-B1DA-CBDDC21AE8BE}"/>
    <cellStyle name="Heading 3 2 25 4 4" xfId="3389" xr:uid="{F5CDDDB9-C0DC-4020-B9FF-B979DD8BE889}"/>
    <cellStyle name="Heading 3 2 25 4 4 2" xfId="3390" xr:uid="{20E2CA59-1C8C-4FDE-BDD7-914261D8F2CE}"/>
    <cellStyle name="Heading 3 2 25 5" xfId="3391" xr:uid="{65C9FE94-0AE7-4CF4-9687-1E56AE62CA54}"/>
    <cellStyle name="Heading 3 2 25 5 2" xfId="3392" xr:uid="{00324430-723A-4842-96D6-02C5C9908C64}"/>
    <cellStyle name="Heading 3 2 25 5 2 2" xfId="3393" xr:uid="{2288A39D-5D75-456B-8ECB-88994B45FAE4}"/>
    <cellStyle name="Heading 3 2 25 5 3" xfId="3394" xr:uid="{2873A350-1E16-4663-8E8E-F077E1A28B9E}"/>
    <cellStyle name="Heading 3 2 25 5 3 2" xfId="3395" xr:uid="{ABC0BA1A-8D35-44C2-90BA-42517FB6FEE1}"/>
    <cellStyle name="Heading 3 2 25 5 4" xfId="3396" xr:uid="{518BDB73-6411-43B1-9BB8-35C4790C3F93}"/>
    <cellStyle name="Heading 3 2 25 5 4 2" xfId="3397" xr:uid="{AE4D0614-C849-4C35-B8ED-7E35007A060C}"/>
    <cellStyle name="Heading 3 2 25 6" xfId="3398" xr:uid="{C4818D44-96FB-4B6B-95F3-C24E7F509E15}"/>
    <cellStyle name="Heading 3 2 25 6 2" xfId="3399" xr:uid="{6134CFF4-5906-40A2-993D-974465550E1B}"/>
    <cellStyle name="Heading 3 2 25 6 2 2" xfId="3400" xr:uid="{84DA9614-9D0A-4D47-9FAA-42EC4E1D87F5}"/>
    <cellStyle name="Heading 3 2 25 6 3" xfId="3401" xr:uid="{CCB3D676-52B7-441E-8BE0-6F338A43CB6B}"/>
    <cellStyle name="Heading 3 2 25 6 3 2" xfId="3402" xr:uid="{C3B254F5-3F3B-4027-924F-D04DF48379D5}"/>
    <cellStyle name="Heading 3 2 25 6 4" xfId="3403" xr:uid="{9B260EC9-E2FB-48D4-9270-E015427DBDE9}"/>
    <cellStyle name="Heading 3 2 25 6 4 2" xfId="3404" xr:uid="{878C6FD4-888A-4BBF-8E41-02C2D567C0A8}"/>
    <cellStyle name="Heading 3 2 25 7" xfId="3405" xr:uid="{B27EF593-D9C5-4ABA-B1A5-D978FF5701DA}"/>
    <cellStyle name="Heading 3 2 25 7 2" xfId="3406" xr:uid="{A95CBB90-9E85-4F5F-884A-C7E99A2A2DCF}"/>
    <cellStyle name="Heading 3 2 25 7 2 2" xfId="3407" xr:uid="{3A278693-120E-4B22-B2F0-9D4D7F5BB116}"/>
    <cellStyle name="Heading 3 2 25 7 3" xfId="3408" xr:uid="{12BDCAFF-15B5-4725-AA0C-E952AAE7F3DB}"/>
    <cellStyle name="Heading 3 2 25 7 3 2" xfId="3409" xr:uid="{B4FF86C3-DBB9-488B-B2E5-FCCEF2E5BCD5}"/>
    <cellStyle name="Heading 3 2 25 7 4" xfId="3410" xr:uid="{3346E1EA-6847-4F9C-AAC4-EF50BFB6AC34}"/>
    <cellStyle name="Heading 3 2 25 7 4 2" xfId="3411" xr:uid="{6A2160A1-1655-43AB-A549-056872F99D58}"/>
    <cellStyle name="Heading 3 2 25 8" xfId="3412" xr:uid="{A1A4924F-8F76-46C4-8777-97189912FCFF}"/>
    <cellStyle name="Heading 3 2 25 8 2" xfId="3413" xr:uid="{A430234F-6368-4674-A8DC-4B6C1EB35765}"/>
    <cellStyle name="Heading 3 2 25 8 2 2" xfId="3414" xr:uid="{2F4916FE-AF72-4373-B9ED-E355F26376DF}"/>
    <cellStyle name="Heading 3 2 25 8 3" xfId="3415" xr:uid="{AE38033C-EF49-494F-8F3B-E31654138800}"/>
    <cellStyle name="Heading 3 2 25 8 3 2" xfId="3416" xr:uid="{629B0E5C-055C-4549-A942-889DB7554603}"/>
    <cellStyle name="Heading 3 2 25 8 4" xfId="3417" xr:uid="{42F9C067-2513-4D36-A0C9-D475D8A0797F}"/>
    <cellStyle name="Heading 3 2 25 8 4 2" xfId="3418" xr:uid="{9711495B-AF9E-428B-9E25-BDE61F08F5BB}"/>
    <cellStyle name="Heading 3 2 25 9" xfId="3419" xr:uid="{4C928727-24A9-47E9-B6D6-EDBDD5A20682}"/>
    <cellStyle name="Heading 3 2 25 9 2" xfId="3420" xr:uid="{DCDB0F7A-CCFD-46B3-9785-206BF4748ABA}"/>
    <cellStyle name="Heading 3 2 25 9 2 2" xfId="3421" xr:uid="{E1AA74CC-CA6F-4D8D-81B5-2BD7B44F0391}"/>
    <cellStyle name="Heading 3 2 25 9 3" xfId="3422" xr:uid="{C9B3B039-B650-4CC0-A19E-9326A00D88CB}"/>
    <cellStyle name="Heading 3 2 25 9 3 2" xfId="3423" xr:uid="{AC71ABA8-E9DC-4D1A-B003-4058F3924949}"/>
    <cellStyle name="Heading 3 2 25 9 4" xfId="3424" xr:uid="{E278CA08-969F-4F0E-891A-8CB9D83AB5C1}"/>
    <cellStyle name="Heading 3 2 25 9 4 2" xfId="3425" xr:uid="{EF9091F7-4E50-4FEE-8B2B-576AB615B7FE}"/>
    <cellStyle name="Heading 3 2 26" xfId="3426" xr:uid="{1EC9D013-FFEC-47B5-8A08-504D61A9F178}"/>
    <cellStyle name="Heading 3 2 26 2" xfId="3427" xr:uid="{8C814D5A-BAB8-48D1-9BAF-E8A7EA4393E1}"/>
    <cellStyle name="Heading 3 2 26 2 2" xfId="3428" xr:uid="{C42A3F3C-B76D-44C5-8BCC-C89D4BEFA899}"/>
    <cellStyle name="Heading 3 2 26 3" xfId="3429" xr:uid="{3425F669-24F8-4FFF-9E6F-14C39F1CA2FF}"/>
    <cellStyle name="Heading 3 2 26 3 2" xfId="3430" xr:uid="{F9BD1175-D64D-43E5-9532-FAC8EA9E95C0}"/>
    <cellStyle name="Heading 3 2 26 4" xfId="3431" xr:uid="{A1267314-0299-48C6-93F6-F9280B268E57}"/>
    <cellStyle name="Heading 3 2 26 4 2" xfId="3432" xr:uid="{A5179166-EDD5-4559-9337-B99830FC5B8B}"/>
    <cellStyle name="Heading 3 2 27" xfId="3433" xr:uid="{ACF73B48-1C9C-40E2-98AA-5552080BB1A2}"/>
    <cellStyle name="Heading 3 2 27 2" xfId="3434" xr:uid="{9F0486C4-3B71-47B2-A55E-450BBE08BF49}"/>
    <cellStyle name="Heading 3 2 27 2 2" xfId="3435" xr:uid="{87C3D3BC-7E44-4C49-9DDA-4168E9CBBD91}"/>
    <cellStyle name="Heading 3 2 27 3" xfId="3436" xr:uid="{CADDF0C5-0B82-4308-BD17-3536041869BC}"/>
    <cellStyle name="Heading 3 2 27 3 2" xfId="3437" xr:uid="{C264455F-3E1C-4B1E-8523-7D91FA155834}"/>
    <cellStyle name="Heading 3 2 27 4" xfId="3438" xr:uid="{2C7178C2-0A72-4976-8000-F9A45FABE3D2}"/>
    <cellStyle name="Heading 3 2 27 4 2" xfId="3439" xr:uid="{43077FE9-5CD5-40EE-AC46-9D7C4D8AAE79}"/>
    <cellStyle name="Heading 3 2 28" xfId="3440" xr:uid="{F3E8EE00-83BF-4FD1-9310-82A7563E929E}"/>
    <cellStyle name="Heading 3 2 28 2" xfId="3441" xr:uid="{962F06C8-8AE1-474D-8D1D-2A528EF82CFF}"/>
    <cellStyle name="Heading 3 2 28 2 2" xfId="3442" xr:uid="{02B0C5E0-0944-4D42-B79F-147FEC4BE466}"/>
    <cellStyle name="Heading 3 2 28 3" xfId="3443" xr:uid="{383F2EF1-FC67-4C9E-AE07-E5438906CBD7}"/>
    <cellStyle name="Heading 3 2 28 3 2" xfId="3444" xr:uid="{DFA1229F-7EC7-46AB-8A77-38234C667986}"/>
    <cellStyle name="Heading 3 2 28 4" xfId="3445" xr:uid="{1E677C20-DDB8-4FD5-938C-B573F7EE7EB8}"/>
    <cellStyle name="Heading 3 2 28 4 2" xfId="3446" xr:uid="{6EEBFA62-1833-41D5-B821-D74E285B6505}"/>
    <cellStyle name="Heading 3 2 29" xfId="3447" xr:uid="{BCA5BA2A-96C2-4187-8E94-ED8B994DF17D}"/>
    <cellStyle name="Heading 3 2 29 2" xfId="3448" xr:uid="{F8B2E05C-290B-4C08-838D-1C30EE107C22}"/>
    <cellStyle name="Heading 3 2 29 2 2" xfId="3449" xr:uid="{2B5CAF63-79D0-4DDE-BC94-51BCCE9A0FB3}"/>
    <cellStyle name="Heading 3 2 29 3" xfId="3450" xr:uid="{312C97A8-4EAF-40F3-8FAD-3380B52497CF}"/>
    <cellStyle name="Heading 3 2 29 3 2" xfId="3451" xr:uid="{F5C60327-86BF-4C0F-A274-3DD4D2E7CB95}"/>
    <cellStyle name="Heading 3 2 29 4" xfId="3452" xr:uid="{5D60521A-89DE-45BA-B933-969199FAAF6B}"/>
    <cellStyle name="Heading 3 2 29 4 2" xfId="3453" xr:uid="{3D3DF7BA-284A-4656-BF02-D47A02A4951E}"/>
    <cellStyle name="Heading 3 2 3" xfId="3454" xr:uid="{A691CAFC-E7BA-4821-842E-9545E577B112}"/>
    <cellStyle name="Heading 3 2 3 10" xfId="3455" xr:uid="{154DFB56-01BD-4CB7-924D-905001DCB09E}"/>
    <cellStyle name="Heading 3 2 3 10 2" xfId="3456" xr:uid="{1BF568FD-B93B-46CD-A831-D298A24895F4}"/>
    <cellStyle name="Heading 3 2 3 10 2 2" xfId="3457" xr:uid="{8DD5484C-4BE6-40CF-891A-3DFEAE380F4E}"/>
    <cellStyle name="Heading 3 2 3 10 3" xfId="3458" xr:uid="{5B13259B-5D9A-4C35-B370-96208FF43B52}"/>
    <cellStyle name="Heading 3 2 3 10 3 2" xfId="3459" xr:uid="{D3703FA7-3C51-494B-A749-44BCC9E1B9B7}"/>
    <cellStyle name="Heading 3 2 3 10 4" xfId="3460" xr:uid="{3EF116B9-A9C1-40C2-BF4D-6B8815F1FF4A}"/>
    <cellStyle name="Heading 3 2 3 10 4 2" xfId="3461" xr:uid="{C48D00E0-58C8-4632-9C04-DB1C390269CB}"/>
    <cellStyle name="Heading 3 2 3 11" xfId="3462" xr:uid="{BEA7CC43-980C-437A-B541-8BD2AF6A7FAE}"/>
    <cellStyle name="Heading 3 2 3 11 2" xfId="3463" xr:uid="{18D209AE-9AF1-4EF3-A18B-498124B455CB}"/>
    <cellStyle name="Heading 3 2 3 11 2 2" xfId="3464" xr:uid="{8B5D32E9-A1C5-444F-A47F-47F097DB69EF}"/>
    <cellStyle name="Heading 3 2 3 11 3" xfId="3465" xr:uid="{4BC3D826-38A0-42E2-A469-1245F1402FE3}"/>
    <cellStyle name="Heading 3 2 3 11 3 2" xfId="3466" xr:uid="{93904DC2-29E0-49EC-B3EB-FEEFCCF567B3}"/>
    <cellStyle name="Heading 3 2 3 11 4" xfId="3467" xr:uid="{1F04045C-0307-4623-BF45-2A17F8E263B7}"/>
    <cellStyle name="Heading 3 2 3 11 4 2" xfId="3468" xr:uid="{A1DE3E05-48F8-4F9C-882D-21A75C60D7B2}"/>
    <cellStyle name="Heading 3 2 3 12" xfId="3469" xr:uid="{A0F03928-2988-4CDC-BE28-DDC871BFA83B}"/>
    <cellStyle name="Heading 3 2 3 12 2" xfId="3470" xr:uid="{0C9D3718-41FD-44FF-A349-A1D232AC4016}"/>
    <cellStyle name="Heading 3 2 3 12 2 2" xfId="3471" xr:uid="{5554E163-0731-4618-B539-E53C0581E61C}"/>
    <cellStyle name="Heading 3 2 3 12 3" xfId="3472" xr:uid="{134DC3A3-199A-42CD-A5F3-460C29DC9911}"/>
    <cellStyle name="Heading 3 2 3 12 3 2" xfId="3473" xr:uid="{03142BDE-46CD-4148-8780-800E53F9A494}"/>
    <cellStyle name="Heading 3 2 3 12 4" xfId="3474" xr:uid="{4EB09A91-3BA9-4361-8E32-DD56BCF79E05}"/>
    <cellStyle name="Heading 3 2 3 12 4 2" xfId="3475" xr:uid="{6E7EDAA3-1B8C-4BC4-90C9-A53A99EFEB15}"/>
    <cellStyle name="Heading 3 2 3 13" xfId="3476" xr:uid="{D5D66C94-6DC0-4DF6-BA2F-B7EF4F1061FA}"/>
    <cellStyle name="Heading 3 2 3 13 2" xfId="3477" xr:uid="{9ADF9A89-1136-49ED-BBBD-D2306A41B7C5}"/>
    <cellStyle name="Heading 3 2 3 13 2 2" xfId="3478" xr:uid="{57694425-CBCE-4C8B-B139-FC9C5B17948F}"/>
    <cellStyle name="Heading 3 2 3 13 3" xfId="3479" xr:uid="{FF66A154-2982-41E0-BBB7-2E0A1D427361}"/>
    <cellStyle name="Heading 3 2 3 13 3 2" xfId="3480" xr:uid="{99D4DC8F-75D8-4F7B-8AB1-F25EC87315EA}"/>
    <cellStyle name="Heading 3 2 3 13 4" xfId="3481" xr:uid="{07515793-4A1F-4CB2-8B19-F8B51DBE13EB}"/>
    <cellStyle name="Heading 3 2 3 13 4 2" xfId="3482" xr:uid="{F83C8788-E962-45E9-9489-686ADED843EE}"/>
    <cellStyle name="Heading 3 2 3 14" xfId="3483" xr:uid="{CE7CFB92-FABC-44C3-8329-8C87EFC4E38E}"/>
    <cellStyle name="Heading 3 2 3 14 2" xfId="3484" xr:uid="{D16C518E-449F-4E5A-830E-092EC0AC0DDA}"/>
    <cellStyle name="Heading 3 2 3 14 2 2" xfId="3485" xr:uid="{DC993493-F305-4285-BF1B-2AB67A8E956E}"/>
    <cellStyle name="Heading 3 2 3 14 3" xfId="3486" xr:uid="{9527C43E-073F-4910-9309-1C9670100AD2}"/>
    <cellStyle name="Heading 3 2 3 14 3 2" xfId="3487" xr:uid="{8138765E-1DFF-4946-A924-FB81F0D18147}"/>
    <cellStyle name="Heading 3 2 3 14 4" xfId="3488" xr:uid="{8BD9448D-B810-47C8-882D-303531E31BF4}"/>
    <cellStyle name="Heading 3 2 3 14 4 2" xfId="3489" xr:uid="{7CA96E4A-45EC-464D-AE87-1173830037C0}"/>
    <cellStyle name="Heading 3 2 3 15" xfId="3490" xr:uid="{C71CCC12-D2A2-4853-B970-C3F1EE60E2BD}"/>
    <cellStyle name="Heading 3 2 3 15 2" xfId="3491" xr:uid="{615310C6-2681-4F95-A03C-7AEC7312FF49}"/>
    <cellStyle name="Heading 3 2 3 15 2 2" xfId="3492" xr:uid="{B96B6A35-BC4E-4D4A-9D00-EDD7D0CC1FBD}"/>
    <cellStyle name="Heading 3 2 3 15 3" xfId="3493" xr:uid="{C9E53E6C-128E-4459-933D-EB327CC1552A}"/>
    <cellStyle name="Heading 3 2 3 15 3 2" xfId="3494" xr:uid="{B6EB853C-27B7-4939-943B-CE9AA89BEAB5}"/>
    <cellStyle name="Heading 3 2 3 15 4" xfId="3495" xr:uid="{650B6C80-DB11-42D4-AECE-2BF64B615324}"/>
    <cellStyle name="Heading 3 2 3 15 4 2" xfId="3496" xr:uid="{1F41E07D-02E2-4FDF-BD91-C7DC4F3C5351}"/>
    <cellStyle name="Heading 3 2 3 16" xfId="3497" xr:uid="{312A3208-CA55-4371-9D16-D2AFC6D4AA45}"/>
    <cellStyle name="Heading 3 2 3 16 2" xfId="3498" xr:uid="{81B18058-F6CB-4EAD-8E3C-FF74AE8A8052}"/>
    <cellStyle name="Heading 3 2 3 17" xfId="3499" xr:uid="{9CAE165F-5BAD-4E4B-92B8-BB68F95BB23A}"/>
    <cellStyle name="Heading 3 2 3 17 2" xfId="3500" xr:uid="{29973E89-6661-4FA5-A7AD-15898EF07631}"/>
    <cellStyle name="Heading 3 2 3 18" xfId="3501" xr:uid="{23EFA00B-6CA2-4AE3-9986-F3A7F96AB9AB}"/>
    <cellStyle name="Heading 3 2 3 18 2" xfId="3502" xr:uid="{75405260-F826-4D28-8100-48FA6EDE5EAD}"/>
    <cellStyle name="Heading 3 2 3 19" xfId="3503" xr:uid="{A01B30F9-5637-41B0-9693-25523857D18D}"/>
    <cellStyle name="Heading 3 2 3 2" xfId="3504" xr:uid="{356F6539-49CD-4BCE-B44A-EFA899402340}"/>
    <cellStyle name="Heading 3 2 3 2 2" xfId="3505" xr:uid="{A61022C4-8111-44C4-AB8F-043FD95EB358}"/>
    <cellStyle name="Heading 3 2 3 2 2 2" xfId="3506" xr:uid="{BBA86145-842E-498E-9AE5-67E61A5CAF8D}"/>
    <cellStyle name="Heading 3 2 3 2 3" xfId="3507" xr:uid="{4000F875-0E99-41CA-98BE-2CA1AC9B6286}"/>
    <cellStyle name="Heading 3 2 3 2 3 2" xfId="3508" xr:uid="{2816C090-7548-4249-8F66-C847DFDB6641}"/>
    <cellStyle name="Heading 3 2 3 2 4" xfId="3509" xr:uid="{9BD8DFA8-411A-40D6-A6E7-7C143701C932}"/>
    <cellStyle name="Heading 3 2 3 2 4 2" xfId="3510" xr:uid="{3958991B-C80C-466B-83D9-6FA4F5EC9C56}"/>
    <cellStyle name="Heading 3 2 3 20" xfId="3511" xr:uid="{6FA6B2F9-84E7-4568-968D-27750D8B0236}"/>
    <cellStyle name="Heading 3 2 3 21" xfId="3512" xr:uid="{1957E42A-8744-4DF7-8F49-A2C9BE964A4F}"/>
    <cellStyle name="Heading 3 2 3 22" xfId="3513" xr:uid="{817BAB2E-663A-4532-BA82-AD36C914D7C9}"/>
    <cellStyle name="Heading 3 2 3 23" xfId="3514" xr:uid="{32EDF319-B9FE-44EB-9143-C9DBB3272C44}"/>
    <cellStyle name="Heading 3 2 3 24" xfId="3515" xr:uid="{CF554F13-A6F3-47BC-A43F-DF2F77477E97}"/>
    <cellStyle name="Heading 3 2 3 25" xfId="3516" xr:uid="{A885D18E-02B8-4400-B863-4D4718A4D0F1}"/>
    <cellStyle name="Heading 3 2 3 3" xfId="3517" xr:uid="{E88D9FB2-B8B5-4779-97AC-5D96B85FC766}"/>
    <cellStyle name="Heading 3 2 3 3 2" xfId="3518" xr:uid="{601454AA-D85D-4DA4-9413-A1E88370F1C4}"/>
    <cellStyle name="Heading 3 2 3 3 2 2" xfId="3519" xr:uid="{165AA5E0-B849-44D1-88CF-6C8D9427B068}"/>
    <cellStyle name="Heading 3 2 3 3 3" xfId="3520" xr:uid="{1DDF3F6B-13A1-43FD-8FB1-7C9C18442636}"/>
    <cellStyle name="Heading 3 2 3 3 3 2" xfId="3521" xr:uid="{C96A1804-61F3-4F4C-B69A-0261D1EE0633}"/>
    <cellStyle name="Heading 3 2 3 3 4" xfId="3522" xr:uid="{5D001BDE-5DA9-4892-B6AC-EB16D9137F58}"/>
    <cellStyle name="Heading 3 2 3 3 4 2" xfId="3523" xr:uid="{81D52F3E-BFC9-419D-9D21-6417DF000EEF}"/>
    <cellStyle name="Heading 3 2 3 4" xfId="3524" xr:uid="{CFD1AF1C-4269-4314-A31B-9A87B2BF4FFC}"/>
    <cellStyle name="Heading 3 2 3 4 2" xfId="3525" xr:uid="{9597EAF8-530A-4AD4-9D2C-FC6402E64184}"/>
    <cellStyle name="Heading 3 2 3 4 2 2" xfId="3526" xr:uid="{66BB6104-80EE-4A15-81AE-0E3B6A997FE4}"/>
    <cellStyle name="Heading 3 2 3 4 3" xfId="3527" xr:uid="{5B2819BE-1964-4D13-A4BB-518C0EE352D8}"/>
    <cellStyle name="Heading 3 2 3 4 3 2" xfId="3528" xr:uid="{AB7BE3B7-AD1C-48A3-BCF5-AEED26B311B8}"/>
    <cellStyle name="Heading 3 2 3 4 4" xfId="3529" xr:uid="{04683494-1687-4A53-B21F-34195BEE53FF}"/>
    <cellStyle name="Heading 3 2 3 4 4 2" xfId="3530" xr:uid="{AFAE698E-0ECA-4E1B-A5E8-D4A52CAF38DD}"/>
    <cellStyle name="Heading 3 2 3 5" xfId="3531" xr:uid="{EA3278F2-AA83-4104-B76E-23DBE9385681}"/>
    <cellStyle name="Heading 3 2 3 5 2" xfId="3532" xr:uid="{DC2C3651-48CC-4570-A8BA-2C3CF42E18CC}"/>
    <cellStyle name="Heading 3 2 3 5 2 2" xfId="3533" xr:uid="{D14447A7-FF35-423C-93DC-22928CBAB0FA}"/>
    <cellStyle name="Heading 3 2 3 5 3" xfId="3534" xr:uid="{51C24E9A-5D5F-4367-B835-BE2A244128F3}"/>
    <cellStyle name="Heading 3 2 3 5 3 2" xfId="3535" xr:uid="{DF4E4034-D4BC-4662-9C4D-BBBE05A4B725}"/>
    <cellStyle name="Heading 3 2 3 5 4" xfId="3536" xr:uid="{18DEAE79-0C22-4D87-8BCA-2767CD150558}"/>
    <cellStyle name="Heading 3 2 3 5 4 2" xfId="3537" xr:uid="{4A66B0B2-C0D9-4EFD-83B7-A17753505C12}"/>
    <cellStyle name="Heading 3 2 3 6" xfId="3538" xr:uid="{E890DCC2-2271-4C50-8719-A35F434DF762}"/>
    <cellStyle name="Heading 3 2 3 6 2" xfId="3539" xr:uid="{E30D1B83-CEC0-41FA-8C9F-FE98C5C0722D}"/>
    <cellStyle name="Heading 3 2 3 6 2 2" xfId="3540" xr:uid="{ADBEC5D1-8690-4C4A-B37D-23B278E1D542}"/>
    <cellStyle name="Heading 3 2 3 6 3" xfId="3541" xr:uid="{7DBCDC60-76A0-4911-9BB3-98B3FF9FC094}"/>
    <cellStyle name="Heading 3 2 3 6 3 2" xfId="3542" xr:uid="{89FA7B92-31AD-4A1F-A61F-76907635BAC1}"/>
    <cellStyle name="Heading 3 2 3 6 4" xfId="3543" xr:uid="{0096EAAE-6F91-4888-9CB6-AEB485C80B28}"/>
    <cellStyle name="Heading 3 2 3 6 4 2" xfId="3544" xr:uid="{728E508F-0311-4716-A3A2-BEEDB547ADDC}"/>
    <cellStyle name="Heading 3 2 3 7" xfId="3545" xr:uid="{A76EF0BF-8E3B-40F8-BE5A-3DC09A964D1C}"/>
    <cellStyle name="Heading 3 2 3 7 2" xfId="3546" xr:uid="{9CCBFC9F-657C-48B1-9651-44ACFDE4715B}"/>
    <cellStyle name="Heading 3 2 3 7 2 2" xfId="3547" xr:uid="{D2B5EF6F-0D64-487E-8C92-7202BF2515D5}"/>
    <cellStyle name="Heading 3 2 3 7 3" xfId="3548" xr:uid="{B36AA180-57D4-4175-9A0B-40D9F8CC3734}"/>
    <cellStyle name="Heading 3 2 3 7 3 2" xfId="3549" xr:uid="{1D4B3F3C-085C-4E3F-B72B-2185A4BC994F}"/>
    <cellStyle name="Heading 3 2 3 7 4" xfId="3550" xr:uid="{984338B4-7D4E-44EF-A03F-BA182FA368F5}"/>
    <cellStyle name="Heading 3 2 3 7 4 2" xfId="3551" xr:uid="{4DC9DDD7-D68E-4CE0-855E-564ABD546B50}"/>
    <cellStyle name="Heading 3 2 3 8" xfId="3552" xr:uid="{2DE528EC-F146-49F3-AAFD-DB6A1C710B6F}"/>
    <cellStyle name="Heading 3 2 3 8 2" xfId="3553" xr:uid="{B361CEB3-3E32-485E-97F9-6387B79AEC80}"/>
    <cellStyle name="Heading 3 2 3 8 2 2" xfId="3554" xr:uid="{70E767ED-58FC-4692-B067-B5A76FB52462}"/>
    <cellStyle name="Heading 3 2 3 8 3" xfId="3555" xr:uid="{480F7DBA-09B6-4284-92C5-A54C89CC175A}"/>
    <cellStyle name="Heading 3 2 3 8 3 2" xfId="3556" xr:uid="{9615AD95-4969-4CC5-B134-11957B2FCD2F}"/>
    <cellStyle name="Heading 3 2 3 8 4" xfId="3557" xr:uid="{F9FBFA23-455D-43A0-A7A9-4F0ED5779DE9}"/>
    <cellStyle name="Heading 3 2 3 8 4 2" xfId="3558" xr:uid="{CE590A04-29A4-4A99-AEF3-B4560B27A207}"/>
    <cellStyle name="Heading 3 2 3 9" xfId="3559" xr:uid="{18F99F17-1C18-47F1-A237-F5B34711419C}"/>
    <cellStyle name="Heading 3 2 3 9 2" xfId="3560" xr:uid="{19EEF3FE-FAB2-46A8-B421-94BF813FFED1}"/>
    <cellStyle name="Heading 3 2 3 9 2 2" xfId="3561" xr:uid="{F8015823-C396-41F3-AEF3-0E7EC51D04C0}"/>
    <cellStyle name="Heading 3 2 3 9 3" xfId="3562" xr:uid="{884C6F4A-E94F-4B3B-80CC-65AD404E0782}"/>
    <cellStyle name="Heading 3 2 3 9 3 2" xfId="3563" xr:uid="{60A89A78-6281-48F5-B4C7-1FCF8D3D648A}"/>
    <cellStyle name="Heading 3 2 3 9 4" xfId="3564" xr:uid="{1EEBC3A4-24E7-4AEB-A2B0-AA9E8A878729}"/>
    <cellStyle name="Heading 3 2 3 9 4 2" xfId="3565" xr:uid="{1689C288-58DE-4803-9CAD-A267C47C6FC4}"/>
    <cellStyle name="Heading 3 2 30" xfId="3566" xr:uid="{A3B0A3BA-BF32-482A-90C2-AD0A68F72602}"/>
    <cellStyle name="Heading 3 2 30 2" xfId="3567" xr:uid="{9D4AAF7F-0549-4E92-8BB4-76539E1FE4EC}"/>
    <cellStyle name="Heading 3 2 30 2 2" xfId="3568" xr:uid="{BF668676-B9AC-4012-8CF6-5C982D83F594}"/>
    <cellStyle name="Heading 3 2 30 3" xfId="3569" xr:uid="{A70894CA-AC2E-4A1E-A15F-0A41AB80CAB2}"/>
    <cellStyle name="Heading 3 2 30 3 2" xfId="3570" xr:uid="{E0E16BC1-3549-46C4-ACEE-8C0D37476D50}"/>
    <cellStyle name="Heading 3 2 30 4" xfId="3571" xr:uid="{A764648D-528F-4610-B0F4-A7297B12D96C}"/>
    <cellStyle name="Heading 3 2 30 4 2" xfId="3572" xr:uid="{31FFCD50-A8F2-442F-BFCF-24789272CA84}"/>
    <cellStyle name="Heading 3 2 31" xfId="3573" xr:uid="{5C40C035-F366-4E77-A400-BC9E7BB4C083}"/>
    <cellStyle name="Heading 3 2 31 2" xfId="3574" xr:uid="{76EB0261-2355-4C46-84C2-5D5634B449A1}"/>
    <cellStyle name="Heading 3 2 31 2 2" xfId="3575" xr:uid="{BC366E87-AEE0-45E9-9842-AA54A5C04DFE}"/>
    <cellStyle name="Heading 3 2 31 3" xfId="3576" xr:uid="{B6870C56-7823-4F91-ACF3-9B206F69632D}"/>
    <cellStyle name="Heading 3 2 31 3 2" xfId="3577" xr:uid="{E2CCBA9B-1B5A-4C5D-84F5-1B225431BAC9}"/>
    <cellStyle name="Heading 3 2 31 4" xfId="3578" xr:uid="{24D36455-60D6-4EF2-ADE4-FD44145BA744}"/>
    <cellStyle name="Heading 3 2 31 4 2" xfId="3579" xr:uid="{7B9A1B81-C8FB-4D67-9FD1-5AFE1F34A77B}"/>
    <cellStyle name="Heading 3 2 32" xfId="3580" xr:uid="{C153F57F-DF39-47A1-89A5-D7699FA5D61F}"/>
    <cellStyle name="Heading 3 2 32 2" xfId="3581" xr:uid="{A45DD83A-6FAF-4FFC-BCD1-70CC9B1A45B1}"/>
    <cellStyle name="Heading 3 2 32 2 2" xfId="3582" xr:uid="{02F27E98-B522-41EF-8777-8C3F140AE10E}"/>
    <cellStyle name="Heading 3 2 32 3" xfId="3583" xr:uid="{F0BDBF4F-86DD-42EF-8D77-1DF674A86E8C}"/>
    <cellStyle name="Heading 3 2 32 3 2" xfId="3584" xr:uid="{1F51A361-7C7A-4DAE-A750-7F88EFD64FF4}"/>
    <cellStyle name="Heading 3 2 32 4" xfId="3585" xr:uid="{2C63584F-9E93-4C4F-A603-65402F6FC201}"/>
    <cellStyle name="Heading 3 2 32 4 2" xfId="3586" xr:uid="{0B44FBAB-B594-4BA5-976B-D30A47A50B74}"/>
    <cellStyle name="Heading 3 2 33" xfId="3587" xr:uid="{43C7A3F4-498F-4D42-8A6F-F046887BFF45}"/>
    <cellStyle name="Heading 3 2 33 2" xfId="3588" xr:uid="{1136672F-0F7F-46A4-943D-A701FF4CBDA7}"/>
    <cellStyle name="Heading 3 2 33 2 2" xfId="3589" xr:uid="{94B87076-205A-449C-8375-776B37A60A66}"/>
    <cellStyle name="Heading 3 2 33 3" xfId="3590" xr:uid="{6B71B9D5-F713-453F-B5F2-E01BAFD8AD95}"/>
    <cellStyle name="Heading 3 2 33 3 2" xfId="3591" xr:uid="{EF16F8E4-450A-4302-84FD-120DD0D35A3B}"/>
    <cellStyle name="Heading 3 2 33 4" xfId="3592" xr:uid="{A9834536-B83C-4418-89D5-997685B0766F}"/>
    <cellStyle name="Heading 3 2 33 4 2" xfId="3593" xr:uid="{C5103904-6708-4D7A-921D-5FC35BFD14CD}"/>
    <cellStyle name="Heading 3 2 34" xfId="3594" xr:uid="{20941ABE-7A94-4F6C-886F-151D60B638B6}"/>
    <cellStyle name="Heading 3 2 34 2" xfId="3595" xr:uid="{12A48346-7A38-4AF0-9F72-67118C4C11A5}"/>
    <cellStyle name="Heading 3 2 34 2 2" xfId="3596" xr:uid="{D95E8721-A5CC-4E58-89BC-63D2DC2B315E}"/>
    <cellStyle name="Heading 3 2 34 3" xfId="3597" xr:uid="{6427F6AC-6506-45CE-96F4-3BBB63A03DB7}"/>
    <cellStyle name="Heading 3 2 34 3 2" xfId="3598" xr:uid="{6A7AD4FB-DB9B-4525-A1A0-28F875587904}"/>
    <cellStyle name="Heading 3 2 34 4" xfId="3599" xr:uid="{364ACF05-1E4D-4CAD-81EF-35BC072D182B}"/>
    <cellStyle name="Heading 3 2 34 4 2" xfId="3600" xr:uid="{E6773929-3C8D-4271-8F40-AA80EB87EE68}"/>
    <cellStyle name="Heading 3 2 35" xfId="3601" xr:uid="{B1190536-2CE3-4ACA-8D44-D95ED4D0AF03}"/>
    <cellStyle name="Heading 3 2 35 2" xfId="3602" xr:uid="{034F3E21-15BF-4DC7-A9B1-935FA1C61F18}"/>
    <cellStyle name="Heading 3 2 35 2 2" xfId="3603" xr:uid="{32D7B66C-E0E4-4935-80D0-A4F41B856069}"/>
    <cellStyle name="Heading 3 2 35 3" xfId="3604" xr:uid="{0AA15756-E412-4EAD-9278-0608D9858137}"/>
    <cellStyle name="Heading 3 2 35 3 2" xfId="3605" xr:uid="{0634BF49-D6BC-4AF9-A388-0F94398FB9B4}"/>
    <cellStyle name="Heading 3 2 35 4" xfId="3606" xr:uid="{ED00ED04-069C-4BA9-B0EA-389E2E5A4B54}"/>
    <cellStyle name="Heading 3 2 35 4 2" xfId="3607" xr:uid="{4258AA1A-5DBE-48FF-A263-7B091A20B46F}"/>
    <cellStyle name="Heading 3 2 36" xfId="3608" xr:uid="{1162B077-5232-45A3-B85A-035D6FC1333A}"/>
    <cellStyle name="Heading 3 2 36 2" xfId="3609" xr:uid="{27D90AD9-E144-4594-8F99-E7A7EB67D161}"/>
    <cellStyle name="Heading 3 2 36 2 2" xfId="3610" xr:uid="{BB2A2032-4395-47C1-84DA-0F45736E4097}"/>
    <cellStyle name="Heading 3 2 36 3" xfId="3611" xr:uid="{AE400B3E-D89E-4F47-9643-4869D1309F6F}"/>
    <cellStyle name="Heading 3 2 36 3 2" xfId="3612" xr:uid="{6E686B73-7359-4A33-895A-19813AEC8420}"/>
    <cellStyle name="Heading 3 2 36 4" xfId="3613" xr:uid="{64DD9AC6-F4AB-4A11-BE2B-8B14885481A8}"/>
    <cellStyle name="Heading 3 2 36 4 2" xfId="3614" xr:uid="{292493C6-609B-45F8-A07D-C711CE2420E7}"/>
    <cellStyle name="Heading 3 2 37" xfId="3615" xr:uid="{F78799E1-3C5A-45E8-B1C2-AF363DB72709}"/>
    <cellStyle name="Heading 3 2 37 2" xfId="3616" xr:uid="{2B9A572F-BE18-4787-B888-CD2AEF87A02A}"/>
    <cellStyle name="Heading 3 2 37 2 2" xfId="3617" xr:uid="{7159F59F-24A0-466D-ABFE-F555C037E72C}"/>
    <cellStyle name="Heading 3 2 37 3" xfId="3618" xr:uid="{47043FEE-837C-4DFD-83A8-AA0F804BDD1F}"/>
    <cellStyle name="Heading 3 2 37 3 2" xfId="3619" xr:uid="{4F7B5B75-A91E-4AB6-A649-8C0A878F7260}"/>
    <cellStyle name="Heading 3 2 37 4" xfId="3620" xr:uid="{3A2DA886-13B6-403D-B826-8B43968621C8}"/>
    <cellStyle name="Heading 3 2 37 4 2" xfId="3621" xr:uid="{E74483CF-0115-4FED-B10D-E230123385DA}"/>
    <cellStyle name="Heading 3 2 38" xfId="3622" xr:uid="{59C63673-7679-43A4-941B-F4876F56A041}"/>
    <cellStyle name="Heading 3 2 38 2" xfId="3623" xr:uid="{197EDF3E-0BC2-4BF6-80B0-D425FB55E18B}"/>
    <cellStyle name="Heading 3 2 38 2 2" xfId="3624" xr:uid="{E102AE77-86F9-417C-8DC8-60463CB1D27A}"/>
    <cellStyle name="Heading 3 2 38 3" xfId="3625" xr:uid="{E1B39C86-37BD-4BD7-B143-410DAE2740CE}"/>
    <cellStyle name="Heading 3 2 38 3 2" xfId="3626" xr:uid="{18E397A1-4902-47B9-AD62-2269A58E28A3}"/>
    <cellStyle name="Heading 3 2 38 4" xfId="3627" xr:uid="{F43233EF-0841-487D-A689-D630995B8B31}"/>
    <cellStyle name="Heading 3 2 38 4 2" xfId="3628" xr:uid="{45B19D67-B895-42BE-B2A1-71A03BB9F47D}"/>
    <cellStyle name="Heading 3 2 39" xfId="3629" xr:uid="{616D0DA1-30FC-4DBA-9F04-77AFDE23E31C}"/>
    <cellStyle name="Heading 3 2 39 2" xfId="3630" xr:uid="{05E220F9-CEFF-4C1A-B04A-BC5FEC6A099B}"/>
    <cellStyle name="Heading 3 2 39 2 2" xfId="3631" xr:uid="{9142F339-BC03-463B-8DD4-A14EC576BC44}"/>
    <cellStyle name="Heading 3 2 39 3" xfId="3632" xr:uid="{68C1867B-2DB1-4255-815D-7C7ABCE7ACB0}"/>
    <cellStyle name="Heading 3 2 39 3 2" xfId="3633" xr:uid="{7A82E528-A910-4B2A-91E9-B81BAE0619DD}"/>
    <cellStyle name="Heading 3 2 39 4" xfId="3634" xr:uid="{A6B5026A-ED5E-4E29-B8E7-48A0A2A957E1}"/>
    <cellStyle name="Heading 3 2 39 4 2" xfId="3635" xr:uid="{5741B711-81CA-4915-A285-CB9196B15258}"/>
    <cellStyle name="Heading 3 2 4" xfId="3636" xr:uid="{CE7B30C8-239B-4CA3-828E-8E075EB4EFB8}"/>
    <cellStyle name="Heading 3 2 4 10" xfId="3637" xr:uid="{0FE0BDA0-9AC2-4200-B318-7F8035BFDD1E}"/>
    <cellStyle name="Heading 3 2 4 10 2" xfId="3638" xr:uid="{D2C7EE98-F61F-49F4-94CB-62F0EA4E2E81}"/>
    <cellStyle name="Heading 3 2 4 10 2 2" xfId="3639" xr:uid="{E20BF9A2-04E0-4626-8C98-52D877B18369}"/>
    <cellStyle name="Heading 3 2 4 10 3" xfId="3640" xr:uid="{E7939963-369D-4F86-A750-67102CAAC29A}"/>
    <cellStyle name="Heading 3 2 4 10 3 2" xfId="3641" xr:uid="{A25DAD5B-1E8C-4EF9-A37F-98D9C9723669}"/>
    <cellStyle name="Heading 3 2 4 10 4" xfId="3642" xr:uid="{3B07E9BF-5D7F-4CF1-B7A5-410014764B71}"/>
    <cellStyle name="Heading 3 2 4 10 4 2" xfId="3643" xr:uid="{CEABB85C-92AF-49DB-83BE-F248331FC458}"/>
    <cellStyle name="Heading 3 2 4 11" xfId="3644" xr:uid="{3A77ABF3-22D8-4101-8B59-79F04D3898B4}"/>
    <cellStyle name="Heading 3 2 4 11 2" xfId="3645" xr:uid="{9B8163CC-ADBF-4B9D-BA25-D51A41BC947D}"/>
    <cellStyle name="Heading 3 2 4 11 2 2" xfId="3646" xr:uid="{F6266F71-6F0E-498B-8173-C8829C5EDF56}"/>
    <cellStyle name="Heading 3 2 4 11 3" xfId="3647" xr:uid="{E67BF025-C738-4966-97DB-9506C773074A}"/>
    <cellStyle name="Heading 3 2 4 11 3 2" xfId="3648" xr:uid="{50EB4F07-42B6-45E2-9FF5-69564EC3D2CE}"/>
    <cellStyle name="Heading 3 2 4 11 4" xfId="3649" xr:uid="{7D4B554A-800A-449C-B02B-A68FC2C5BAF0}"/>
    <cellStyle name="Heading 3 2 4 11 4 2" xfId="3650" xr:uid="{33097526-83F5-4F6C-BB09-B363CB507016}"/>
    <cellStyle name="Heading 3 2 4 12" xfId="3651" xr:uid="{68BF0129-BA8E-4F22-B72B-3A847B4C302A}"/>
    <cellStyle name="Heading 3 2 4 12 2" xfId="3652" xr:uid="{FF76D6B6-BE9D-4AA2-AA00-E0F09C5AEBE7}"/>
    <cellStyle name="Heading 3 2 4 12 2 2" xfId="3653" xr:uid="{3FD65E3B-3F65-452B-ADE8-4A6D13C78CCD}"/>
    <cellStyle name="Heading 3 2 4 12 3" xfId="3654" xr:uid="{4B38B0FD-2684-4690-8ED0-3311FE843DE8}"/>
    <cellStyle name="Heading 3 2 4 12 3 2" xfId="3655" xr:uid="{D40C9AF9-AEE4-4287-AC1C-444413A32AB5}"/>
    <cellStyle name="Heading 3 2 4 12 4" xfId="3656" xr:uid="{9564BB2F-EA2B-4C0E-AAA2-F56D6980F5B9}"/>
    <cellStyle name="Heading 3 2 4 12 4 2" xfId="3657" xr:uid="{34EA9473-7E50-41DF-981A-6567A0562C9E}"/>
    <cellStyle name="Heading 3 2 4 13" xfId="3658" xr:uid="{C9273495-F6FD-48F9-B5E8-0B394F065281}"/>
    <cellStyle name="Heading 3 2 4 13 2" xfId="3659" xr:uid="{D34D050C-7B6F-4E26-83B1-1FED8F2EC34A}"/>
    <cellStyle name="Heading 3 2 4 13 2 2" xfId="3660" xr:uid="{CC00CA11-418F-4838-8173-90C52E3FEA75}"/>
    <cellStyle name="Heading 3 2 4 13 3" xfId="3661" xr:uid="{ECE711FE-2AAB-4C2A-A016-F260AC5A725B}"/>
    <cellStyle name="Heading 3 2 4 13 3 2" xfId="3662" xr:uid="{6E7DD99C-524F-45CE-A714-1139F3DD7B69}"/>
    <cellStyle name="Heading 3 2 4 13 4" xfId="3663" xr:uid="{C1B5153B-9D62-4074-B601-3562BDAFE239}"/>
    <cellStyle name="Heading 3 2 4 13 4 2" xfId="3664" xr:uid="{B3D43FF0-AB3D-4B77-807D-F539DF18F9BB}"/>
    <cellStyle name="Heading 3 2 4 14" xfId="3665" xr:uid="{794CE9E7-96BE-49A9-9ECD-87DF662F91B6}"/>
    <cellStyle name="Heading 3 2 4 14 2" xfId="3666" xr:uid="{FD24AF7A-DE06-487D-A5F7-C9A7B337FE54}"/>
    <cellStyle name="Heading 3 2 4 14 2 2" xfId="3667" xr:uid="{6BC67E31-0258-496A-90C3-769AD1A0E3BB}"/>
    <cellStyle name="Heading 3 2 4 14 3" xfId="3668" xr:uid="{1B5CC7E6-8AF7-4FA3-9542-32DFE4307445}"/>
    <cellStyle name="Heading 3 2 4 14 3 2" xfId="3669" xr:uid="{84CE6759-5362-4117-8CAF-0C5387ADEE72}"/>
    <cellStyle name="Heading 3 2 4 14 4" xfId="3670" xr:uid="{8C24EC69-F2A4-42AA-9F63-BEDDB843B049}"/>
    <cellStyle name="Heading 3 2 4 14 4 2" xfId="3671" xr:uid="{B091C061-98C2-4481-8C8A-0D7BD84A0A25}"/>
    <cellStyle name="Heading 3 2 4 15" xfId="3672" xr:uid="{16076577-402A-4D30-BC4F-82219B78CB18}"/>
    <cellStyle name="Heading 3 2 4 15 2" xfId="3673" xr:uid="{2AA4DA1D-956B-41E9-AAFD-66F1513070C6}"/>
    <cellStyle name="Heading 3 2 4 15 2 2" xfId="3674" xr:uid="{6951AD4E-F7B9-4D1D-91B5-BB32A8095F25}"/>
    <cellStyle name="Heading 3 2 4 15 3" xfId="3675" xr:uid="{8369141D-401A-444D-AF91-D900EB06F21B}"/>
    <cellStyle name="Heading 3 2 4 15 3 2" xfId="3676" xr:uid="{10544E12-CB84-4873-B2CE-41BD53A526BC}"/>
    <cellStyle name="Heading 3 2 4 15 4" xfId="3677" xr:uid="{8ED989B5-98C6-41F9-8C8E-B21DC5C16F85}"/>
    <cellStyle name="Heading 3 2 4 15 4 2" xfId="3678" xr:uid="{F55AD9B6-85A8-48BC-A9A6-5019342F4667}"/>
    <cellStyle name="Heading 3 2 4 16" xfId="3679" xr:uid="{E4F7715F-4B8D-4432-B922-488225F5AE87}"/>
    <cellStyle name="Heading 3 2 4 16 2" xfId="3680" xr:uid="{4526D1B8-EB0C-48FB-898F-BE7F4AFF2E60}"/>
    <cellStyle name="Heading 3 2 4 17" xfId="3681" xr:uid="{8CF134AA-4432-4682-837C-AF19BF9C341E}"/>
    <cellStyle name="Heading 3 2 4 17 2" xfId="3682" xr:uid="{11718E28-2249-4F39-BD56-042F90421F08}"/>
    <cellStyle name="Heading 3 2 4 18" xfId="3683" xr:uid="{4311A4B8-94CC-4DA8-9F3A-7A7A0F0C7BD4}"/>
    <cellStyle name="Heading 3 2 4 18 2" xfId="3684" xr:uid="{62E140D8-8EA3-4CDA-9F4E-46A812A40C5E}"/>
    <cellStyle name="Heading 3 2 4 19" xfId="3685" xr:uid="{64266A4A-A3EC-4A38-9E2A-B4504C40FB02}"/>
    <cellStyle name="Heading 3 2 4 2" xfId="3686" xr:uid="{584FA237-8C89-4034-A154-DEB7B4040CC0}"/>
    <cellStyle name="Heading 3 2 4 2 2" xfId="3687" xr:uid="{191903EC-0476-4EE0-A531-EAE41717DD87}"/>
    <cellStyle name="Heading 3 2 4 2 2 2" xfId="3688" xr:uid="{CE951D1C-2411-48AB-8D5D-E3FEF1F3614C}"/>
    <cellStyle name="Heading 3 2 4 2 3" xfId="3689" xr:uid="{0C60D253-BEBE-4F78-9CC5-3F73EF4FA717}"/>
    <cellStyle name="Heading 3 2 4 2 3 2" xfId="3690" xr:uid="{725AC94E-AFD4-4EF2-A95F-3B06B1B605A9}"/>
    <cellStyle name="Heading 3 2 4 2 4" xfId="3691" xr:uid="{C6615E5B-23A6-441D-9937-874F0EB27D02}"/>
    <cellStyle name="Heading 3 2 4 2 4 2" xfId="3692" xr:uid="{E42024D9-C3D6-43D9-ACB8-527DDB2C8FF2}"/>
    <cellStyle name="Heading 3 2 4 20" xfId="3693" xr:uid="{47B416DF-A908-4725-981C-CCA07F18D806}"/>
    <cellStyle name="Heading 3 2 4 21" xfId="3694" xr:uid="{5B8CE9C2-C959-4322-B810-1EF92B817D7C}"/>
    <cellStyle name="Heading 3 2 4 22" xfId="3695" xr:uid="{07F9B040-D949-4556-A76E-9F39FEEC58B2}"/>
    <cellStyle name="Heading 3 2 4 23" xfId="3696" xr:uid="{8CA10226-0982-444D-B87C-79F14BFC72B6}"/>
    <cellStyle name="Heading 3 2 4 24" xfId="3697" xr:uid="{B1954784-8E06-4ACD-91D7-0B196431D6FD}"/>
    <cellStyle name="Heading 3 2 4 25" xfId="3698" xr:uid="{238DE18E-35B8-4934-A70F-EF709747015B}"/>
    <cellStyle name="Heading 3 2 4 3" xfId="3699" xr:uid="{1F111589-2D79-4AD1-8041-2FFBDA9FDCED}"/>
    <cellStyle name="Heading 3 2 4 3 2" xfId="3700" xr:uid="{DA9E5ED7-35CF-4502-95C1-F29F792F15F7}"/>
    <cellStyle name="Heading 3 2 4 3 2 2" xfId="3701" xr:uid="{3EF63A78-5A34-4092-B5E4-635BBEECCC92}"/>
    <cellStyle name="Heading 3 2 4 3 3" xfId="3702" xr:uid="{E10F6124-F6DA-4521-AD7C-005109B45CD0}"/>
    <cellStyle name="Heading 3 2 4 3 3 2" xfId="3703" xr:uid="{D377168E-DE77-47AD-B819-F659F5FF09AD}"/>
    <cellStyle name="Heading 3 2 4 3 4" xfId="3704" xr:uid="{1E042A4A-47FF-4AE9-892D-4467FECE1FB0}"/>
    <cellStyle name="Heading 3 2 4 3 4 2" xfId="3705" xr:uid="{B75AA0CD-12CF-4B38-942C-8C77E995C207}"/>
    <cellStyle name="Heading 3 2 4 4" xfId="3706" xr:uid="{459C0EAD-A2E3-449E-B904-623A26C10EDD}"/>
    <cellStyle name="Heading 3 2 4 4 2" xfId="3707" xr:uid="{6D35BAAC-1075-43C7-A32E-F4F47F1A94DA}"/>
    <cellStyle name="Heading 3 2 4 4 2 2" xfId="3708" xr:uid="{EB3EEE6D-392D-4491-8649-CCCF0BCE10D4}"/>
    <cellStyle name="Heading 3 2 4 4 3" xfId="3709" xr:uid="{BD3C45DE-DF0F-48E7-AB10-D10869A5F31F}"/>
    <cellStyle name="Heading 3 2 4 4 3 2" xfId="3710" xr:uid="{C802ECEC-CA71-4A53-9362-A446B12E74A8}"/>
    <cellStyle name="Heading 3 2 4 4 4" xfId="3711" xr:uid="{9A27F2CA-8FE8-4F8E-80C1-65D50910ABA8}"/>
    <cellStyle name="Heading 3 2 4 4 4 2" xfId="3712" xr:uid="{9EC57980-489B-4EE1-9BF2-869969BFA4E4}"/>
    <cellStyle name="Heading 3 2 4 5" xfId="3713" xr:uid="{DD42D9EB-DB04-42B4-B622-119FE49E1A0E}"/>
    <cellStyle name="Heading 3 2 4 5 2" xfId="3714" xr:uid="{9F806B17-3396-4AE8-8504-BA72B1F30AF8}"/>
    <cellStyle name="Heading 3 2 4 5 2 2" xfId="3715" xr:uid="{6D22041A-BDBE-43C6-9BFE-6A6825D0F9E4}"/>
    <cellStyle name="Heading 3 2 4 5 3" xfId="3716" xr:uid="{4A518959-8371-43F4-9F1A-B1375202F21F}"/>
    <cellStyle name="Heading 3 2 4 5 3 2" xfId="3717" xr:uid="{FEAF0C70-BA7C-423B-81C8-BFD18ECFE41E}"/>
    <cellStyle name="Heading 3 2 4 5 4" xfId="3718" xr:uid="{77469C2D-4FDA-40C8-AD55-4D00992C9452}"/>
    <cellStyle name="Heading 3 2 4 5 4 2" xfId="3719" xr:uid="{BFCBE5CB-D7CD-4147-A0BD-01E1189E70A1}"/>
    <cellStyle name="Heading 3 2 4 6" xfId="3720" xr:uid="{C36BD4D0-BA99-43A4-8FFF-A7B47CE476A4}"/>
    <cellStyle name="Heading 3 2 4 6 2" xfId="3721" xr:uid="{A899B3F2-4656-4EAA-9838-E9988D3ACF19}"/>
    <cellStyle name="Heading 3 2 4 6 2 2" xfId="3722" xr:uid="{A593F534-58E6-4AA2-BB2E-9CB82C260684}"/>
    <cellStyle name="Heading 3 2 4 6 3" xfId="3723" xr:uid="{D884FF3E-1F76-4697-8D89-02F130C7727F}"/>
    <cellStyle name="Heading 3 2 4 6 3 2" xfId="3724" xr:uid="{E8544A79-1EBD-4ACB-A149-2DCF0A0A3550}"/>
    <cellStyle name="Heading 3 2 4 6 4" xfId="3725" xr:uid="{4AB8A636-87A3-4DD5-BDBA-470420B75CF1}"/>
    <cellStyle name="Heading 3 2 4 6 4 2" xfId="3726" xr:uid="{5F5EEBAE-0CAA-43CF-A448-16013302A52C}"/>
    <cellStyle name="Heading 3 2 4 7" xfId="3727" xr:uid="{F21CD82C-7DFC-4BA8-9A62-B7521C3CB109}"/>
    <cellStyle name="Heading 3 2 4 7 2" xfId="3728" xr:uid="{20405C41-6A2A-4680-BD05-39B050FF047B}"/>
    <cellStyle name="Heading 3 2 4 7 2 2" xfId="3729" xr:uid="{13275853-80B4-4742-9D94-99634BF96375}"/>
    <cellStyle name="Heading 3 2 4 7 3" xfId="3730" xr:uid="{EC9606B0-3D9F-4094-A8B8-79E0C703DE84}"/>
    <cellStyle name="Heading 3 2 4 7 3 2" xfId="3731" xr:uid="{331C6B05-914C-4ADF-B9AB-7E7EA0C5AA80}"/>
    <cellStyle name="Heading 3 2 4 7 4" xfId="3732" xr:uid="{44FD0572-854F-4E07-9D8F-22B12FF3D65A}"/>
    <cellStyle name="Heading 3 2 4 7 4 2" xfId="3733" xr:uid="{A2FA713A-8339-473E-9C5C-6FE7C920DF48}"/>
    <cellStyle name="Heading 3 2 4 8" xfId="3734" xr:uid="{7B73F280-08E1-4127-AF96-5D741D2E740A}"/>
    <cellStyle name="Heading 3 2 4 8 2" xfId="3735" xr:uid="{DC3457DF-1657-4DF0-AAF4-50A40A510C0D}"/>
    <cellStyle name="Heading 3 2 4 8 2 2" xfId="3736" xr:uid="{34CE44C9-D882-4698-84B9-CD3A46145A68}"/>
    <cellStyle name="Heading 3 2 4 8 3" xfId="3737" xr:uid="{083E2B09-B2D3-46FF-B3BB-D539075D826A}"/>
    <cellStyle name="Heading 3 2 4 8 3 2" xfId="3738" xr:uid="{993BBB20-08CD-427E-A53B-0C77D35C4113}"/>
    <cellStyle name="Heading 3 2 4 8 4" xfId="3739" xr:uid="{5C90F27E-2CB7-4D79-B5CE-CD07BD791BBD}"/>
    <cellStyle name="Heading 3 2 4 8 4 2" xfId="3740" xr:uid="{BB9BC307-04CE-445A-BE74-2B9C03F67404}"/>
    <cellStyle name="Heading 3 2 4 9" xfId="3741" xr:uid="{748F3A91-B4D6-49C3-B557-D02A7C9F602E}"/>
    <cellStyle name="Heading 3 2 4 9 2" xfId="3742" xr:uid="{FD29C8BF-8AC9-40E7-BD8A-7E6C6B95E94F}"/>
    <cellStyle name="Heading 3 2 4 9 2 2" xfId="3743" xr:uid="{DCA81FD4-E370-4183-A523-661688D3ACF0}"/>
    <cellStyle name="Heading 3 2 4 9 3" xfId="3744" xr:uid="{01888305-0B90-4A5B-927B-32F1E61AD4AD}"/>
    <cellStyle name="Heading 3 2 4 9 3 2" xfId="3745" xr:uid="{46C78BD0-9C3A-472E-B36C-0DFEF0146949}"/>
    <cellStyle name="Heading 3 2 4 9 4" xfId="3746" xr:uid="{BD4B67D3-212D-4E77-A50A-D4F317544BFF}"/>
    <cellStyle name="Heading 3 2 4 9 4 2" xfId="3747" xr:uid="{36344EAF-B8C8-4181-871F-8268B49B295C}"/>
    <cellStyle name="Heading 3 2 40" xfId="3748" xr:uid="{93E9D2C6-9923-4473-ACA4-5E54DD7EE076}"/>
    <cellStyle name="Heading 3 2 40 2" xfId="3749" xr:uid="{124ABE5A-7CF6-4A10-BB0C-4EC24ADB4874}"/>
    <cellStyle name="Heading 3 2 41" xfId="3750" xr:uid="{952A606B-256E-48FC-89CF-2608B09E0A80}"/>
    <cellStyle name="Heading 3 2 41 2" xfId="3751" xr:uid="{2D3E4054-B505-4763-ABA6-CD4B19C42F1D}"/>
    <cellStyle name="Heading 3 2 42" xfId="3752" xr:uid="{603C04FC-A498-4E42-89FD-7D7B38811654}"/>
    <cellStyle name="Heading 3 2 42 2" xfId="3753" xr:uid="{4EEA01E5-841B-4857-9390-ABFB1C9A8D49}"/>
    <cellStyle name="Heading 3 2 43" xfId="3754" xr:uid="{563888E4-801D-4A3D-89DE-8E046E634C0B}"/>
    <cellStyle name="Heading 3 2 44" xfId="3755" xr:uid="{445E0663-3485-4B85-BC73-722B63392570}"/>
    <cellStyle name="Heading 3 2 45" xfId="3756" xr:uid="{8C9541B5-D98D-4EC7-8891-3C0B600B1808}"/>
    <cellStyle name="Heading 3 2 46" xfId="3757" xr:uid="{7806E2A4-D2EE-4529-88B5-6B277936D6C7}"/>
    <cellStyle name="Heading 3 2 47" xfId="3758" xr:uid="{D87A25BF-EAD4-451A-A626-F4D74AA5583F}"/>
    <cellStyle name="Heading 3 2 48" xfId="3759" xr:uid="{C467F77B-727D-4575-95D3-E52DDED2D10F}"/>
    <cellStyle name="Heading 3 2 49" xfId="3760" xr:uid="{A2A8942D-3EFF-4359-B42E-B5D6F6FABDA0}"/>
    <cellStyle name="Heading 3 2 5" xfId="3761" xr:uid="{9B52152D-A15E-476F-84F3-AA2414A24315}"/>
    <cellStyle name="Heading 3 2 5 10" xfId="3762" xr:uid="{B89639F6-4624-47B3-BF9E-F5EFF1300ACA}"/>
    <cellStyle name="Heading 3 2 5 10 2" xfId="3763" xr:uid="{84050F08-1BDB-41C8-B149-0E208A6C4280}"/>
    <cellStyle name="Heading 3 2 5 10 2 2" xfId="3764" xr:uid="{498ACB99-9AEE-4F08-BDE1-E4ABFE8D8F80}"/>
    <cellStyle name="Heading 3 2 5 10 3" xfId="3765" xr:uid="{36A92868-9D52-4938-8568-B4FCE70FF1F5}"/>
    <cellStyle name="Heading 3 2 5 10 3 2" xfId="3766" xr:uid="{9283F6EB-C047-41F2-A281-03EC7BFDA026}"/>
    <cellStyle name="Heading 3 2 5 10 4" xfId="3767" xr:uid="{1CA4DA39-6778-4BFE-BD7F-0766C3A4608E}"/>
    <cellStyle name="Heading 3 2 5 10 4 2" xfId="3768" xr:uid="{8B2F3402-099B-4F0B-98DD-F79EA3F24916}"/>
    <cellStyle name="Heading 3 2 5 11" xfId="3769" xr:uid="{8F984A57-B0B2-49B2-B530-D9147FA925AF}"/>
    <cellStyle name="Heading 3 2 5 11 2" xfId="3770" xr:uid="{AE6AED87-E1AA-45B0-AFC6-2048739C2D9D}"/>
    <cellStyle name="Heading 3 2 5 11 2 2" xfId="3771" xr:uid="{E0130634-908C-4F76-9336-7A906A9F4C6A}"/>
    <cellStyle name="Heading 3 2 5 11 3" xfId="3772" xr:uid="{69864385-D26D-43DB-B750-F885DF8C3D48}"/>
    <cellStyle name="Heading 3 2 5 11 3 2" xfId="3773" xr:uid="{DB8E9057-60DA-481C-BF78-D0EE60C14632}"/>
    <cellStyle name="Heading 3 2 5 11 4" xfId="3774" xr:uid="{71D96477-4D9E-4954-A003-0ECBA69C7020}"/>
    <cellStyle name="Heading 3 2 5 11 4 2" xfId="3775" xr:uid="{00543E69-01B9-487F-9D5A-BCA8D04B8E95}"/>
    <cellStyle name="Heading 3 2 5 12" xfId="3776" xr:uid="{6B59D7CD-646E-4918-AD81-D1442156FAEA}"/>
    <cellStyle name="Heading 3 2 5 12 2" xfId="3777" xr:uid="{FDD93F52-6ED7-4B59-891E-1351CA67A50C}"/>
    <cellStyle name="Heading 3 2 5 12 2 2" xfId="3778" xr:uid="{645A4045-398F-470C-B2B1-3A14544C4148}"/>
    <cellStyle name="Heading 3 2 5 12 3" xfId="3779" xr:uid="{A8DA6C22-2390-4C9B-81B6-DD35BA89CBD9}"/>
    <cellStyle name="Heading 3 2 5 12 3 2" xfId="3780" xr:uid="{D0685F2E-BFB3-4FE7-B818-0B98FBB34E75}"/>
    <cellStyle name="Heading 3 2 5 12 4" xfId="3781" xr:uid="{15E71926-9B66-47FF-B26E-C6325D931090}"/>
    <cellStyle name="Heading 3 2 5 12 4 2" xfId="3782" xr:uid="{4C429821-8F19-4211-9FA5-5EC6C1EB6220}"/>
    <cellStyle name="Heading 3 2 5 13" xfId="3783" xr:uid="{69B73943-D06F-4906-A0FC-DB142AC7A76C}"/>
    <cellStyle name="Heading 3 2 5 13 2" xfId="3784" xr:uid="{9F62BC41-27BA-49C3-A26D-9DF4A48FB035}"/>
    <cellStyle name="Heading 3 2 5 13 2 2" xfId="3785" xr:uid="{0E4FBFBF-AFB3-4714-8A52-9B90E80B594E}"/>
    <cellStyle name="Heading 3 2 5 13 3" xfId="3786" xr:uid="{B085EC78-ED1E-4313-BA91-9751DED0544A}"/>
    <cellStyle name="Heading 3 2 5 13 3 2" xfId="3787" xr:uid="{0D5F4FDE-B550-4675-A18C-7DEB8ADDAF56}"/>
    <cellStyle name="Heading 3 2 5 13 4" xfId="3788" xr:uid="{F421C3FE-9941-4028-A01F-0516EB83055C}"/>
    <cellStyle name="Heading 3 2 5 13 4 2" xfId="3789" xr:uid="{FEA2ED13-E30D-4D4D-8C22-038A71E425F2}"/>
    <cellStyle name="Heading 3 2 5 14" xfId="3790" xr:uid="{8E2E8B80-A2A2-4F7C-B33C-CF57CC9387B1}"/>
    <cellStyle name="Heading 3 2 5 14 2" xfId="3791" xr:uid="{FE979035-2E9B-40D4-B068-3FB8B52B77A2}"/>
    <cellStyle name="Heading 3 2 5 14 2 2" xfId="3792" xr:uid="{C8AF6CC8-D446-4F8C-B064-6657EC7F69E4}"/>
    <cellStyle name="Heading 3 2 5 14 3" xfId="3793" xr:uid="{BEDA345D-133B-4463-8776-3F944BBEA4AF}"/>
    <cellStyle name="Heading 3 2 5 14 3 2" xfId="3794" xr:uid="{DD40BB04-BD68-46D2-BDB8-5A986BEABE2E}"/>
    <cellStyle name="Heading 3 2 5 14 4" xfId="3795" xr:uid="{67425285-F103-497B-8E64-4CF84F98930F}"/>
    <cellStyle name="Heading 3 2 5 14 4 2" xfId="3796" xr:uid="{C38696CC-2B2F-4D1F-9620-490B98C19142}"/>
    <cellStyle name="Heading 3 2 5 15" xfId="3797" xr:uid="{4DC76493-35F2-41AE-99FF-9B0B92F12C28}"/>
    <cellStyle name="Heading 3 2 5 15 2" xfId="3798" xr:uid="{8F471F06-5681-4FFC-9761-CBB128D46565}"/>
    <cellStyle name="Heading 3 2 5 15 2 2" xfId="3799" xr:uid="{14D2744A-0F07-4CEE-A698-A1B63F06B176}"/>
    <cellStyle name="Heading 3 2 5 15 3" xfId="3800" xr:uid="{31805715-C8D2-4B1A-97A7-1B18B70465BB}"/>
    <cellStyle name="Heading 3 2 5 15 3 2" xfId="3801" xr:uid="{3557BD71-5DF8-4DBD-B373-8DB7027FFBDF}"/>
    <cellStyle name="Heading 3 2 5 15 4" xfId="3802" xr:uid="{6B572046-08FA-4E2A-864D-8A9103C5F0F3}"/>
    <cellStyle name="Heading 3 2 5 15 4 2" xfId="3803" xr:uid="{6D4238FF-95CC-4974-8F4C-E14E428C8640}"/>
    <cellStyle name="Heading 3 2 5 16" xfId="3804" xr:uid="{C61C0E63-CE31-4DB7-9C2D-66C1E3D54986}"/>
    <cellStyle name="Heading 3 2 5 16 2" xfId="3805" xr:uid="{1DF86CE6-FD22-47C9-B36D-DB71E7B0C5D3}"/>
    <cellStyle name="Heading 3 2 5 17" xfId="3806" xr:uid="{DD5B7B18-5E46-47C9-8090-F2CB820FB9C5}"/>
    <cellStyle name="Heading 3 2 5 17 2" xfId="3807" xr:uid="{F9BCD0C8-DEE5-4AF1-92E5-0C999E85FB90}"/>
    <cellStyle name="Heading 3 2 5 18" xfId="3808" xr:uid="{B4FCEEDE-5C6B-45B4-8FB5-6C3ADC1A5866}"/>
    <cellStyle name="Heading 3 2 5 18 2" xfId="3809" xr:uid="{7B4616B8-5E7C-421E-9304-A01081642841}"/>
    <cellStyle name="Heading 3 2 5 19" xfId="3810" xr:uid="{281EC38F-CAA5-4910-8360-031D04B3796F}"/>
    <cellStyle name="Heading 3 2 5 2" xfId="3811" xr:uid="{9052A2BF-E031-48B4-B98B-97419F9C047C}"/>
    <cellStyle name="Heading 3 2 5 2 2" xfId="3812" xr:uid="{2B91183A-C968-4CAD-B6AB-2EE04D8F03BE}"/>
    <cellStyle name="Heading 3 2 5 2 2 2" xfId="3813" xr:uid="{86F5D173-857A-4197-9CB5-E9FCF9C2F786}"/>
    <cellStyle name="Heading 3 2 5 2 3" xfId="3814" xr:uid="{E5B19A69-1EF8-4C55-9353-B4B73EDF3F51}"/>
    <cellStyle name="Heading 3 2 5 2 3 2" xfId="3815" xr:uid="{56706074-BEB3-4C88-A5E0-F881A0AC2419}"/>
    <cellStyle name="Heading 3 2 5 2 4" xfId="3816" xr:uid="{8445C89D-6B99-48AD-B74B-1834C997805B}"/>
    <cellStyle name="Heading 3 2 5 2 4 2" xfId="3817" xr:uid="{49502939-E652-45C3-9BD1-3FF10CD235F0}"/>
    <cellStyle name="Heading 3 2 5 20" xfId="3818" xr:uid="{21F527F0-ABC5-4A23-9308-C5E3E7D3F09B}"/>
    <cellStyle name="Heading 3 2 5 21" xfId="3819" xr:uid="{6DB13152-78A9-47EB-9039-8733C4288C43}"/>
    <cellStyle name="Heading 3 2 5 22" xfId="3820" xr:uid="{1EFDF9B4-7092-498A-A31C-DB00835C245B}"/>
    <cellStyle name="Heading 3 2 5 23" xfId="3821" xr:uid="{7560C269-6E06-4EA5-92FE-79646EA564FC}"/>
    <cellStyle name="Heading 3 2 5 24" xfId="3822" xr:uid="{5862A403-47DB-42CD-86E5-EDFAECC4B9B8}"/>
    <cellStyle name="Heading 3 2 5 25" xfId="3823" xr:uid="{92248B82-F745-428C-BA93-43B0377E7711}"/>
    <cellStyle name="Heading 3 2 5 3" xfId="3824" xr:uid="{CD5D42FA-5D5B-460B-B902-781ADEA55C83}"/>
    <cellStyle name="Heading 3 2 5 3 2" xfId="3825" xr:uid="{57B6F48B-9855-479D-A0CE-288146E26806}"/>
    <cellStyle name="Heading 3 2 5 3 2 2" xfId="3826" xr:uid="{5F227103-7783-4576-A238-FB4229570CA6}"/>
    <cellStyle name="Heading 3 2 5 3 3" xfId="3827" xr:uid="{726D6C36-FFC1-4134-AE80-3CF19E4BC19A}"/>
    <cellStyle name="Heading 3 2 5 3 3 2" xfId="3828" xr:uid="{C3B9AF09-E465-4E66-8ECD-15879154AD13}"/>
    <cellStyle name="Heading 3 2 5 3 4" xfId="3829" xr:uid="{46413A4D-57FF-4E5E-AF10-5C922E17725F}"/>
    <cellStyle name="Heading 3 2 5 3 4 2" xfId="3830" xr:uid="{DAE959DC-E502-4A79-95EC-D7451C7A83F8}"/>
    <cellStyle name="Heading 3 2 5 4" xfId="3831" xr:uid="{A18CF02E-B5C1-4AF6-B2D9-F84C6DBA9E28}"/>
    <cellStyle name="Heading 3 2 5 4 2" xfId="3832" xr:uid="{880E6A65-1B2E-48AD-9D1C-CF0D122688A6}"/>
    <cellStyle name="Heading 3 2 5 4 2 2" xfId="3833" xr:uid="{9E534C02-47A4-4F71-9ADC-B338CD3F9738}"/>
    <cellStyle name="Heading 3 2 5 4 3" xfId="3834" xr:uid="{B967118B-6621-4180-B667-941CD14DC2D1}"/>
    <cellStyle name="Heading 3 2 5 4 3 2" xfId="3835" xr:uid="{F745E4FF-3B8D-440D-8CCE-1085E0652F5A}"/>
    <cellStyle name="Heading 3 2 5 4 4" xfId="3836" xr:uid="{EA99A79C-CA33-4E7D-B7C8-4BEBB9A572B3}"/>
    <cellStyle name="Heading 3 2 5 4 4 2" xfId="3837" xr:uid="{3BC6F00E-052B-48DB-9275-6BD51F163A96}"/>
    <cellStyle name="Heading 3 2 5 5" xfId="3838" xr:uid="{42054D5B-06F9-4399-A5FD-4DF63E200BAF}"/>
    <cellStyle name="Heading 3 2 5 5 2" xfId="3839" xr:uid="{A83142C8-2476-4B14-B92C-A351896D604B}"/>
    <cellStyle name="Heading 3 2 5 5 2 2" xfId="3840" xr:uid="{46515495-3977-4ACF-A599-3B6FDA6E3607}"/>
    <cellStyle name="Heading 3 2 5 5 3" xfId="3841" xr:uid="{5A9FCAE0-005F-442B-A5AE-622974F53253}"/>
    <cellStyle name="Heading 3 2 5 5 3 2" xfId="3842" xr:uid="{B5D557CD-F384-417E-9AB2-8B6B2FF6BF51}"/>
    <cellStyle name="Heading 3 2 5 5 4" xfId="3843" xr:uid="{2076184F-F4CA-40EF-8BED-47ED2FD8C277}"/>
    <cellStyle name="Heading 3 2 5 5 4 2" xfId="3844" xr:uid="{F09AA08F-CAA5-457F-AA94-94C7D722C58A}"/>
    <cellStyle name="Heading 3 2 5 6" xfId="3845" xr:uid="{514CEA22-2E62-4AB2-9444-32063633702C}"/>
    <cellStyle name="Heading 3 2 5 6 2" xfId="3846" xr:uid="{0DDB0CE2-4964-4DDA-A6A1-7C31A9FC8C24}"/>
    <cellStyle name="Heading 3 2 5 6 2 2" xfId="3847" xr:uid="{CFD7F110-CE0E-4362-91FD-B2D8DD82FCBB}"/>
    <cellStyle name="Heading 3 2 5 6 3" xfId="3848" xr:uid="{27C6B1CD-04A2-4FE0-9846-1C83B39AF883}"/>
    <cellStyle name="Heading 3 2 5 6 3 2" xfId="3849" xr:uid="{3E4DCCD1-7A55-4D37-A2A6-12FB28886640}"/>
    <cellStyle name="Heading 3 2 5 6 4" xfId="3850" xr:uid="{BF2B60DE-FFD2-4F80-BE90-ED21F9A98348}"/>
    <cellStyle name="Heading 3 2 5 6 4 2" xfId="3851" xr:uid="{568D1593-BBDC-42D7-A4B4-606549DC62AF}"/>
    <cellStyle name="Heading 3 2 5 7" xfId="3852" xr:uid="{15C81430-F43F-4366-8572-874F0D2172F5}"/>
    <cellStyle name="Heading 3 2 5 7 2" xfId="3853" xr:uid="{A0811F27-85D2-4480-9613-7EC3CB140563}"/>
    <cellStyle name="Heading 3 2 5 7 2 2" xfId="3854" xr:uid="{A8C60B1F-E4DA-4FE9-A95A-CF594665B995}"/>
    <cellStyle name="Heading 3 2 5 7 3" xfId="3855" xr:uid="{03DD760F-8793-47C2-A9E1-9399084A1180}"/>
    <cellStyle name="Heading 3 2 5 7 3 2" xfId="3856" xr:uid="{747E1C6B-ADA6-4FB4-A1FF-225A416A4ECE}"/>
    <cellStyle name="Heading 3 2 5 7 4" xfId="3857" xr:uid="{83C9BB5D-F60A-4694-9C25-E43203B7A4E0}"/>
    <cellStyle name="Heading 3 2 5 7 4 2" xfId="3858" xr:uid="{C50F9A09-4A61-4849-8828-CEDAB5B14BB9}"/>
    <cellStyle name="Heading 3 2 5 8" xfId="3859" xr:uid="{3878BA8F-9CCD-45E2-BB9E-138D516F7D52}"/>
    <cellStyle name="Heading 3 2 5 8 2" xfId="3860" xr:uid="{B65C3401-0109-4C9B-A3D8-74A62BF4649A}"/>
    <cellStyle name="Heading 3 2 5 8 2 2" xfId="3861" xr:uid="{DE57A6A8-F7A0-461F-8D6C-333551286CCB}"/>
    <cellStyle name="Heading 3 2 5 8 3" xfId="3862" xr:uid="{39438EF6-2996-4E73-9988-58B0E59E9E97}"/>
    <cellStyle name="Heading 3 2 5 8 3 2" xfId="3863" xr:uid="{A8E3E08C-AB9D-4720-94D1-7835D1B0B897}"/>
    <cellStyle name="Heading 3 2 5 8 4" xfId="3864" xr:uid="{CF140C7C-8D95-470D-B516-E34F8B721B8B}"/>
    <cellStyle name="Heading 3 2 5 8 4 2" xfId="3865" xr:uid="{5C56151A-D7F8-4A7C-AE2C-07750D3E136D}"/>
    <cellStyle name="Heading 3 2 5 9" xfId="3866" xr:uid="{B689E144-0EC2-4157-8494-11181EAEB244}"/>
    <cellStyle name="Heading 3 2 5 9 2" xfId="3867" xr:uid="{EC1D8F0D-CFC3-4D76-9174-874098751546}"/>
    <cellStyle name="Heading 3 2 5 9 2 2" xfId="3868" xr:uid="{C04F11A3-98AD-4089-93A5-69D8C10EDB7D}"/>
    <cellStyle name="Heading 3 2 5 9 3" xfId="3869" xr:uid="{FD31DD06-3F55-4AB4-9DE8-1DC92ACA1CC2}"/>
    <cellStyle name="Heading 3 2 5 9 3 2" xfId="3870" xr:uid="{EFC097F0-FDC2-471C-8459-7136E70110C7}"/>
    <cellStyle name="Heading 3 2 5 9 4" xfId="3871" xr:uid="{A3983E48-CDEF-4887-80AB-4A51946A4323}"/>
    <cellStyle name="Heading 3 2 5 9 4 2" xfId="3872" xr:uid="{58EDCFC5-FA15-4E24-9B13-DBB5D1AABC63}"/>
    <cellStyle name="Heading 3 2 6" xfId="3873" xr:uid="{82BAE5A7-1685-4F1E-A7EF-18DFE76F72DF}"/>
    <cellStyle name="Heading 3 2 6 10" xfId="3874" xr:uid="{DC2F2999-D642-494E-8B88-FB09B59EB2E6}"/>
    <cellStyle name="Heading 3 2 6 10 2" xfId="3875" xr:uid="{A9E48E57-8695-481A-BA7A-C4B4C8DD6DEA}"/>
    <cellStyle name="Heading 3 2 6 10 2 2" xfId="3876" xr:uid="{FCFA8FF6-9380-4EFA-A7F0-189BEDE3B59D}"/>
    <cellStyle name="Heading 3 2 6 10 3" xfId="3877" xr:uid="{3731AD10-CF87-4B08-A7C8-F26DA6BBC653}"/>
    <cellStyle name="Heading 3 2 6 10 3 2" xfId="3878" xr:uid="{F49AF0C9-27B5-4413-B00E-01966764557F}"/>
    <cellStyle name="Heading 3 2 6 10 4" xfId="3879" xr:uid="{690E9307-8EFE-42F6-A2E5-55A1FA0B312B}"/>
    <cellStyle name="Heading 3 2 6 10 4 2" xfId="3880" xr:uid="{B61334D5-B3E9-4A61-A920-193F71904629}"/>
    <cellStyle name="Heading 3 2 6 11" xfId="3881" xr:uid="{1663460F-A6F4-4404-A51A-D03E85D457DA}"/>
    <cellStyle name="Heading 3 2 6 11 2" xfId="3882" xr:uid="{DD1B02A4-FC03-408A-AF8A-507DD2EADB15}"/>
    <cellStyle name="Heading 3 2 6 11 2 2" xfId="3883" xr:uid="{50186527-A880-4051-9238-663B8E439E0F}"/>
    <cellStyle name="Heading 3 2 6 11 3" xfId="3884" xr:uid="{C0441914-B2F4-4A56-87A1-BD96DD47E67C}"/>
    <cellStyle name="Heading 3 2 6 11 3 2" xfId="3885" xr:uid="{D30983D1-6CB7-4BE9-8BE7-DA68C7B245CC}"/>
    <cellStyle name="Heading 3 2 6 11 4" xfId="3886" xr:uid="{65C07A12-7B40-4931-97A6-EC8D98F5758E}"/>
    <cellStyle name="Heading 3 2 6 11 4 2" xfId="3887" xr:uid="{2BCFE0D4-A6D9-4140-B8DF-4DB4F2A6282F}"/>
    <cellStyle name="Heading 3 2 6 12" xfId="3888" xr:uid="{939E9F53-C520-4922-A9CF-B58431ACC0E8}"/>
    <cellStyle name="Heading 3 2 6 12 2" xfId="3889" xr:uid="{CFBF5C02-9685-45DB-9633-C5C890A52007}"/>
    <cellStyle name="Heading 3 2 6 12 2 2" xfId="3890" xr:uid="{7B332344-9EB5-4A3B-9666-96D77FEBC1AA}"/>
    <cellStyle name="Heading 3 2 6 12 3" xfId="3891" xr:uid="{5DE530EF-6D46-44A2-84F8-98316D9F5A95}"/>
    <cellStyle name="Heading 3 2 6 12 3 2" xfId="3892" xr:uid="{D549DBCF-E3FC-479A-9FAC-10E03FCEA74B}"/>
    <cellStyle name="Heading 3 2 6 12 4" xfId="3893" xr:uid="{77E4752B-6636-4FA2-8F89-AE26CF0ACF43}"/>
    <cellStyle name="Heading 3 2 6 12 4 2" xfId="3894" xr:uid="{61A3D0E0-D923-4CE0-B3AC-D937CCCA5F5E}"/>
    <cellStyle name="Heading 3 2 6 13" xfId="3895" xr:uid="{8AF7A893-5227-4C89-98E9-FA4FB1BCD8C9}"/>
    <cellStyle name="Heading 3 2 6 13 2" xfId="3896" xr:uid="{0E1807F0-04FF-4103-A06E-6732796444F1}"/>
    <cellStyle name="Heading 3 2 6 13 2 2" xfId="3897" xr:uid="{65C9A656-5994-48ED-9C54-57749B255431}"/>
    <cellStyle name="Heading 3 2 6 13 3" xfId="3898" xr:uid="{9B6CC1B6-CBE5-4590-97A7-D3031F75B0F7}"/>
    <cellStyle name="Heading 3 2 6 13 3 2" xfId="3899" xr:uid="{950E7544-023E-4B86-B0DA-E948C27A1F67}"/>
    <cellStyle name="Heading 3 2 6 13 4" xfId="3900" xr:uid="{6282F37F-C118-436C-B3D6-4EE3320A973B}"/>
    <cellStyle name="Heading 3 2 6 13 4 2" xfId="3901" xr:uid="{4A44A63D-39EC-4831-AA98-C99C53487085}"/>
    <cellStyle name="Heading 3 2 6 14" xfId="3902" xr:uid="{DAB2C852-60E6-4921-9D7D-D38FB7E92CBE}"/>
    <cellStyle name="Heading 3 2 6 14 2" xfId="3903" xr:uid="{F89D69AC-8CBA-4A16-8FFD-3A541EEC01D3}"/>
    <cellStyle name="Heading 3 2 6 14 2 2" xfId="3904" xr:uid="{C55887CF-709A-4883-B7D9-819051BB72DC}"/>
    <cellStyle name="Heading 3 2 6 14 3" xfId="3905" xr:uid="{A409F542-8DA2-4201-B83B-39B135DFB9F0}"/>
    <cellStyle name="Heading 3 2 6 14 3 2" xfId="3906" xr:uid="{B3B50303-14EF-4978-BCE1-119393006A69}"/>
    <cellStyle name="Heading 3 2 6 14 4" xfId="3907" xr:uid="{3932464B-74EE-439D-8FA5-A683B409AE12}"/>
    <cellStyle name="Heading 3 2 6 14 4 2" xfId="3908" xr:uid="{93092C59-491F-4FD8-9C34-D245D45E70B4}"/>
    <cellStyle name="Heading 3 2 6 15" xfId="3909" xr:uid="{277DE34C-4D20-48CA-875D-D126EB79DA35}"/>
    <cellStyle name="Heading 3 2 6 15 2" xfId="3910" xr:uid="{2799B556-AA44-4991-AFEF-D7A9EDF0C998}"/>
    <cellStyle name="Heading 3 2 6 15 2 2" xfId="3911" xr:uid="{7E92CB5E-8389-451A-8A0D-E8866BB5386D}"/>
    <cellStyle name="Heading 3 2 6 15 3" xfId="3912" xr:uid="{9D354746-BC3B-45C7-99CF-6A38FDD456FE}"/>
    <cellStyle name="Heading 3 2 6 15 3 2" xfId="3913" xr:uid="{9136C613-2709-4989-875A-D906CCBCFC72}"/>
    <cellStyle name="Heading 3 2 6 15 4" xfId="3914" xr:uid="{4E0014B2-D751-4575-BE09-C83E2A396A80}"/>
    <cellStyle name="Heading 3 2 6 15 4 2" xfId="3915" xr:uid="{9EFC6D3D-9414-4BB3-A3BE-8EAFC4E3521A}"/>
    <cellStyle name="Heading 3 2 6 16" xfId="3916" xr:uid="{3744A744-8E00-42CE-9012-39B37185FC00}"/>
    <cellStyle name="Heading 3 2 6 16 2" xfId="3917" xr:uid="{35917F6E-9232-460F-9834-8FBFBFBBF047}"/>
    <cellStyle name="Heading 3 2 6 17" xfId="3918" xr:uid="{37CAE77A-3533-4DEF-908E-96B0D8A29F08}"/>
    <cellStyle name="Heading 3 2 6 17 2" xfId="3919" xr:uid="{CC6043D2-F1D9-4CD8-BB1C-EA437EF1DE0D}"/>
    <cellStyle name="Heading 3 2 6 18" xfId="3920" xr:uid="{95BB0D6F-1572-4604-9DE9-035E714F9482}"/>
    <cellStyle name="Heading 3 2 6 18 2" xfId="3921" xr:uid="{358B9538-568E-4B13-B0C2-11A43EBBF56E}"/>
    <cellStyle name="Heading 3 2 6 19" xfId="3922" xr:uid="{10EBFDAF-D55A-4C67-A74A-ADCF5D1E4833}"/>
    <cellStyle name="Heading 3 2 6 2" xfId="3923" xr:uid="{F74E8842-D362-45FD-80C2-36B225A767C3}"/>
    <cellStyle name="Heading 3 2 6 2 2" xfId="3924" xr:uid="{D1B71770-C1FD-4555-8682-6BD5CD34760D}"/>
    <cellStyle name="Heading 3 2 6 2 2 2" xfId="3925" xr:uid="{B924C172-2BB1-4416-9AB5-BD2E4035E3B4}"/>
    <cellStyle name="Heading 3 2 6 2 3" xfId="3926" xr:uid="{29021FA1-14BF-42E5-B97C-5BD6261CD566}"/>
    <cellStyle name="Heading 3 2 6 2 3 2" xfId="3927" xr:uid="{65367467-D3F0-4265-AEF7-F9DCE3C93BEC}"/>
    <cellStyle name="Heading 3 2 6 2 4" xfId="3928" xr:uid="{C5DA9077-E78F-471C-9FEE-DDD2B90DBBB7}"/>
    <cellStyle name="Heading 3 2 6 2 4 2" xfId="3929" xr:uid="{260A22CA-E516-49BF-B88E-2B483A995F6A}"/>
    <cellStyle name="Heading 3 2 6 20" xfId="3930" xr:uid="{F8BC24C7-F7DB-4476-826D-B39753D22378}"/>
    <cellStyle name="Heading 3 2 6 21" xfId="3931" xr:uid="{64341CAD-2698-4DD0-8900-198CCA0CA36D}"/>
    <cellStyle name="Heading 3 2 6 22" xfId="3932" xr:uid="{0DCEAA56-D41D-403F-8FA9-1DE0AB4A9E78}"/>
    <cellStyle name="Heading 3 2 6 23" xfId="3933" xr:uid="{8DE405F9-40BA-414C-AC44-98B2E0BBED58}"/>
    <cellStyle name="Heading 3 2 6 24" xfId="3934" xr:uid="{B42BE621-B77F-49D1-87DD-C1AAE859CCCC}"/>
    <cellStyle name="Heading 3 2 6 25" xfId="3935" xr:uid="{2C4F3363-F4D8-4756-B557-3691E202A0EA}"/>
    <cellStyle name="Heading 3 2 6 3" xfId="3936" xr:uid="{570CDCFF-264C-463D-BBC2-5E26C43E31AD}"/>
    <cellStyle name="Heading 3 2 6 3 2" xfId="3937" xr:uid="{5F122EF2-4BEF-48EB-814A-174FA9352FB9}"/>
    <cellStyle name="Heading 3 2 6 3 2 2" xfId="3938" xr:uid="{014AC4D1-B943-49F7-9D60-60EEF2A927DC}"/>
    <cellStyle name="Heading 3 2 6 3 3" xfId="3939" xr:uid="{DF6F6729-93D1-44BA-8E71-64D018B6AAE2}"/>
    <cellStyle name="Heading 3 2 6 3 3 2" xfId="3940" xr:uid="{C636319D-F415-4047-9EC6-DDF0AC39C31C}"/>
    <cellStyle name="Heading 3 2 6 3 4" xfId="3941" xr:uid="{1129579B-7A9E-494C-9241-38197AEA6417}"/>
    <cellStyle name="Heading 3 2 6 3 4 2" xfId="3942" xr:uid="{D54470C6-CF49-47CF-B075-95E92E631DD9}"/>
    <cellStyle name="Heading 3 2 6 4" xfId="3943" xr:uid="{F3DE9AB1-CB41-46E6-9E95-1D4A86804256}"/>
    <cellStyle name="Heading 3 2 6 4 2" xfId="3944" xr:uid="{BEE7D8B0-0CA4-43D8-884B-6331C7EC1E32}"/>
    <cellStyle name="Heading 3 2 6 4 2 2" xfId="3945" xr:uid="{32CEB9D3-3B0E-4600-94E7-86A316D9877A}"/>
    <cellStyle name="Heading 3 2 6 4 3" xfId="3946" xr:uid="{3EF393D1-A423-44FD-9FE5-8F57DFDBCF89}"/>
    <cellStyle name="Heading 3 2 6 4 3 2" xfId="3947" xr:uid="{85CB975C-527F-47E8-94A1-F5BB90FE9E13}"/>
    <cellStyle name="Heading 3 2 6 4 4" xfId="3948" xr:uid="{0FA6CA58-9FDD-4895-BADC-03809C402679}"/>
    <cellStyle name="Heading 3 2 6 4 4 2" xfId="3949" xr:uid="{686AB9E7-F6DA-4E47-8243-CC69A59D0187}"/>
    <cellStyle name="Heading 3 2 6 5" xfId="3950" xr:uid="{250DADDA-3C3D-402D-B050-375F3CED8952}"/>
    <cellStyle name="Heading 3 2 6 5 2" xfId="3951" xr:uid="{9C517E03-AC7D-451F-ACE2-09C3C6FCDDF9}"/>
    <cellStyle name="Heading 3 2 6 5 2 2" xfId="3952" xr:uid="{5BB1202F-6090-437B-BB39-D3D03E3696FE}"/>
    <cellStyle name="Heading 3 2 6 5 3" xfId="3953" xr:uid="{841DFE7D-432E-42C6-B4E9-4F1930961826}"/>
    <cellStyle name="Heading 3 2 6 5 3 2" xfId="3954" xr:uid="{D109CE94-A5B4-474C-B529-0D1C9DE2F1A9}"/>
    <cellStyle name="Heading 3 2 6 5 4" xfId="3955" xr:uid="{E07445DE-9563-4597-95AD-D760E20677FF}"/>
    <cellStyle name="Heading 3 2 6 5 4 2" xfId="3956" xr:uid="{9D967585-0D69-4A72-B1CD-C766E1344240}"/>
    <cellStyle name="Heading 3 2 6 6" xfId="3957" xr:uid="{416B6C02-FC4B-4ADE-8216-9311EA614E01}"/>
    <cellStyle name="Heading 3 2 6 6 2" xfId="3958" xr:uid="{1F5989B2-1832-417C-9316-A33BF9911632}"/>
    <cellStyle name="Heading 3 2 6 6 2 2" xfId="3959" xr:uid="{824CEE3F-F631-4246-9F44-0CFFD18FED14}"/>
    <cellStyle name="Heading 3 2 6 6 3" xfId="3960" xr:uid="{CABD1476-D304-477C-A61A-12D2B35E8A6A}"/>
    <cellStyle name="Heading 3 2 6 6 3 2" xfId="3961" xr:uid="{53B9AA95-22BD-4998-942D-839C39CCABB1}"/>
    <cellStyle name="Heading 3 2 6 6 4" xfId="3962" xr:uid="{89D46362-CC14-41DF-A24D-F7188D2D798E}"/>
    <cellStyle name="Heading 3 2 6 6 4 2" xfId="3963" xr:uid="{0E644F9F-0AB1-491D-93C6-B2A24C3C72BB}"/>
    <cellStyle name="Heading 3 2 6 7" xfId="3964" xr:uid="{0C39E0C1-F498-44A4-89F4-59397CB441DB}"/>
    <cellStyle name="Heading 3 2 6 7 2" xfId="3965" xr:uid="{061D5BDC-E5DB-4ED2-A113-AF82DFE5BB8D}"/>
    <cellStyle name="Heading 3 2 6 7 2 2" xfId="3966" xr:uid="{EE2A3249-AAEC-48EF-8BFA-B238348E9B3C}"/>
    <cellStyle name="Heading 3 2 6 7 3" xfId="3967" xr:uid="{300EC605-F61E-4F72-AB91-098C20D07FE8}"/>
    <cellStyle name="Heading 3 2 6 7 3 2" xfId="3968" xr:uid="{42EF5C28-E334-43D5-A0CC-C8F22D54959E}"/>
    <cellStyle name="Heading 3 2 6 7 4" xfId="3969" xr:uid="{3755C4DC-6ABC-40F8-AD7B-6A369EF599B8}"/>
    <cellStyle name="Heading 3 2 6 7 4 2" xfId="3970" xr:uid="{37B38236-9BC7-4885-8534-E9B0F1C81FEC}"/>
    <cellStyle name="Heading 3 2 6 8" xfId="3971" xr:uid="{B43FF668-CE73-47AF-AACC-ECEB3E37838A}"/>
    <cellStyle name="Heading 3 2 6 8 2" xfId="3972" xr:uid="{A12F7B89-3126-4831-BE61-35BA5CCCD0BA}"/>
    <cellStyle name="Heading 3 2 6 8 2 2" xfId="3973" xr:uid="{D2BD393A-AC83-4CF9-8CFB-3DF7AD37D125}"/>
    <cellStyle name="Heading 3 2 6 8 3" xfId="3974" xr:uid="{20CA10A9-0330-4502-827B-F43F241F2BE1}"/>
    <cellStyle name="Heading 3 2 6 8 3 2" xfId="3975" xr:uid="{D9D41EE7-E3E6-48D0-A3C8-3E6126714AE6}"/>
    <cellStyle name="Heading 3 2 6 8 4" xfId="3976" xr:uid="{1B29817C-5DDD-433F-BB62-6219ABA9052A}"/>
    <cellStyle name="Heading 3 2 6 8 4 2" xfId="3977" xr:uid="{427D759F-CBF0-4A09-A288-6F6FC983D32F}"/>
    <cellStyle name="Heading 3 2 6 9" xfId="3978" xr:uid="{3A68F1F9-E7D7-4F0E-9E5B-49213AD2C292}"/>
    <cellStyle name="Heading 3 2 6 9 2" xfId="3979" xr:uid="{CB3CA564-84A3-4974-9704-25616E9E6CF2}"/>
    <cellStyle name="Heading 3 2 6 9 2 2" xfId="3980" xr:uid="{B16A8B4C-C16B-4E92-9E65-F869206442F1}"/>
    <cellStyle name="Heading 3 2 6 9 3" xfId="3981" xr:uid="{753E61AE-6876-4AAB-8C7A-D94C578436F8}"/>
    <cellStyle name="Heading 3 2 6 9 3 2" xfId="3982" xr:uid="{E3E17456-E6EF-4D0B-9C48-143C64BD27D8}"/>
    <cellStyle name="Heading 3 2 6 9 4" xfId="3983" xr:uid="{6149E8DE-ED99-4243-A116-70F8A53C81FE}"/>
    <cellStyle name="Heading 3 2 6 9 4 2" xfId="3984" xr:uid="{29180FF8-9E59-490C-87E4-7D9B596085B4}"/>
    <cellStyle name="Heading 3 2 7" xfId="3985" xr:uid="{2F736B5F-8B48-4337-B1C8-8CED01D7C927}"/>
    <cellStyle name="Heading 3 2 7 10" xfId="3986" xr:uid="{E3F74422-C094-4F1D-B2B4-5196FA714F67}"/>
    <cellStyle name="Heading 3 2 7 10 2" xfId="3987" xr:uid="{A887A713-9FBA-47B3-98AE-BFC933906A65}"/>
    <cellStyle name="Heading 3 2 7 10 2 2" xfId="3988" xr:uid="{3444A0F3-3C27-4441-BEC4-D75269EF1F0D}"/>
    <cellStyle name="Heading 3 2 7 10 3" xfId="3989" xr:uid="{C7270FA9-921D-446F-A12D-16374AE709E7}"/>
    <cellStyle name="Heading 3 2 7 10 3 2" xfId="3990" xr:uid="{4D0AB7D6-7922-4EB9-AD24-BA617A836F26}"/>
    <cellStyle name="Heading 3 2 7 10 4" xfId="3991" xr:uid="{FFED35B4-08C8-4A70-AD55-2EFA426320B2}"/>
    <cellStyle name="Heading 3 2 7 10 4 2" xfId="3992" xr:uid="{7A2D9C13-9970-4FFE-BF22-7465F3F58450}"/>
    <cellStyle name="Heading 3 2 7 11" xfId="3993" xr:uid="{89BA2EB2-5E6B-4355-BA97-0ED249DAB6D6}"/>
    <cellStyle name="Heading 3 2 7 11 2" xfId="3994" xr:uid="{4DD7284F-BA80-45B6-8D52-35B516C54E1B}"/>
    <cellStyle name="Heading 3 2 7 11 2 2" xfId="3995" xr:uid="{654EA4CD-7376-4F5B-A7C6-8886677471FC}"/>
    <cellStyle name="Heading 3 2 7 11 3" xfId="3996" xr:uid="{26D15CAD-CDF2-444D-83D7-A00C818DEF83}"/>
    <cellStyle name="Heading 3 2 7 11 3 2" xfId="3997" xr:uid="{00AE23AB-423D-4D68-B638-94E9EB088CF3}"/>
    <cellStyle name="Heading 3 2 7 11 4" xfId="3998" xr:uid="{FE06AD7E-7557-4D86-B0EA-8ECF460370F0}"/>
    <cellStyle name="Heading 3 2 7 11 4 2" xfId="3999" xr:uid="{7859E165-EA38-498F-99EF-725AFC4C8F05}"/>
    <cellStyle name="Heading 3 2 7 12" xfId="4000" xr:uid="{AAF60F9C-1B0B-4F0E-ABC0-18A5399ADD4F}"/>
    <cellStyle name="Heading 3 2 7 12 2" xfId="4001" xr:uid="{0E8388A1-953F-48D7-949D-95E446381046}"/>
    <cellStyle name="Heading 3 2 7 12 2 2" xfId="4002" xr:uid="{ECCD2A0C-97FC-4B0F-85E4-1F4A9DA581A5}"/>
    <cellStyle name="Heading 3 2 7 12 3" xfId="4003" xr:uid="{F5EB75BD-0AB2-4D44-A450-AF1CFE4542DC}"/>
    <cellStyle name="Heading 3 2 7 12 3 2" xfId="4004" xr:uid="{6BEAD190-1DF2-42AE-8FEC-FE40AEF65BF6}"/>
    <cellStyle name="Heading 3 2 7 12 4" xfId="4005" xr:uid="{3182A1CD-DA9D-426E-936A-84DFEC6A07E6}"/>
    <cellStyle name="Heading 3 2 7 12 4 2" xfId="4006" xr:uid="{771B2017-2E04-4095-95F5-0521D955B6D5}"/>
    <cellStyle name="Heading 3 2 7 13" xfId="4007" xr:uid="{6BB30EFE-6C63-4AA4-B271-0E74A3C11227}"/>
    <cellStyle name="Heading 3 2 7 13 2" xfId="4008" xr:uid="{D1528698-2933-4BA5-83F0-41FE2DACF1CA}"/>
    <cellStyle name="Heading 3 2 7 13 2 2" xfId="4009" xr:uid="{02D2EF96-F26E-4B39-A8CF-B8C46A56134F}"/>
    <cellStyle name="Heading 3 2 7 13 3" xfId="4010" xr:uid="{0044E836-CB66-404B-B0C4-7C805EEB84E7}"/>
    <cellStyle name="Heading 3 2 7 13 3 2" xfId="4011" xr:uid="{4D775A0E-C728-40DC-A928-43D81BEC79AB}"/>
    <cellStyle name="Heading 3 2 7 13 4" xfId="4012" xr:uid="{8B7C8A1B-937D-4430-A710-D95CB68FA186}"/>
    <cellStyle name="Heading 3 2 7 13 4 2" xfId="4013" xr:uid="{E70222C5-DD03-4451-ADD0-1E075D815423}"/>
    <cellStyle name="Heading 3 2 7 14" xfId="4014" xr:uid="{1A8443BD-F92F-47BD-9C40-B93FA13D30D3}"/>
    <cellStyle name="Heading 3 2 7 14 2" xfId="4015" xr:uid="{AEB0330C-299E-400C-AB46-BE1DB23BE502}"/>
    <cellStyle name="Heading 3 2 7 14 2 2" xfId="4016" xr:uid="{7A883700-009D-4BCE-A6E4-E877FD6925D2}"/>
    <cellStyle name="Heading 3 2 7 14 3" xfId="4017" xr:uid="{3AD5D5A9-4429-4B14-8EF3-BB8664374470}"/>
    <cellStyle name="Heading 3 2 7 14 3 2" xfId="4018" xr:uid="{CB5C0747-4D64-46B4-9073-51E5DE94C2A9}"/>
    <cellStyle name="Heading 3 2 7 14 4" xfId="4019" xr:uid="{CCCC3E5E-5B6B-4E84-B1EF-7A0686DB6E72}"/>
    <cellStyle name="Heading 3 2 7 14 4 2" xfId="4020" xr:uid="{5439CDBB-594E-4824-81D1-3EDB1084544B}"/>
    <cellStyle name="Heading 3 2 7 15" xfId="4021" xr:uid="{9421E70F-6504-4B99-816D-DDBC419A0B5C}"/>
    <cellStyle name="Heading 3 2 7 15 2" xfId="4022" xr:uid="{28288AB9-AFF0-40B5-B4CE-12720B8E96A7}"/>
    <cellStyle name="Heading 3 2 7 15 2 2" xfId="4023" xr:uid="{A11C7E7E-0D35-4995-8B86-254181B308DD}"/>
    <cellStyle name="Heading 3 2 7 15 3" xfId="4024" xr:uid="{DE7FC5D5-DB54-4E62-8197-EF66FD8A0565}"/>
    <cellStyle name="Heading 3 2 7 15 3 2" xfId="4025" xr:uid="{FD3DDF0E-EE5A-4A5E-AE84-2EA62EF960B1}"/>
    <cellStyle name="Heading 3 2 7 15 4" xfId="4026" xr:uid="{3C9EE628-59E1-4F5C-BFF3-A795526C0C34}"/>
    <cellStyle name="Heading 3 2 7 15 4 2" xfId="4027" xr:uid="{422A57A9-5B22-42BE-B03F-6B1D64BA9724}"/>
    <cellStyle name="Heading 3 2 7 16" xfId="4028" xr:uid="{E4B502E3-6E20-4040-B168-2E626BFB2ABD}"/>
    <cellStyle name="Heading 3 2 7 16 2" xfId="4029" xr:uid="{560C1D91-473E-4EEA-8EB1-64617672A22E}"/>
    <cellStyle name="Heading 3 2 7 17" xfId="4030" xr:uid="{8C8F1A1D-5FA3-41BE-9C65-1C2F5524532B}"/>
    <cellStyle name="Heading 3 2 7 17 2" xfId="4031" xr:uid="{7AFF7B21-6448-4A0F-9E95-482FDA6C112C}"/>
    <cellStyle name="Heading 3 2 7 18" xfId="4032" xr:uid="{654E94AF-625C-4B4F-B6F9-C4F7AAF0D6D3}"/>
    <cellStyle name="Heading 3 2 7 18 2" xfId="4033" xr:uid="{655980F7-6BF4-461C-BB2F-F48006ED0001}"/>
    <cellStyle name="Heading 3 2 7 19" xfId="4034" xr:uid="{190B01DA-D6C6-42C1-8D3F-B9F19A8C6764}"/>
    <cellStyle name="Heading 3 2 7 2" xfId="4035" xr:uid="{9B0327AE-C756-4062-834F-175BD61275BA}"/>
    <cellStyle name="Heading 3 2 7 2 2" xfId="4036" xr:uid="{0C0BAAAA-BD00-4E73-A776-DA05908085FC}"/>
    <cellStyle name="Heading 3 2 7 2 2 2" xfId="4037" xr:uid="{B0179126-8B39-4459-AC00-1F9123BC1011}"/>
    <cellStyle name="Heading 3 2 7 2 3" xfId="4038" xr:uid="{73007547-DD5D-4B0A-96F2-B0B64768DDA8}"/>
    <cellStyle name="Heading 3 2 7 2 3 2" xfId="4039" xr:uid="{E2FEB5B3-F9F9-4476-AFE8-19DA9D31544E}"/>
    <cellStyle name="Heading 3 2 7 2 4" xfId="4040" xr:uid="{55A8E9B4-9A00-4EAE-A940-924491887939}"/>
    <cellStyle name="Heading 3 2 7 2 4 2" xfId="4041" xr:uid="{504B22E9-F49B-4ECB-84C1-92C8A407855E}"/>
    <cellStyle name="Heading 3 2 7 20" xfId="4042" xr:uid="{A814ADFE-7D7A-4592-9E00-38435604A3C2}"/>
    <cellStyle name="Heading 3 2 7 21" xfId="4043" xr:uid="{B97ECE8B-4D60-4526-847E-714C74C27B91}"/>
    <cellStyle name="Heading 3 2 7 22" xfId="4044" xr:uid="{ABBFF20E-9148-42B2-958D-4E9BE43D4E4A}"/>
    <cellStyle name="Heading 3 2 7 23" xfId="4045" xr:uid="{4D537967-FDF9-425A-8A7C-AAE0A17F9D3E}"/>
    <cellStyle name="Heading 3 2 7 24" xfId="4046" xr:uid="{57E75FC1-D689-48FE-97BB-1BF82C36E8A7}"/>
    <cellStyle name="Heading 3 2 7 25" xfId="4047" xr:uid="{D11F1A27-38AC-4DF0-9B44-03BC4E1F359C}"/>
    <cellStyle name="Heading 3 2 7 3" xfId="4048" xr:uid="{8E7E6A5B-B079-4182-A0B0-7C529EA537D8}"/>
    <cellStyle name="Heading 3 2 7 3 2" xfId="4049" xr:uid="{276D5A1D-04B3-4871-814E-3D222B9A35B4}"/>
    <cellStyle name="Heading 3 2 7 3 2 2" xfId="4050" xr:uid="{D57258B0-C358-4A3F-8CAC-8B3EFB801083}"/>
    <cellStyle name="Heading 3 2 7 3 3" xfId="4051" xr:uid="{3A9933E5-7720-4185-A1D6-188DFD18F168}"/>
    <cellStyle name="Heading 3 2 7 3 3 2" xfId="4052" xr:uid="{E5F52D20-A53E-4289-978C-9562F3BB1DAE}"/>
    <cellStyle name="Heading 3 2 7 3 4" xfId="4053" xr:uid="{55323B79-063A-44E7-B808-A7B161F58B54}"/>
    <cellStyle name="Heading 3 2 7 3 4 2" xfId="4054" xr:uid="{5EC93B16-6424-4984-B723-738C51796620}"/>
    <cellStyle name="Heading 3 2 7 4" xfId="4055" xr:uid="{7AE1E5C1-BA4F-4541-AA47-FAEE0151A197}"/>
    <cellStyle name="Heading 3 2 7 4 2" xfId="4056" xr:uid="{00485757-1A50-48DE-BF36-1192F4F0E217}"/>
    <cellStyle name="Heading 3 2 7 4 2 2" xfId="4057" xr:uid="{6169219A-1E42-4415-8168-FAA9E08313DC}"/>
    <cellStyle name="Heading 3 2 7 4 3" xfId="4058" xr:uid="{BA7C68A2-1833-4DAC-9392-A4E1BD6742F0}"/>
    <cellStyle name="Heading 3 2 7 4 3 2" xfId="4059" xr:uid="{8E16D4FB-34AB-4953-A25F-BB3A89BC519A}"/>
    <cellStyle name="Heading 3 2 7 4 4" xfId="4060" xr:uid="{ADAC8D84-7D88-4A52-83C0-D18F315ECEA3}"/>
    <cellStyle name="Heading 3 2 7 4 4 2" xfId="4061" xr:uid="{BBF40BFC-9070-4FA3-98A5-E304F6546E98}"/>
    <cellStyle name="Heading 3 2 7 5" xfId="4062" xr:uid="{21572759-115A-4E6E-B277-CE94BCF8C161}"/>
    <cellStyle name="Heading 3 2 7 5 2" xfId="4063" xr:uid="{9DA5FDA7-8828-459A-9ED2-F9FA95FBA77B}"/>
    <cellStyle name="Heading 3 2 7 5 2 2" xfId="4064" xr:uid="{2181CABA-7F35-4987-BEA1-3E58788FD130}"/>
    <cellStyle name="Heading 3 2 7 5 3" xfId="4065" xr:uid="{BF474E61-901E-4684-8FF2-3CF2D9EB39A0}"/>
    <cellStyle name="Heading 3 2 7 5 3 2" xfId="4066" xr:uid="{9162B065-738C-41D8-A781-9A8B96E68DA3}"/>
    <cellStyle name="Heading 3 2 7 5 4" xfId="4067" xr:uid="{C460A653-417A-4274-B947-525639F3885F}"/>
    <cellStyle name="Heading 3 2 7 5 4 2" xfId="4068" xr:uid="{3FC39764-9F4D-4637-9A2B-FF45DBCE6A04}"/>
    <cellStyle name="Heading 3 2 7 6" xfId="4069" xr:uid="{CDB3190A-D41C-4AD3-82F0-5730BAD7AFB2}"/>
    <cellStyle name="Heading 3 2 7 6 2" xfId="4070" xr:uid="{5C4CE262-209F-4E5A-BC02-526C9F7098D9}"/>
    <cellStyle name="Heading 3 2 7 6 2 2" xfId="4071" xr:uid="{8FC8E64A-E733-49DE-A9D1-D2F456B9CA7E}"/>
    <cellStyle name="Heading 3 2 7 6 3" xfId="4072" xr:uid="{565274A7-8D9C-4DEB-8F9F-6A1575F16A54}"/>
    <cellStyle name="Heading 3 2 7 6 3 2" xfId="4073" xr:uid="{37AA4CB0-3B4A-4AFD-8FF1-518F06959226}"/>
    <cellStyle name="Heading 3 2 7 6 4" xfId="4074" xr:uid="{5533B116-270F-4EB0-97B4-75E8E2A4C755}"/>
    <cellStyle name="Heading 3 2 7 6 4 2" xfId="4075" xr:uid="{F3A1891F-9CAE-4454-A961-C33160BFC3B2}"/>
    <cellStyle name="Heading 3 2 7 7" xfId="4076" xr:uid="{F6A09FBA-D058-4BDB-86B5-27967CDF6D86}"/>
    <cellStyle name="Heading 3 2 7 7 2" xfId="4077" xr:uid="{8AC26CF8-7DA2-4355-B3EC-790E54110FB9}"/>
    <cellStyle name="Heading 3 2 7 7 2 2" xfId="4078" xr:uid="{4724F3B0-9F0B-4696-B914-E2650A361B1D}"/>
    <cellStyle name="Heading 3 2 7 7 3" xfId="4079" xr:uid="{8595B9CE-DB97-4643-BD70-63D2BEE4439A}"/>
    <cellStyle name="Heading 3 2 7 7 3 2" xfId="4080" xr:uid="{28697F5F-4B69-45A6-92A4-D3F5CA67B04D}"/>
    <cellStyle name="Heading 3 2 7 7 4" xfId="4081" xr:uid="{D554451E-8AA1-4F98-A289-7A1B0F53CE11}"/>
    <cellStyle name="Heading 3 2 7 7 4 2" xfId="4082" xr:uid="{34C7E37E-0EE6-492F-BA36-671496611354}"/>
    <cellStyle name="Heading 3 2 7 8" xfId="4083" xr:uid="{C74A208E-784B-4A37-9660-AC1CCD0B6266}"/>
    <cellStyle name="Heading 3 2 7 8 2" xfId="4084" xr:uid="{0552BD82-1548-4A01-9E12-3F22E1674818}"/>
    <cellStyle name="Heading 3 2 7 8 2 2" xfId="4085" xr:uid="{83F0B670-FDA7-4E0A-BFCB-464FB2D4F4FC}"/>
    <cellStyle name="Heading 3 2 7 8 3" xfId="4086" xr:uid="{CA9EA520-401C-452A-A6AF-257B9AF991B5}"/>
    <cellStyle name="Heading 3 2 7 8 3 2" xfId="4087" xr:uid="{6F3B6972-F3ED-496F-A696-BCF1590E239D}"/>
    <cellStyle name="Heading 3 2 7 8 4" xfId="4088" xr:uid="{452F81BC-531A-4BB0-B0ED-E3DE43E8AA81}"/>
    <cellStyle name="Heading 3 2 7 8 4 2" xfId="4089" xr:uid="{5F49552B-9C73-4CCE-864D-738BC57AB12B}"/>
    <cellStyle name="Heading 3 2 7 9" xfId="4090" xr:uid="{3C04E634-035C-4572-8CEB-44DC97CE9731}"/>
    <cellStyle name="Heading 3 2 7 9 2" xfId="4091" xr:uid="{A905D483-B0A9-4B30-8181-E7865317C99A}"/>
    <cellStyle name="Heading 3 2 7 9 2 2" xfId="4092" xr:uid="{74D01A58-BA15-423E-8A3C-A17359328724}"/>
    <cellStyle name="Heading 3 2 7 9 3" xfId="4093" xr:uid="{83695C6C-3845-4399-BF99-1B6EBA9CDADB}"/>
    <cellStyle name="Heading 3 2 7 9 3 2" xfId="4094" xr:uid="{1010C927-A759-4B9B-AB31-BE49A83562C1}"/>
    <cellStyle name="Heading 3 2 7 9 4" xfId="4095" xr:uid="{B75905A8-3FD4-454B-9801-BE5C3647EAA6}"/>
    <cellStyle name="Heading 3 2 7 9 4 2" xfId="4096" xr:uid="{8CEC9B87-BCF9-484F-98CA-B6F9BD162237}"/>
    <cellStyle name="Heading 3 2 8" xfId="4097" xr:uid="{03733F98-02F5-4F69-974B-779FC1DCF54A}"/>
    <cellStyle name="Heading 3 2 8 10" xfId="4098" xr:uid="{EC4E4226-1D2E-451D-880F-3E2912707C99}"/>
    <cellStyle name="Heading 3 2 8 10 2" xfId="4099" xr:uid="{01D6C640-AEAB-40E1-BB46-B3375CD0802E}"/>
    <cellStyle name="Heading 3 2 8 10 2 2" xfId="4100" xr:uid="{FA379C6F-73F5-465E-89DB-8989A32B1EE0}"/>
    <cellStyle name="Heading 3 2 8 10 3" xfId="4101" xr:uid="{C80A23E0-F51B-4144-BD2D-49A9221A86EB}"/>
    <cellStyle name="Heading 3 2 8 10 3 2" xfId="4102" xr:uid="{06E6BEB0-912F-48AA-831E-7DC9B75594FA}"/>
    <cellStyle name="Heading 3 2 8 10 4" xfId="4103" xr:uid="{1C274700-57EF-45DC-A722-67E2B3DB4ABE}"/>
    <cellStyle name="Heading 3 2 8 10 4 2" xfId="4104" xr:uid="{02579976-4AFA-434B-B023-C1D9740BCDC9}"/>
    <cellStyle name="Heading 3 2 8 11" xfId="4105" xr:uid="{9737E090-7EA2-43B9-89F2-3D529006AD49}"/>
    <cellStyle name="Heading 3 2 8 11 2" xfId="4106" xr:uid="{62A3CEC5-EEA0-406B-8E39-7A9B2F8BB597}"/>
    <cellStyle name="Heading 3 2 8 11 2 2" xfId="4107" xr:uid="{C4D0FFF7-2722-4233-AC58-6EC56071D548}"/>
    <cellStyle name="Heading 3 2 8 11 3" xfId="4108" xr:uid="{AF1454DB-B63F-4ABA-9EAF-1A13558B9021}"/>
    <cellStyle name="Heading 3 2 8 11 3 2" xfId="4109" xr:uid="{45DB535F-EF49-4FAE-AC6B-60AFEDFC5518}"/>
    <cellStyle name="Heading 3 2 8 11 4" xfId="4110" xr:uid="{FA5B2DAC-E7AA-4432-ABEC-1D091ED2782C}"/>
    <cellStyle name="Heading 3 2 8 11 4 2" xfId="4111" xr:uid="{80DEB303-A426-4085-AA57-605EAA73AEB8}"/>
    <cellStyle name="Heading 3 2 8 12" xfId="4112" xr:uid="{34A4B769-B355-4F2F-A291-B105315D915F}"/>
    <cellStyle name="Heading 3 2 8 12 2" xfId="4113" xr:uid="{61E7D405-D969-476B-9973-7744A0485338}"/>
    <cellStyle name="Heading 3 2 8 12 2 2" xfId="4114" xr:uid="{886684C6-125D-482E-909E-A3C442DD6155}"/>
    <cellStyle name="Heading 3 2 8 12 3" xfId="4115" xr:uid="{B335CE47-0812-4CA8-A12D-5A3F709895B5}"/>
    <cellStyle name="Heading 3 2 8 12 3 2" xfId="4116" xr:uid="{CA591E8F-9598-48F4-8F83-C07D16020C35}"/>
    <cellStyle name="Heading 3 2 8 12 4" xfId="4117" xr:uid="{7FEC235B-99E4-415C-AD3B-FDFA79738F68}"/>
    <cellStyle name="Heading 3 2 8 12 4 2" xfId="4118" xr:uid="{E8015987-5DBD-41FA-BD43-C235237BF1D9}"/>
    <cellStyle name="Heading 3 2 8 13" xfId="4119" xr:uid="{6C442BBC-CD19-4E38-85E1-B6A8FB5F58BF}"/>
    <cellStyle name="Heading 3 2 8 13 2" xfId="4120" xr:uid="{A6EDFC74-14F8-483D-8DE8-0D4B52BDBB3F}"/>
    <cellStyle name="Heading 3 2 8 13 2 2" xfId="4121" xr:uid="{1840EE5D-7AF0-45B5-B617-18FA775AF5E8}"/>
    <cellStyle name="Heading 3 2 8 13 3" xfId="4122" xr:uid="{1F5E958F-DAAD-4570-AE2A-478A8BFE380D}"/>
    <cellStyle name="Heading 3 2 8 13 3 2" xfId="4123" xr:uid="{D6E372F1-01D3-47C2-91BE-2940DC12DD6E}"/>
    <cellStyle name="Heading 3 2 8 13 4" xfId="4124" xr:uid="{06B9D0DD-0FD7-4E49-9516-B8DB163AE25A}"/>
    <cellStyle name="Heading 3 2 8 13 4 2" xfId="4125" xr:uid="{9BCD3528-57D1-43FD-B524-295B1A82C89C}"/>
    <cellStyle name="Heading 3 2 8 14" xfId="4126" xr:uid="{0BDBE0A5-57E4-4B20-B00D-FA0A513B262D}"/>
    <cellStyle name="Heading 3 2 8 14 2" xfId="4127" xr:uid="{4BFF1899-26DC-446A-A8CE-56A38EE97069}"/>
    <cellStyle name="Heading 3 2 8 14 2 2" xfId="4128" xr:uid="{4D3E29B6-510C-4085-ACE4-A55D7AF63EEE}"/>
    <cellStyle name="Heading 3 2 8 14 3" xfId="4129" xr:uid="{D47009D8-08E6-4495-B789-A04BAED9164F}"/>
    <cellStyle name="Heading 3 2 8 14 3 2" xfId="4130" xr:uid="{D2571670-0BB8-4BC8-A6A2-3FBD06A5AB7E}"/>
    <cellStyle name="Heading 3 2 8 14 4" xfId="4131" xr:uid="{93727452-8DED-42A6-A417-590B861B6CF2}"/>
    <cellStyle name="Heading 3 2 8 14 4 2" xfId="4132" xr:uid="{F729B052-1C8D-455A-ABBE-3E1BED4EB75A}"/>
    <cellStyle name="Heading 3 2 8 15" xfId="4133" xr:uid="{09851B82-10D2-4DA0-BC4A-BA533A31D65D}"/>
    <cellStyle name="Heading 3 2 8 15 2" xfId="4134" xr:uid="{458B77E9-B71E-4665-A822-271F036CA2C9}"/>
    <cellStyle name="Heading 3 2 8 15 2 2" xfId="4135" xr:uid="{7AE865E8-2E7D-449C-8F54-55889043D00C}"/>
    <cellStyle name="Heading 3 2 8 15 3" xfId="4136" xr:uid="{2B47FA04-3292-47C9-9319-BBCB6AD93E0E}"/>
    <cellStyle name="Heading 3 2 8 15 3 2" xfId="4137" xr:uid="{60ABD6E7-E01F-4E99-AB95-2D09BD9EED05}"/>
    <cellStyle name="Heading 3 2 8 15 4" xfId="4138" xr:uid="{C2172CD2-AA51-4313-82EA-C2E07A0A7A10}"/>
    <cellStyle name="Heading 3 2 8 15 4 2" xfId="4139" xr:uid="{70416658-E52E-4E64-9DE1-6C692C1D42A2}"/>
    <cellStyle name="Heading 3 2 8 16" xfId="4140" xr:uid="{53352A22-61A8-4B18-99E4-E1A7CACFF728}"/>
    <cellStyle name="Heading 3 2 8 16 2" xfId="4141" xr:uid="{DF5AC88B-69FC-40CE-8621-C409926CC317}"/>
    <cellStyle name="Heading 3 2 8 17" xfId="4142" xr:uid="{3D745679-15A4-463A-9CDC-0602C50909B5}"/>
    <cellStyle name="Heading 3 2 8 17 2" xfId="4143" xr:uid="{AF95077E-200D-4653-992E-99E97F23A423}"/>
    <cellStyle name="Heading 3 2 8 18" xfId="4144" xr:uid="{A370E53C-642D-47C8-84E9-F645329C1132}"/>
    <cellStyle name="Heading 3 2 8 18 2" xfId="4145" xr:uid="{5240F707-710B-4E34-B722-E9EC7D153359}"/>
    <cellStyle name="Heading 3 2 8 19" xfId="4146" xr:uid="{B4421A07-1AEB-46CC-AFB4-41DCC838F2D6}"/>
    <cellStyle name="Heading 3 2 8 2" xfId="4147" xr:uid="{72CFF463-2990-4F7F-B4DB-9F2EF7DB7950}"/>
    <cellStyle name="Heading 3 2 8 2 2" xfId="4148" xr:uid="{C10896FD-39A8-4C6C-957A-6BF05D8FB84E}"/>
    <cellStyle name="Heading 3 2 8 2 2 2" xfId="4149" xr:uid="{26BCD03B-133D-4465-B8EB-241A62EB15D9}"/>
    <cellStyle name="Heading 3 2 8 2 3" xfId="4150" xr:uid="{9EE5B58C-9B4E-43E0-B954-51F26F32DA6E}"/>
    <cellStyle name="Heading 3 2 8 2 3 2" xfId="4151" xr:uid="{C42E0D5D-0036-4FBE-981D-FF951C79F86C}"/>
    <cellStyle name="Heading 3 2 8 2 4" xfId="4152" xr:uid="{9646F7E6-80E8-49C7-BC21-FD034049B2AC}"/>
    <cellStyle name="Heading 3 2 8 2 4 2" xfId="4153" xr:uid="{49FF600D-EDF4-4A7C-B297-87AC11F2F530}"/>
    <cellStyle name="Heading 3 2 8 20" xfId="4154" xr:uid="{C0032E8C-441F-4576-93FB-F1FF799E5B20}"/>
    <cellStyle name="Heading 3 2 8 21" xfId="4155" xr:uid="{D266FE90-836B-43E1-A5A1-1A0558D82230}"/>
    <cellStyle name="Heading 3 2 8 22" xfId="4156" xr:uid="{E75AC727-F416-4FF3-B90D-59448E3872AE}"/>
    <cellStyle name="Heading 3 2 8 23" xfId="4157" xr:uid="{B7D1DC7A-AC84-4C4E-9EE3-7F4584919D6D}"/>
    <cellStyle name="Heading 3 2 8 24" xfId="4158" xr:uid="{3A3351D8-5613-4819-9838-E164FD2494F8}"/>
    <cellStyle name="Heading 3 2 8 25" xfId="4159" xr:uid="{7A2C48DD-3E58-418F-A854-92E09D0BAD86}"/>
    <cellStyle name="Heading 3 2 8 3" xfId="4160" xr:uid="{72FEAAB7-2E25-45F8-AC33-424FFD640208}"/>
    <cellStyle name="Heading 3 2 8 3 2" xfId="4161" xr:uid="{B8997AE5-62EE-4705-A540-045D02739A2A}"/>
    <cellStyle name="Heading 3 2 8 3 2 2" xfId="4162" xr:uid="{AB48AEE6-2065-4334-AEFA-CC7CCEF8501E}"/>
    <cellStyle name="Heading 3 2 8 3 3" xfId="4163" xr:uid="{2D8F3F3D-CA3F-46A2-868B-7CCC34CB9067}"/>
    <cellStyle name="Heading 3 2 8 3 3 2" xfId="4164" xr:uid="{30D7281A-B1C7-4775-9105-B21560D59C9C}"/>
    <cellStyle name="Heading 3 2 8 3 4" xfId="4165" xr:uid="{10AFA59E-37A6-4FDE-95C5-EA3AA24187B4}"/>
    <cellStyle name="Heading 3 2 8 3 4 2" xfId="4166" xr:uid="{DC5672F4-9BC1-4B29-AA21-47565F0731EA}"/>
    <cellStyle name="Heading 3 2 8 4" xfId="4167" xr:uid="{25BFF79A-ED72-40DC-8A96-3A8F1755E26E}"/>
    <cellStyle name="Heading 3 2 8 4 2" xfId="4168" xr:uid="{934EC4EE-9B68-43D7-9BEE-2161240F1E88}"/>
    <cellStyle name="Heading 3 2 8 4 2 2" xfId="4169" xr:uid="{B9E5FD4C-328D-439F-BA98-4CA8027359CC}"/>
    <cellStyle name="Heading 3 2 8 4 3" xfId="4170" xr:uid="{27D626DA-152A-481D-83AF-20C6F97FE4F0}"/>
    <cellStyle name="Heading 3 2 8 4 3 2" xfId="4171" xr:uid="{4D43F68F-F455-4C85-944D-A394F8F9205C}"/>
    <cellStyle name="Heading 3 2 8 4 4" xfId="4172" xr:uid="{B209399D-DCA2-48B8-867F-73A8DFD1A5EA}"/>
    <cellStyle name="Heading 3 2 8 4 4 2" xfId="4173" xr:uid="{5BC15D06-BC06-42F8-8812-2CD0AC747975}"/>
    <cellStyle name="Heading 3 2 8 5" xfId="4174" xr:uid="{81B82EEE-9557-47EA-8A32-473CE024545B}"/>
    <cellStyle name="Heading 3 2 8 5 2" xfId="4175" xr:uid="{ED8E6DBF-FFF2-49C7-9746-1C6994BBC7DB}"/>
    <cellStyle name="Heading 3 2 8 5 2 2" xfId="4176" xr:uid="{B8677586-A706-4A75-BD7D-CDBD8D994C4E}"/>
    <cellStyle name="Heading 3 2 8 5 3" xfId="4177" xr:uid="{5B9C3075-6CB9-479B-AE1A-A253204EBEEA}"/>
    <cellStyle name="Heading 3 2 8 5 3 2" xfId="4178" xr:uid="{83CD4850-C739-4787-B382-8138A9A7B359}"/>
    <cellStyle name="Heading 3 2 8 5 4" xfId="4179" xr:uid="{F9C219AD-2236-4013-B9A4-556F0FE8D5C3}"/>
    <cellStyle name="Heading 3 2 8 5 4 2" xfId="4180" xr:uid="{2DE48AE7-1C4E-4EDD-8E88-40DB66F10B7D}"/>
    <cellStyle name="Heading 3 2 8 6" xfId="4181" xr:uid="{D071D987-7BBD-4A9E-A33F-83EB2A3012DF}"/>
    <cellStyle name="Heading 3 2 8 6 2" xfId="4182" xr:uid="{D42F788C-3209-461F-8405-B88D7BF4C15A}"/>
    <cellStyle name="Heading 3 2 8 6 2 2" xfId="4183" xr:uid="{3508B75D-93F0-4A41-82B0-BCDE9BAFEF59}"/>
    <cellStyle name="Heading 3 2 8 6 3" xfId="4184" xr:uid="{27F612E7-BB07-4A24-91FD-52FDE32EB047}"/>
    <cellStyle name="Heading 3 2 8 6 3 2" xfId="4185" xr:uid="{F77ACE41-005D-44F3-B4FC-163D36AE0C67}"/>
    <cellStyle name="Heading 3 2 8 6 4" xfId="4186" xr:uid="{3529B5F9-83A2-4596-BCD9-2C617A0CF72D}"/>
    <cellStyle name="Heading 3 2 8 6 4 2" xfId="4187" xr:uid="{2EA83C61-F6F1-4C1E-B3B5-2FFC9A8A7EF5}"/>
    <cellStyle name="Heading 3 2 8 7" xfId="4188" xr:uid="{6F2E33DA-8D46-495D-8CB7-D881F5B81D01}"/>
    <cellStyle name="Heading 3 2 8 7 2" xfId="4189" xr:uid="{28EB2018-E56D-4DD1-A975-9B61FA677FDE}"/>
    <cellStyle name="Heading 3 2 8 7 2 2" xfId="4190" xr:uid="{2C554E76-0FC0-4D40-94E6-44533A94E2FD}"/>
    <cellStyle name="Heading 3 2 8 7 3" xfId="4191" xr:uid="{643ECF0C-5CAF-40FD-BDE7-274EF99C84E8}"/>
    <cellStyle name="Heading 3 2 8 7 3 2" xfId="4192" xr:uid="{BA3FAB07-E334-4C0B-99D2-3B7683FF75C2}"/>
    <cellStyle name="Heading 3 2 8 7 4" xfId="4193" xr:uid="{B127BC5C-D2AD-4229-8613-3C50CC9D2B1F}"/>
    <cellStyle name="Heading 3 2 8 7 4 2" xfId="4194" xr:uid="{7B00B7AE-B9AD-466A-BD80-80F88F5EE3CA}"/>
    <cellStyle name="Heading 3 2 8 8" xfId="4195" xr:uid="{3CA23CFB-AD6B-4969-A658-2C8E836908E3}"/>
    <cellStyle name="Heading 3 2 8 8 2" xfId="4196" xr:uid="{E5DDA44C-FB7C-4BD6-9B76-322537AFCC55}"/>
    <cellStyle name="Heading 3 2 8 8 2 2" xfId="4197" xr:uid="{20959AA5-5AA7-4E87-B159-E50B65F80C0B}"/>
    <cellStyle name="Heading 3 2 8 8 3" xfId="4198" xr:uid="{940D058E-C526-496A-8A51-306CAAA6C54A}"/>
    <cellStyle name="Heading 3 2 8 8 3 2" xfId="4199" xr:uid="{D338ADC0-4B88-4F6B-9151-CA7A7EA1C503}"/>
    <cellStyle name="Heading 3 2 8 8 4" xfId="4200" xr:uid="{71E47822-47A5-43E5-94E0-1D270EEB7B37}"/>
    <cellStyle name="Heading 3 2 8 8 4 2" xfId="4201" xr:uid="{B042BC53-2802-4CB7-9479-7477422EA581}"/>
    <cellStyle name="Heading 3 2 8 9" xfId="4202" xr:uid="{C52215D8-160B-461A-B6D3-14C7F1E1F1D2}"/>
    <cellStyle name="Heading 3 2 8 9 2" xfId="4203" xr:uid="{24C8A943-E31A-492E-834B-72A01DCA44EE}"/>
    <cellStyle name="Heading 3 2 8 9 2 2" xfId="4204" xr:uid="{71A8A511-C4E4-4555-B97B-A982F71EBB31}"/>
    <cellStyle name="Heading 3 2 8 9 3" xfId="4205" xr:uid="{8976C1EA-707B-46DE-B82F-6F85297B2827}"/>
    <cellStyle name="Heading 3 2 8 9 3 2" xfId="4206" xr:uid="{7C872540-DFED-4D48-B866-479890FCEF78}"/>
    <cellStyle name="Heading 3 2 8 9 4" xfId="4207" xr:uid="{F1A2FE31-5973-48F3-A0A4-4C7B0C082055}"/>
    <cellStyle name="Heading 3 2 8 9 4 2" xfId="4208" xr:uid="{450BB0D3-9C48-46AC-83B7-834E6E970B95}"/>
    <cellStyle name="Heading 3 2 9" xfId="4209" xr:uid="{5AEA185D-3AAA-4C09-A3F1-713EFAE86576}"/>
    <cellStyle name="Heading 3 2 9 10" xfId="4210" xr:uid="{4965C9B4-B274-48CC-9118-DCCFFCC05655}"/>
    <cellStyle name="Heading 3 2 9 10 2" xfId="4211" xr:uid="{35115B55-E3EA-4A10-ACFF-8648A4CFEB13}"/>
    <cellStyle name="Heading 3 2 9 10 2 2" xfId="4212" xr:uid="{B8D97782-FDBE-4BD1-88FB-F091DFA96E95}"/>
    <cellStyle name="Heading 3 2 9 10 3" xfId="4213" xr:uid="{58F8BF87-30A4-41D7-B581-3C6AB9F0FE4B}"/>
    <cellStyle name="Heading 3 2 9 10 3 2" xfId="4214" xr:uid="{DFF04C58-9750-4898-9AB2-D43D3C653BD9}"/>
    <cellStyle name="Heading 3 2 9 10 4" xfId="4215" xr:uid="{8EE0222F-3031-4CB9-B1CF-185B0329ECE9}"/>
    <cellStyle name="Heading 3 2 9 10 4 2" xfId="4216" xr:uid="{E54F9548-6E04-4144-827A-693C5EA29B0B}"/>
    <cellStyle name="Heading 3 2 9 11" xfId="4217" xr:uid="{86C3FBA7-CA9D-4A56-854F-12208829908A}"/>
    <cellStyle name="Heading 3 2 9 11 2" xfId="4218" xr:uid="{204B50F2-CC21-4922-952A-97E056396C8B}"/>
    <cellStyle name="Heading 3 2 9 11 2 2" xfId="4219" xr:uid="{B18F5207-B41E-4E4E-99AA-39E43156C13E}"/>
    <cellStyle name="Heading 3 2 9 11 3" xfId="4220" xr:uid="{7894CAD1-AA13-4F49-B846-E1BE49523025}"/>
    <cellStyle name="Heading 3 2 9 11 3 2" xfId="4221" xr:uid="{30CEE9A3-9189-4250-9E38-4EEAA99FB5E8}"/>
    <cellStyle name="Heading 3 2 9 11 4" xfId="4222" xr:uid="{D5E7F087-4E74-45BE-A676-E08B24CDA915}"/>
    <cellStyle name="Heading 3 2 9 11 4 2" xfId="4223" xr:uid="{2269EA5C-69BA-405F-B276-263FABF9F2B7}"/>
    <cellStyle name="Heading 3 2 9 12" xfId="4224" xr:uid="{9A2B8825-4E28-49CB-9DB7-4BCA8D4BAB4C}"/>
    <cellStyle name="Heading 3 2 9 12 2" xfId="4225" xr:uid="{87B5B5E3-337F-452D-A700-25D93C2E1CE8}"/>
    <cellStyle name="Heading 3 2 9 12 2 2" xfId="4226" xr:uid="{A6374D2E-8BEA-4658-A1AD-91156C11DFFA}"/>
    <cellStyle name="Heading 3 2 9 12 3" xfId="4227" xr:uid="{29CD5D06-06F1-41F3-8BAF-7E4C5F23CCF3}"/>
    <cellStyle name="Heading 3 2 9 12 3 2" xfId="4228" xr:uid="{A6D667DE-DA6B-4AC6-9915-7395C6D948AE}"/>
    <cellStyle name="Heading 3 2 9 12 4" xfId="4229" xr:uid="{778D100A-1C88-4730-B4F2-C2E9E70C27A1}"/>
    <cellStyle name="Heading 3 2 9 12 4 2" xfId="4230" xr:uid="{6ABBCAB2-BE20-4EE1-80A2-196ACF625C4F}"/>
    <cellStyle name="Heading 3 2 9 13" xfId="4231" xr:uid="{DA60CDC8-0F83-4F3E-B1C8-5AE42E189C1E}"/>
    <cellStyle name="Heading 3 2 9 13 2" xfId="4232" xr:uid="{D3AC4819-BA92-400F-9A64-5C71CF434A62}"/>
    <cellStyle name="Heading 3 2 9 13 2 2" xfId="4233" xr:uid="{ED99AE99-F9CD-4989-9634-B93E316C58E3}"/>
    <cellStyle name="Heading 3 2 9 13 3" xfId="4234" xr:uid="{4CD2D93B-5E11-4786-A821-BAFCBEA8073E}"/>
    <cellStyle name="Heading 3 2 9 13 3 2" xfId="4235" xr:uid="{580938F7-8A80-4FD4-9545-2CA7F1F864B6}"/>
    <cellStyle name="Heading 3 2 9 13 4" xfId="4236" xr:uid="{27464506-6637-48ED-B8D2-68816F8F5928}"/>
    <cellStyle name="Heading 3 2 9 13 4 2" xfId="4237" xr:uid="{02821606-F277-44FE-A71C-68E6A83672C2}"/>
    <cellStyle name="Heading 3 2 9 14" xfId="4238" xr:uid="{C889CC0C-84DC-45E8-B8FE-269236E9BFA4}"/>
    <cellStyle name="Heading 3 2 9 14 2" xfId="4239" xr:uid="{76179383-06B9-48C2-AFDE-192C70DDA8C4}"/>
    <cellStyle name="Heading 3 2 9 14 2 2" xfId="4240" xr:uid="{F30EBD5C-0654-43AD-BEE1-55CA19A6F48B}"/>
    <cellStyle name="Heading 3 2 9 14 3" xfId="4241" xr:uid="{D7D20535-6903-442E-9C01-2A4710C9EBC1}"/>
    <cellStyle name="Heading 3 2 9 14 3 2" xfId="4242" xr:uid="{15E0F4A1-65FD-4F63-A15D-E1752DB4B832}"/>
    <cellStyle name="Heading 3 2 9 14 4" xfId="4243" xr:uid="{298736DA-9E40-48B2-9A19-82FFD45B2A09}"/>
    <cellStyle name="Heading 3 2 9 14 4 2" xfId="4244" xr:uid="{92914449-A086-4F48-A55A-FCD7003B80FB}"/>
    <cellStyle name="Heading 3 2 9 15" xfId="4245" xr:uid="{477F6152-8AA9-45E3-9991-5BDDEA79F098}"/>
    <cellStyle name="Heading 3 2 9 15 2" xfId="4246" xr:uid="{E2EDDA46-AC89-4F0E-B672-7661F2CB31DA}"/>
    <cellStyle name="Heading 3 2 9 15 2 2" xfId="4247" xr:uid="{66081FB0-A9E4-4A9B-9345-C0C60DF6F644}"/>
    <cellStyle name="Heading 3 2 9 15 3" xfId="4248" xr:uid="{B5916E35-2499-49ED-8C89-FEBD922E662E}"/>
    <cellStyle name="Heading 3 2 9 15 3 2" xfId="4249" xr:uid="{5379A3B9-CFCB-46B9-8E55-9EF57F727B87}"/>
    <cellStyle name="Heading 3 2 9 15 4" xfId="4250" xr:uid="{0F2D8780-F22F-40F7-B675-0FECAC697BB5}"/>
    <cellStyle name="Heading 3 2 9 15 4 2" xfId="4251" xr:uid="{392F820E-489E-42F9-B9A7-8E2858E4E9FC}"/>
    <cellStyle name="Heading 3 2 9 16" xfId="4252" xr:uid="{66CD65F7-C42E-4778-A4B0-FF98623D7469}"/>
    <cellStyle name="Heading 3 2 9 16 2" xfId="4253" xr:uid="{F6872513-0E7C-4A64-9F20-DEF9FC19327A}"/>
    <cellStyle name="Heading 3 2 9 17" xfId="4254" xr:uid="{58DAB82E-EA0A-49E3-BEF9-4CDA02A8E43B}"/>
    <cellStyle name="Heading 3 2 9 17 2" xfId="4255" xr:uid="{E705F1F1-C9D2-4D83-80E6-03391EBFF7DB}"/>
    <cellStyle name="Heading 3 2 9 18" xfId="4256" xr:uid="{AC7AF59D-EA5F-41DE-B87A-46B90E82FC16}"/>
    <cellStyle name="Heading 3 2 9 18 2" xfId="4257" xr:uid="{6AF34543-DEBF-4B78-98E8-BF0AAA5F57C5}"/>
    <cellStyle name="Heading 3 2 9 19" xfId="4258" xr:uid="{870D4025-D431-4087-8E73-E3BEF8849471}"/>
    <cellStyle name="Heading 3 2 9 2" xfId="4259" xr:uid="{63A1E354-5FCD-44E5-A53F-7553DA0D8ABB}"/>
    <cellStyle name="Heading 3 2 9 2 2" xfId="4260" xr:uid="{17FCEF92-26BC-4B65-91E1-7551E5B0020C}"/>
    <cellStyle name="Heading 3 2 9 2 2 2" xfId="4261" xr:uid="{27FEC799-B417-4FB8-AE81-8A3D6714DAE7}"/>
    <cellStyle name="Heading 3 2 9 2 3" xfId="4262" xr:uid="{7AA33A00-487A-464B-B586-CF4CE55585E0}"/>
    <cellStyle name="Heading 3 2 9 2 3 2" xfId="4263" xr:uid="{39265A32-9BAF-4081-9955-E83EB88613EB}"/>
    <cellStyle name="Heading 3 2 9 2 4" xfId="4264" xr:uid="{9C6AB84A-1E7A-49C1-8B81-2B7CF0FA754E}"/>
    <cellStyle name="Heading 3 2 9 2 4 2" xfId="4265" xr:uid="{DA3D3899-99F7-4B95-AA30-6CFD235F0705}"/>
    <cellStyle name="Heading 3 2 9 20" xfId="4266" xr:uid="{39DFA7A2-4F2D-4065-B6A6-97B5C8785B90}"/>
    <cellStyle name="Heading 3 2 9 21" xfId="4267" xr:uid="{ECA670D5-3EF8-431E-B5EF-2032AC962D72}"/>
    <cellStyle name="Heading 3 2 9 22" xfId="4268" xr:uid="{C85C3B38-9DD3-4377-B30F-BFDE9DCFBDD3}"/>
    <cellStyle name="Heading 3 2 9 23" xfId="4269" xr:uid="{1810702F-652B-4170-8123-BBBDD0902388}"/>
    <cellStyle name="Heading 3 2 9 24" xfId="4270" xr:uid="{BD61B7FA-130C-404C-A326-9D20CF7C8D5C}"/>
    <cellStyle name="Heading 3 2 9 25" xfId="4271" xr:uid="{16F3AAD5-B6C7-4942-ACC0-CD7FF8C3E935}"/>
    <cellStyle name="Heading 3 2 9 3" xfId="4272" xr:uid="{97E090C1-B25E-47DC-9657-E9E224634861}"/>
    <cellStyle name="Heading 3 2 9 3 2" xfId="4273" xr:uid="{6313FD23-F841-4C71-93A8-184A2D272B16}"/>
    <cellStyle name="Heading 3 2 9 3 2 2" xfId="4274" xr:uid="{CD20C221-2962-4D5B-B634-F7CDB3C3CB9A}"/>
    <cellStyle name="Heading 3 2 9 3 3" xfId="4275" xr:uid="{D5F33F83-1669-4F2E-AEE1-EB0B8290C357}"/>
    <cellStyle name="Heading 3 2 9 3 3 2" xfId="4276" xr:uid="{0E89D1B7-426E-4330-86FD-057393381F50}"/>
    <cellStyle name="Heading 3 2 9 3 4" xfId="4277" xr:uid="{A01BA152-D3EB-4EF6-83BD-C7BDF94A478F}"/>
    <cellStyle name="Heading 3 2 9 3 4 2" xfId="4278" xr:uid="{D41DE2E1-819E-40D8-B759-F3D643B04CA7}"/>
    <cellStyle name="Heading 3 2 9 4" xfId="4279" xr:uid="{B594E6F3-A51E-480C-9003-6BC7AA1525D3}"/>
    <cellStyle name="Heading 3 2 9 4 2" xfId="4280" xr:uid="{14412407-BF9D-4C89-A8FB-DBC03F980709}"/>
    <cellStyle name="Heading 3 2 9 4 2 2" xfId="4281" xr:uid="{2D38022E-9B4D-41EE-A9F5-449116437924}"/>
    <cellStyle name="Heading 3 2 9 4 3" xfId="4282" xr:uid="{71D61BB8-19D9-47E6-A183-F2DB91E304EE}"/>
    <cellStyle name="Heading 3 2 9 4 3 2" xfId="4283" xr:uid="{330B6045-B7C2-455E-8AF0-C490A07A3D59}"/>
    <cellStyle name="Heading 3 2 9 4 4" xfId="4284" xr:uid="{85D600CD-3E76-427E-BDB7-E5085C569ECE}"/>
    <cellStyle name="Heading 3 2 9 4 4 2" xfId="4285" xr:uid="{922A3355-03A6-4D54-8539-91379EC479EA}"/>
    <cellStyle name="Heading 3 2 9 5" xfId="4286" xr:uid="{4ACA4BB5-3BB4-48FF-8164-A52F824E6FEB}"/>
    <cellStyle name="Heading 3 2 9 5 2" xfId="4287" xr:uid="{23AAF244-FBC8-4BE8-96AF-D6576419C297}"/>
    <cellStyle name="Heading 3 2 9 5 2 2" xfId="4288" xr:uid="{CEEAC419-91DC-42B2-99F2-57BE1695D4F1}"/>
    <cellStyle name="Heading 3 2 9 5 3" xfId="4289" xr:uid="{936A1C29-8F27-4954-85EB-E87DB250050B}"/>
    <cellStyle name="Heading 3 2 9 5 3 2" xfId="4290" xr:uid="{2B56C591-08F5-4569-9CC4-3E4C0EBF21DC}"/>
    <cellStyle name="Heading 3 2 9 5 4" xfId="4291" xr:uid="{1BE83760-2549-41C7-91B7-0C8DC64741CC}"/>
    <cellStyle name="Heading 3 2 9 5 4 2" xfId="4292" xr:uid="{9A0D123D-E0D3-4DC7-9E3B-57859DD8F85A}"/>
    <cellStyle name="Heading 3 2 9 6" xfId="4293" xr:uid="{F9127B1E-64E2-4B9C-8D18-C51817B1CD30}"/>
    <cellStyle name="Heading 3 2 9 6 2" xfId="4294" xr:uid="{89FDE661-CF8E-4102-BA28-9789A23549B5}"/>
    <cellStyle name="Heading 3 2 9 6 2 2" xfId="4295" xr:uid="{11FFFE0E-BB7D-4F91-A9A0-10213880F9BB}"/>
    <cellStyle name="Heading 3 2 9 6 3" xfId="4296" xr:uid="{4D633BCD-65D5-4BF8-A13A-764BBA927899}"/>
    <cellStyle name="Heading 3 2 9 6 3 2" xfId="4297" xr:uid="{B938B3BB-3EBF-4312-84D9-43C17D3E850B}"/>
    <cellStyle name="Heading 3 2 9 6 4" xfId="4298" xr:uid="{A7059BEE-B1BE-42BF-9251-D1492AE778F2}"/>
    <cellStyle name="Heading 3 2 9 6 4 2" xfId="4299" xr:uid="{1B92E44C-369B-486E-826B-A8F36F8D4861}"/>
    <cellStyle name="Heading 3 2 9 7" xfId="4300" xr:uid="{7F96960A-487B-4534-BD42-6E5FC70C4B03}"/>
    <cellStyle name="Heading 3 2 9 7 2" xfId="4301" xr:uid="{F9C93CAA-B2B7-4831-A6A4-5A33C9924B87}"/>
    <cellStyle name="Heading 3 2 9 7 2 2" xfId="4302" xr:uid="{BF457240-C083-4435-A23B-66EF16F61A63}"/>
    <cellStyle name="Heading 3 2 9 7 3" xfId="4303" xr:uid="{CBBE613F-5D9A-4512-AB36-5A939519145C}"/>
    <cellStyle name="Heading 3 2 9 7 3 2" xfId="4304" xr:uid="{B56FE2F8-F0CA-42F2-B684-FE2FEDDF03A2}"/>
    <cellStyle name="Heading 3 2 9 7 4" xfId="4305" xr:uid="{1CCC4DDA-2319-4EA1-B3A4-58B74ACE3E21}"/>
    <cellStyle name="Heading 3 2 9 7 4 2" xfId="4306" xr:uid="{6AAF3542-F613-4E56-89A3-A94A34DC349E}"/>
    <cellStyle name="Heading 3 2 9 8" xfId="4307" xr:uid="{181DF900-8E2B-43D1-A36C-9EF06CE4D1CF}"/>
    <cellStyle name="Heading 3 2 9 8 2" xfId="4308" xr:uid="{7ACCE16D-64B2-49F2-8A40-EFA250A2ACFF}"/>
    <cellStyle name="Heading 3 2 9 8 2 2" xfId="4309" xr:uid="{A3D101A5-079E-4EB0-B6F9-6F30425645FD}"/>
    <cellStyle name="Heading 3 2 9 8 3" xfId="4310" xr:uid="{1B037B37-E319-411B-AB5C-A79EBD939768}"/>
    <cellStyle name="Heading 3 2 9 8 3 2" xfId="4311" xr:uid="{F9906AAD-6721-4E30-B69A-7A547B341A17}"/>
    <cellStyle name="Heading 3 2 9 8 4" xfId="4312" xr:uid="{2273AB27-1638-4BC6-BEC9-5632AACE5DC1}"/>
    <cellStyle name="Heading 3 2 9 8 4 2" xfId="4313" xr:uid="{6EEB4C11-78BC-4CEE-B3D5-06E4F9655A62}"/>
    <cellStyle name="Heading 3 2 9 9" xfId="4314" xr:uid="{FCA042F1-8297-45B8-A317-78E7D638F44B}"/>
    <cellStyle name="Heading 3 2 9 9 2" xfId="4315" xr:uid="{3CC7A4D5-F01C-4B23-B0E7-B5C27FAB312A}"/>
    <cellStyle name="Heading 3 2 9 9 2 2" xfId="4316" xr:uid="{E0A22E7E-9DBA-4DF3-B848-C16D4021AA3C}"/>
    <cellStyle name="Heading 3 2 9 9 3" xfId="4317" xr:uid="{3C854612-127D-4908-B698-919683D7D2E3}"/>
    <cellStyle name="Heading 3 2 9 9 3 2" xfId="4318" xr:uid="{924378A1-9BFF-4D67-85D5-DB855FE83F11}"/>
    <cellStyle name="Heading 3 2 9 9 4" xfId="4319" xr:uid="{75598C48-754F-4FE1-BF48-A957783EB160}"/>
    <cellStyle name="Heading 3 2 9 9 4 2" xfId="4320" xr:uid="{01ADB1DF-6248-44EE-8DB3-29B751675B28}"/>
    <cellStyle name="Heading 3 3" xfId="4321" xr:uid="{5BD893F8-7E09-46D4-A9A5-5887F7F3E9D8}"/>
    <cellStyle name="Heading 3 3 10" xfId="4322" xr:uid="{8D50BCB3-4C51-493C-B0C2-1AED90CF4380}"/>
    <cellStyle name="Heading 3 3 10 2" xfId="4323" xr:uid="{60B3319C-DA8A-42E0-B692-345C706AE936}"/>
    <cellStyle name="Heading 3 3 10 2 2" xfId="4324" xr:uid="{B3A15894-2315-4251-A574-1C7886ED8D3E}"/>
    <cellStyle name="Heading 3 3 10 3" xfId="4325" xr:uid="{8FD66324-F8CD-4CB1-917D-325D4E68B598}"/>
    <cellStyle name="Heading 3 3 10 3 2" xfId="4326" xr:uid="{299AA01F-CC72-4B27-99D4-6F2081F664C4}"/>
    <cellStyle name="Heading 3 3 10 4" xfId="4327" xr:uid="{951A4C0E-B6FD-4CE2-88E2-3554248AC55B}"/>
    <cellStyle name="Heading 3 3 10 4 2" xfId="4328" xr:uid="{6C1CE9E4-1B41-45DF-9063-E5CFABB5AF3E}"/>
    <cellStyle name="Heading 3 3 11" xfId="4329" xr:uid="{A6A8230B-2CBA-4D6A-9582-97C277C481F1}"/>
    <cellStyle name="Heading 3 3 11 2" xfId="4330" xr:uid="{4CEEA009-91EA-4F3A-86CE-74A1BB29E029}"/>
    <cellStyle name="Heading 3 3 11 2 2" xfId="4331" xr:uid="{6116D813-23A3-4B6E-830E-7FEE3B9F4417}"/>
    <cellStyle name="Heading 3 3 11 3" xfId="4332" xr:uid="{AC97B3FD-0D2C-4197-8912-9362CC77A87E}"/>
    <cellStyle name="Heading 3 3 11 3 2" xfId="4333" xr:uid="{DE594026-4D59-4675-AA14-65232532E47D}"/>
    <cellStyle name="Heading 3 3 11 4" xfId="4334" xr:uid="{B8B2B0AC-2592-4D9F-9D10-EB0A880AFDA3}"/>
    <cellStyle name="Heading 3 3 11 4 2" xfId="4335" xr:uid="{6F574F45-F70C-4974-97CC-844558183640}"/>
    <cellStyle name="Heading 3 3 12" xfId="4336" xr:uid="{0012540A-A01B-4039-B41C-9484677C5085}"/>
    <cellStyle name="Heading 3 3 12 2" xfId="4337" xr:uid="{5E231511-DE1E-422D-86AC-1BAD6154E2B8}"/>
    <cellStyle name="Heading 3 3 12 2 2" xfId="4338" xr:uid="{CCE4077A-AD80-4309-BC16-E67C40D23878}"/>
    <cellStyle name="Heading 3 3 12 3" xfId="4339" xr:uid="{C8C94356-32E7-4ACD-8E3C-7AB192396689}"/>
    <cellStyle name="Heading 3 3 12 3 2" xfId="4340" xr:uid="{0EE37845-22CB-45BD-812C-3773D7899A8B}"/>
    <cellStyle name="Heading 3 3 12 4" xfId="4341" xr:uid="{DC37E6BC-44E7-4839-8F13-9369C384E08D}"/>
    <cellStyle name="Heading 3 3 12 4 2" xfId="4342" xr:uid="{D9478DFE-0B16-4AD2-AB71-27E9AAA5901E}"/>
    <cellStyle name="Heading 3 3 13" xfId="4343" xr:uid="{774EA59C-BC52-46B9-9BF7-86B5DC5F8E3C}"/>
    <cellStyle name="Heading 3 3 13 2" xfId="4344" xr:uid="{1995DE16-4FA4-4F5F-B63B-3EF454EA9D3F}"/>
    <cellStyle name="Heading 3 3 13 2 2" xfId="4345" xr:uid="{B394E6E3-9334-4C98-AFF0-46BAEFE43D16}"/>
    <cellStyle name="Heading 3 3 13 3" xfId="4346" xr:uid="{ABB0E1E8-BE2F-49C0-894C-C3546B1BEDD6}"/>
    <cellStyle name="Heading 3 3 13 3 2" xfId="4347" xr:uid="{66723E7B-646E-47E3-9A0E-0AC9DE7C6AF0}"/>
    <cellStyle name="Heading 3 3 13 4" xfId="4348" xr:uid="{90235E8D-98EE-40A4-8A15-580531E36F61}"/>
    <cellStyle name="Heading 3 3 13 4 2" xfId="4349" xr:uid="{A0729BF5-7FC5-446F-BD47-784BDF57DA5D}"/>
    <cellStyle name="Heading 3 3 14" xfId="4350" xr:uid="{210C9529-8457-49AF-A7C5-BE33C64A8805}"/>
    <cellStyle name="Heading 3 3 14 2" xfId="4351" xr:uid="{2AD1E7F2-88C2-42A3-BB76-FBC24A54A857}"/>
    <cellStyle name="Heading 3 3 14 2 2" xfId="4352" xr:uid="{EC308E16-238C-4447-B68D-B901C70785B4}"/>
    <cellStyle name="Heading 3 3 14 3" xfId="4353" xr:uid="{A4000078-6A25-4197-A5B4-8B1B94B36B4A}"/>
    <cellStyle name="Heading 3 3 14 3 2" xfId="4354" xr:uid="{E6D748E5-D968-4D73-92A0-319BD4522CA6}"/>
    <cellStyle name="Heading 3 3 14 4" xfId="4355" xr:uid="{D5F55EFF-6120-4A2F-A76E-1374BEC7829A}"/>
    <cellStyle name="Heading 3 3 14 4 2" xfId="4356" xr:uid="{CE6AF6ED-868E-4FBE-B505-E56752A27EDC}"/>
    <cellStyle name="Heading 3 3 15" xfId="4357" xr:uid="{96E5900E-8E65-4979-BBEF-36B877BAEACE}"/>
    <cellStyle name="Heading 3 3 15 2" xfId="4358" xr:uid="{693CFC7D-EFA8-478F-8E7B-342688792CAD}"/>
    <cellStyle name="Heading 3 3 15 2 2" xfId="4359" xr:uid="{47E3179D-9E50-4806-820B-BCAC9CAFB023}"/>
    <cellStyle name="Heading 3 3 15 3" xfId="4360" xr:uid="{1016FA4B-4409-4069-9185-DDE1D6061E32}"/>
    <cellStyle name="Heading 3 3 15 3 2" xfId="4361" xr:uid="{12556814-2632-4956-9A73-DF0F22E9D39D}"/>
    <cellStyle name="Heading 3 3 15 4" xfId="4362" xr:uid="{75C753F1-1506-4661-BA31-6DCF02C3A69A}"/>
    <cellStyle name="Heading 3 3 15 4 2" xfId="4363" xr:uid="{5905CFC1-1DA4-431B-94EC-50ED353B7926}"/>
    <cellStyle name="Heading 3 3 16" xfId="4364" xr:uid="{4502D95D-2B0F-4F33-9998-9FD6467FB3E5}"/>
    <cellStyle name="Heading 3 3 16 2" xfId="4365" xr:uid="{98650292-6430-4504-BF69-9F6D64326910}"/>
    <cellStyle name="Heading 3 3 17" xfId="4366" xr:uid="{E858BFB1-662E-4E48-993D-608572120CD6}"/>
    <cellStyle name="Heading 3 3 17 2" xfId="4367" xr:uid="{2CD08531-68E4-4B1A-A510-EB18DA28556A}"/>
    <cellStyle name="Heading 3 3 18" xfId="4368" xr:uid="{B2283181-BC76-4188-999C-F3CA95B446C9}"/>
    <cellStyle name="Heading 3 3 18 2" xfId="4369" xr:uid="{D47C4401-EF5F-4753-99C7-E72117D87485}"/>
    <cellStyle name="Heading 3 3 19" xfId="4370" xr:uid="{0D4CC0F5-2D4B-41C3-8126-6E211BED5233}"/>
    <cellStyle name="Heading 3 3 2" xfId="4371" xr:uid="{4ADD0134-D1DD-482A-AA5F-9F2F04CAA1CA}"/>
    <cellStyle name="Heading 3 3 2 2" xfId="4372" xr:uid="{9EBCC67D-3331-4FDF-ADC8-B97F2A6199AA}"/>
    <cellStyle name="Heading 3 3 2 2 2" xfId="4373" xr:uid="{8099F1C8-7CB4-49B2-82DA-26DBBA38435A}"/>
    <cellStyle name="Heading 3 3 2 3" xfId="4374" xr:uid="{AFB96875-7DB7-49F7-97B1-5B2BF5C0E03B}"/>
    <cellStyle name="Heading 3 3 2 3 2" xfId="4375" xr:uid="{B5CAF47D-3A2B-43C2-84AC-4D3AB1AD200B}"/>
    <cellStyle name="Heading 3 3 2 4" xfId="4376" xr:uid="{AD76AA7D-F8A4-4E77-8373-F800A86A13C9}"/>
    <cellStyle name="Heading 3 3 2 4 2" xfId="4377" xr:uid="{3D8A5590-2F59-429A-A6C3-7892FCCF220F}"/>
    <cellStyle name="Heading 3 3 20" xfId="4378" xr:uid="{7875B013-ED40-41EC-99B9-D86EE3222CCC}"/>
    <cellStyle name="Heading 3 3 21" xfId="4379" xr:uid="{82A3671A-396A-4896-92F0-E49BA9225A84}"/>
    <cellStyle name="Heading 3 3 22" xfId="4380" xr:uid="{E7C7F66F-7DEE-41AA-A4F7-346653EF64A9}"/>
    <cellStyle name="Heading 3 3 23" xfId="4381" xr:uid="{77F56F4A-936F-45A5-9D16-78CB3A5A3A10}"/>
    <cellStyle name="Heading 3 3 24" xfId="4382" xr:uid="{FF9B2C60-CD01-403E-A73D-B8900A04632A}"/>
    <cellStyle name="Heading 3 3 25" xfId="4383" xr:uid="{C9CA7ABF-6408-469F-8392-DCC968239598}"/>
    <cellStyle name="Heading 3 3 3" xfId="4384" xr:uid="{103AF83C-4B70-4A3F-9E3C-E6C7389CC610}"/>
    <cellStyle name="Heading 3 3 3 2" xfId="4385" xr:uid="{1C170F3B-CA98-459D-8983-493A89CC0DF5}"/>
    <cellStyle name="Heading 3 3 3 2 2" xfId="4386" xr:uid="{E7EDC333-2CD8-4078-A699-87D6ADE3BA98}"/>
    <cellStyle name="Heading 3 3 3 3" xfId="4387" xr:uid="{F21E224F-CF28-44A5-8FF0-EB7D09A35139}"/>
    <cellStyle name="Heading 3 3 3 3 2" xfId="4388" xr:uid="{85B280DA-3E69-4FEF-9266-CDF1F57A1475}"/>
    <cellStyle name="Heading 3 3 3 4" xfId="4389" xr:uid="{79BE8957-4AFF-4C44-87EC-227128FBD95E}"/>
    <cellStyle name="Heading 3 3 3 4 2" xfId="4390" xr:uid="{47E2A38B-6EE2-4744-8CDD-BA50A25A48C7}"/>
    <cellStyle name="Heading 3 3 4" xfId="4391" xr:uid="{22AD079F-A5DF-43BE-B24D-E28DCB373037}"/>
    <cellStyle name="Heading 3 3 4 2" xfId="4392" xr:uid="{B205F649-8F91-48BD-9A50-AE912236B596}"/>
    <cellStyle name="Heading 3 3 4 2 2" xfId="4393" xr:uid="{9536F454-394A-4607-9F29-5D6C7B10499F}"/>
    <cellStyle name="Heading 3 3 4 3" xfId="4394" xr:uid="{D1CFEDCF-CE2F-4EE7-A6DA-2997DD2D9F23}"/>
    <cellStyle name="Heading 3 3 4 3 2" xfId="4395" xr:uid="{EE7FF067-B686-4BB8-9F43-833535C1257C}"/>
    <cellStyle name="Heading 3 3 4 4" xfId="4396" xr:uid="{051942F5-26A7-43D0-8E38-22BF37BC2E8C}"/>
    <cellStyle name="Heading 3 3 4 4 2" xfId="4397" xr:uid="{C6C774CE-6D53-4901-86D9-8DFB80398DDD}"/>
    <cellStyle name="Heading 3 3 5" xfId="4398" xr:uid="{282CF59A-3484-4788-B094-E08215D7A675}"/>
    <cellStyle name="Heading 3 3 5 2" xfId="4399" xr:uid="{6A0F7CEC-C7F4-4A92-A232-A3CB4B3F1566}"/>
    <cellStyle name="Heading 3 3 5 2 2" xfId="4400" xr:uid="{26F0A4AE-EBA4-48B1-A93A-D6C0A66A0E60}"/>
    <cellStyle name="Heading 3 3 5 3" xfId="4401" xr:uid="{3F2BAE1A-B227-4D29-8B0E-3290B7082F4A}"/>
    <cellStyle name="Heading 3 3 5 3 2" xfId="4402" xr:uid="{F27A2D21-9ACC-495D-AF6E-CD11B5E4787A}"/>
    <cellStyle name="Heading 3 3 5 4" xfId="4403" xr:uid="{86EB3424-6E84-470F-8F56-75AA9734D9D0}"/>
    <cellStyle name="Heading 3 3 5 4 2" xfId="4404" xr:uid="{EA0D955F-D569-4C0E-957E-5E109CC52A4A}"/>
    <cellStyle name="Heading 3 3 6" xfId="4405" xr:uid="{0538CF45-433E-4258-ABC1-14B96BB90598}"/>
    <cellStyle name="Heading 3 3 6 2" xfId="4406" xr:uid="{ED5C3A2E-99B0-40BF-81A9-E00EB8AFABDC}"/>
    <cellStyle name="Heading 3 3 6 2 2" xfId="4407" xr:uid="{2928F318-3E84-4938-A7EB-16E878941E28}"/>
    <cellStyle name="Heading 3 3 6 3" xfId="4408" xr:uid="{37339218-2FBC-4349-8F60-A4F2E793C247}"/>
    <cellStyle name="Heading 3 3 6 3 2" xfId="4409" xr:uid="{75023F87-FC97-4822-86CD-3BEFDA6622E9}"/>
    <cellStyle name="Heading 3 3 6 4" xfId="4410" xr:uid="{19354F8E-4CD5-4547-902B-9BE026AFF66F}"/>
    <cellStyle name="Heading 3 3 6 4 2" xfId="4411" xr:uid="{B3C75C40-FD10-46F2-A9E2-17DAB6D215BE}"/>
    <cellStyle name="Heading 3 3 7" xfId="4412" xr:uid="{B7C80073-CF8E-4428-B135-01008150DA6F}"/>
    <cellStyle name="Heading 3 3 7 2" xfId="4413" xr:uid="{31AF61DD-2DFB-482C-8C5A-7AA3FF09724A}"/>
    <cellStyle name="Heading 3 3 7 2 2" xfId="4414" xr:uid="{CF9A2997-A55F-4BF2-ADA0-590D8817C16E}"/>
    <cellStyle name="Heading 3 3 7 3" xfId="4415" xr:uid="{5F543640-0D4D-4FC8-89EA-6668BB0B3957}"/>
    <cellStyle name="Heading 3 3 7 3 2" xfId="4416" xr:uid="{61734F09-EE6F-4763-9866-3F55F445F1E7}"/>
    <cellStyle name="Heading 3 3 7 4" xfId="4417" xr:uid="{9496158D-9111-4310-AD1E-561B3DD25999}"/>
    <cellStyle name="Heading 3 3 7 4 2" xfId="4418" xr:uid="{D5744A41-16DB-4AD4-9A5A-F74861E65437}"/>
    <cellStyle name="Heading 3 3 8" xfId="4419" xr:uid="{1F358A8C-AAAB-4A6E-A16D-D97B50C3A082}"/>
    <cellStyle name="Heading 3 3 8 2" xfId="4420" xr:uid="{7BBED321-45D8-4E1D-8967-22BE1605EC21}"/>
    <cellStyle name="Heading 3 3 8 2 2" xfId="4421" xr:uid="{ECBDD046-1BC2-4008-898E-0481E2312B00}"/>
    <cellStyle name="Heading 3 3 8 3" xfId="4422" xr:uid="{1E5D87A7-18DD-4108-B8EC-557DEDAEDC40}"/>
    <cellStyle name="Heading 3 3 8 3 2" xfId="4423" xr:uid="{70B54AC7-D50E-4421-88EB-57C9E3C58C0C}"/>
    <cellStyle name="Heading 3 3 8 4" xfId="4424" xr:uid="{DECFE81C-89C1-4783-BDAD-B41E5D491417}"/>
    <cellStyle name="Heading 3 3 8 4 2" xfId="4425" xr:uid="{F0A8B12A-1C01-49BE-A812-E88E7994D7E5}"/>
    <cellStyle name="Heading 3 3 9" xfId="4426" xr:uid="{BE6E1F3B-5E8D-4A2F-BB72-FC71451D680D}"/>
    <cellStyle name="Heading 3 3 9 2" xfId="4427" xr:uid="{FD09DB2B-E9C0-4915-AE5E-9434BD137B4D}"/>
    <cellStyle name="Heading 3 3 9 2 2" xfId="4428" xr:uid="{0EB6E8D4-FD3B-472B-B503-FC3D67AC9B3E}"/>
    <cellStyle name="Heading 3 3 9 3" xfId="4429" xr:uid="{25EEBE76-5F14-4E90-8949-42C82F76FAC4}"/>
    <cellStyle name="Heading 3 3 9 3 2" xfId="4430" xr:uid="{B6B2D292-5D0A-455A-9BA3-C32B833B8BB1}"/>
    <cellStyle name="Heading 3 3 9 4" xfId="4431" xr:uid="{F15059E5-B2AF-45A3-ACF8-098763CEDF59}"/>
    <cellStyle name="Heading 3 3 9 4 2" xfId="4432" xr:uid="{BDBBD2CA-8763-49A5-9833-FBAADD87B402}"/>
    <cellStyle name="Heading 3 4" xfId="4433" xr:uid="{4ED434DA-178D-4D61-83D9-12BFC707E0AF}"/>
    <cellStyle name="Heading 3 4 10" xfId="4434" xr:uid="{89AED675-F97A-485B-8831-D246F7FBBFEE}"/>
    <cellStyle name="Heading 3 4 10 2" xfId="4435" xr:uid="{37AB42EB-4768-437F-B146-5DC2530DCA18}"/>
    <cellStyle name="Heading 3 4 10 2 2" xfId="4436" xr:uid="{460A3695-EC01-4B80-9FD1-745F31F67BA7}"/>
    <cellStyle name="Heading 3 4 10 3" xfId="4437" xr:uid="{9E0F4921-C35A-4F29-B25C-12EE406D1E69}"/>
    <cellStyle name="Heading 3 4 10 3 2" xfId="4438" xr:uid="{39EBE398-CB89-4FB7-81AA-B085A580CB02}"/>
    <cellStyle name="Heading 3 4 10 4" xfId="4439" xr:uid="{90A8766A-3C8E-4E1A-B052-ADF2C19663BC}"/>
    <cellStyle name="Heading 3 4 10 4 2" xfId="4440" xr:uid="{3821FA2D-0CB1-4FA4-8679-618B8556ABFE}"/>
    <cellStyle name="Heading 3 4 11" xfId="4441" xr:uid="{AC943028-AFD1-4D8D-84C8-D371BCAE52E5}"/>
    <cellStyle name="Heading 3 4 11 2" xfId="4442" xr:uid="{D6B4296D-F052-475A-88C3-3B7CBC23E62F}"/>
    <cellStyle name="Heading 3 4 11 2 2" xfId="4443" xr:uid="{EB10078B-BA80-4FCF-8895-3FDC03D27C34}"/>
    <cellStyle name="Heading 3 4 11 3" xfId="4444" xr:uid="{5395BDFA-E717-4EC5-9B5F-8D9B0C92BBD2}"/>
    <cellStyle name="Heading 3 4 11 3 2" xfId="4445" xr:uid="{5D687D3E-17AE-4AA7-873D-C28E25CAE6A3}"/>
    <cellStyle name="Heading 3 4 11 4" xfId="4446" xr:uid="{2EFBB71C-DCE4-49B0-A633-23C0AF77E5DE}"/>
    <cellStyle name="Heading 3 4 11 4 2" xfId="4447" xr:uid="{5B50A207-B9D3-42D8-9363-6D868ED8A835}"/>
    <cellStyle name="Heading 3 4 12" xfId="4448" xr:uid="{88C7F67D-45A4-4A29-B0C4-AB0C7285FACD}"/>
    <cellStyle name="Heading 3 4 12 2" xfId="4449" xr:uid="{BC637936-901A-4FD3-B130-37ACDB1BEAAD}"/>
    <cellStyle name="Heading 3 4 12 2 2" xfId="4450" xr:uid="{629AEEB2-430C-4D26-82A7-58B6108E56A9}"/>
    <cellStyle name="Heading 3 4 12 3" xfId="4451" xr:uid="{DC737F07-A724-4A58-AF50-9304E4C1992B}"/>
    <cellStyle name="Heading 3 4 12 3 2" xfId="4452" xr:uid="{662AC22E-466A-4D8C-A769-3431012DC58E}"/>
    <cellStyle name="Heading 3 4 12 4" xfId="4453" xr:uid="{52FEE927-786D-46EC-923C-6B1BE9213C92}"/>
    <cellStyle name="Heading 3 4 12 4 2" xfId="4454" xr:uid="{3ECBD598-3E35-409B-B67A-7A8A170125C5}"/>
    <cellStyle name="Heading 3 4 13" xfId="4455" xr:uid="{4C8297BB-F11C-46DF-9671-514762158B59}"/>
    <cellStyle name="Heading 3 4 13 2" xfId="4456" xr:uid="{B5350EB7-4CE1-46AC-8CD2-CA26C4D8D1DF}"/>
    <cellStyle name="Heading 3 4 13 2 2" xfId="4457" xr:uid="{40A551B6-2965-4C01-A26B-AACDC161CBE5}"/>
    <cellStyle name="Heading 3 4 13 3" xfId="4458" xr:uid="{76DD7C25-8DAF-4B6C-90D5-F0B49FE7F094}"/>
    <cellStyle name="Heading 3 4 13 3 2" xfId="4459" xr:uid="{0C09E6A1-ED3A-492B-A6F7-DA37F966ED6A}"/>
    <cellStyle name="Heading 3 4 13 4" xfId="4460" xr:uid="{B828C7D1-0C59-4762-9866-F56FF694BDC4}"/>
    <cellStyle name="Heading 3 4 13 4 2" xfId="4461" xr:uid="{B747309F-8FB1-4947-A049-5E9D99261F1F}"/>
    <cellStyle name="Heading 3 4 14" xfId="4462" xr:uid="{4FAF71C4-CD66-4F8F-AEEE-D6753F0656C5}"/>
    <cellStyle name="Heading 3 4 14 2" xfId="4463" xr:uid="{0547D0F2-7264-435E-ADA7-9FA925080503}"/>
    <cellStyle name="Heading 3 4 14 2 2" xfId="4464" xr:uid="{681984A1-1C91-4889-9321-C449DD4F5F82}"/>
    <cellStyle name="Heading 3 4 14 3" xfId="4465" xr:uid="{49A416E8-0685-4394-887D-0E4167A4B33A}"/>
    <cellStyle name="Heading 3 4 14 3 2" xfId="4466" xr:uid="{6989EAB2-C02C-47D1-A433-5631B6439530}"/>
    <cellStyle name="Heading 3 4 14 4" xfId="4467" xr:uid="{5CE7D791-2840-4C74-BD41-EA60982CA77F}"/>
    <cellStyle name="Heading 3 4 14 4 2" xfId="4468" xr:uid="{556EF156-A9D8-479D-87EB-99C2CB869339}"/>
    <cellStyle name="Heading 3 4 15" xfId="4469" xr:uid="{407EFC6F-6C04-42AB-BC69-DB13B83F0620}"/>
    <cellStyle name="Heading 3 4 15 2" xfId="4470" xr:uid="{7BEA5E90-B2A9-475A-8C98-B59426814FBA}"/>
    <cellStyle name="Heading 3 4 15 2 2" xfId="4471" xr:uid="{624B3970-1005-4506-B731-176B46789EE1}"/>
    <cellStyle name="Heading 3 4 15 3" xfId="4472" xr:uid="{23E4BF37-62E9-4345-B644-F090D57BEBD3}"/>
    <cellStyle name="Heading 3 4 15 3 2" xfId="4473" xr:uid="{3FB624F1-27E1-4AF2-AD17-1808B2A1E2C3}"/>
    <cellStyle name="Heading 3 4 15 4" xfId="4474" xr:uid="{9E05A757-5EE4-4016-B2D8-209225A8E727}"/>
    <cellStyle name="Heading 3 4 15 4 2" xfId="4475" xr:uid="{5CE15068-2B35-4133-854C-8DA7C27C98BB}"/>
    <cellStyle name="Heading 3 4 16" xfId="4476" xr:uid="{51312957-3235-4D04-8F04-112F89D8CD25}"/>
    <cellStyle name="Heading 3 4 16 2" xfId="4477" xr:uid="{1379D7DC-812B-410B-B003-3C10D8820509}"/>
    <cellStyle name="Heading 3 4 17" xfId="4478" xr:uid="{D59E3E4C-A76B-4F21-8B92-1D6DE59AD438}"/>
    <cellStyle name="Heading 3 4 17 2" xfId="4479" xr:uid="{1C8AC951-C977-4242-8630-89C52AFCEDB0}"/>
    <cellStyle name="Heading 3 4 18" xfId="4480" xr:uid="{016C5F37-8C7F-4421-A55F-81E9F69AB976}"/>
    <cellStyle name="Heading 3 4 18 2" xfId="4481" xr:uid="{54091F51-8742-4259-B817-2172D222B1F8}"/>
    <cellStyle name="Heading 3 4 19" xfId="4482" xr:uid="{53DCB1C0-5E8D-40E5-8C78-4D27D158D5BA}"/>
    <cellStyle name="Heading 3 4 2" xfId="4483" xr:uid="{C595AC8F-EB43-4074-8988-0BEC6396B896}"/>
    <cellStyle name="Heading 3 4 2 2" xfId="4484" xr:uid="{382F90E8-97B1-42F0-9A4F-928E70369010}"/>
    <cellStyle name="Heading 3 4 2 2 2" xfId="4485" xr:uid="{BF8DC71E-8451-4575-914C-02D2E1376AF7}"/>
    <cellStyle name="Heading 3 4 2 3" xfId="4486" xr:uid="{47CA0C08-3AE6-49FD-A9DA-8953F189E4DB}"/>
    <cellStyle name="Heading 3 4 2 3 2" xfId="4487" xr:uid="{3D6352A3-7EF4-4E94-86F4-198E73918058}"/>
    <cellStyle name="Heading 3 4 2 4" xfId="4488" xr:uid="{96BA041A-134E-4E72-8816-B3DCF38F167F}"/>
    <cellStyle name="Heading 3 4 2 4 2" xfId="4489" xr:uid="{AAC5C909-3707-4634-9DE3-82B9265780AB}"/>
    <cellStyle name="Heading 3 4 20" xfId="4490" xr:uid="{1DBD9A3E-E8C7-40D5-B163-1DFC4F65C6A2}"/>
    <cellStyle name="Heading 3 4 21" xfId="4491" xr:uid="{C4F47D54-031F-43E0-85FA-ACDF57F728CF}"/>
    <cellStyle name="Heading 3 4 22" xfId="4492" xr:uid="{5D0C5B4C-4E50-4A0D-95FB-E3DF6DB15E1C}"/>
    <cellStyle name="Heading 3 4 23" xfId="4493" xr:uid="{B6ECFBF9-ED8A-4EC4-A36F-D9E0388CC330}"/>
    <cellStyle name="Heading 3 4 24" xfId="4494" xr:uid="{89B53D5B-0727-4C36-BA0F-DF85A7656617}"/>
    <cellStyle name="Heading 3 4 25" xfId="4495" xr:uid="{9315F00E-D895-4CC5-A98C-2C3E83718921}"/>
    <cellStyle name="Heading 3 4 3" xfId="4496" xr:uid="{577F9274-70A2-48B8-BF24-D9E74451B3CC}"/>
    <cellStyle name="Heading 3 4 3 2" xfId="4497" xr:uid="{FF5C4AC2-06B5-41CA-92B0-5946CB462129}"/>
    <cellStyle name="Heading 3 4 3 2 2" xfId="4498" xr:uid="{891D6932-138E-4228-89DF-CA272503DA65}"/>
    <cellStyle name="Heading 3 4 3 3" xfId="4499" xr:uid="{28F60AF5-879F-4C38-913A-65EA18998AB2}"/>
    <cellStyle name="Heading 3 4 3 3 2" xfId="4500" xr:uid="{7CCF5F9A-FAE5-476B-862C-9CE1B1A03AEE}"/>
    <cellStyle name="Heading 3 4 3 4" xfId="4501" xr:uid="{41A961B5-EF2E-4506-B821-7FB5CE6637D5}"/>
    <cellStyle name="Heading 3 4 3 4 2" xfId="4502" xr:uid="{51FB0431-82FB-468D-88A4-224EF1F989F8}"/>
    <cellStyle name="Heading 3 4 4" xfId="4503" xr:uid="{F5CD02D8-02B8-43AD-8910-A33FBF71B69F}"/>
    <cellStyle name="Heading 3 4 4 2" xfId="4504" xr:uid="{AE2B03D9-B391-40B8-8A9D-0FB0AD6A95E7}"/>
    <cellStyle name="Heading 3 4 4 2 2" xfId="4505" xr:uid="{338EF50C-B9FC-45A8-8609-248F6AA49B4E}"/>
    <cellStyle name="Heading 3 4 4 3" xfId="4506" xr:uid="{D503103A-1046-4649-BB8E-F47C4DA4E864}"/>
    <cellStyle name="Heading 3 4 4 3 2" xfId="4507" xr:uid="{8B20A436-6933-4873-8471-FF646E72BB05}"/>
    <cellStyle name="Heading 3 4 4 4" xfId="4508" xr:uid="{0ADE8976-025B-47E7-B367-EC54BF22902B}"/>
    <cellStyle name="Heading 3 4 4 4 2" xfId="4509" xr:uid="{7FC095C5-3EB3-42BD-BCEE-113830A41286}"/>
    <cellStyle name="Heading 3 4 5" xfId="4510" xr:uid="{6DA5CB2F-CF3F-4771-8CC2-1A50652F4A77}"/>
    <cellStyle name="Heading 3 4 5 2" xfId="4511" xr:uid="{4164E57B-446F-4D85-9B5E-F3EF00F74B8E}"/>
    <cellStyle name="Heading 3 4 5 2 2" xfId="4512" xr:uid="{19AE944D-4D71-40D5-96EB-5D80610D8D4C}"/>
    <cellStyle name="Heading 3 4 5 3" xfId="4513" xr:uid="{F0ADC1E4-6583-419F-96EF-E6C04A687899}"/>
    <cellStyle name="Heading 3 4 5 3 2" xfId="4514" xr:uid="{BBBC17BC-AA0F-469C-A474-AA4CC1420166}"/>
    <cellStyle name="Heading 3 4 5 4" xfId="4515" xr:uid="{ECC4BEE4-8F41-4EEE-B16B-795BC03EC202}"/>
    <cellStyle name="Heading 3 4 5 4 2" xfId="4516" xr:uid="{E875EB91-BCC9-4BCB-A394-AD6E960156C5}"/>
    <cellStyle name="Heading 3 4 6" xfId="4517" xr:uid="{4C942DC7-8D3B-41FF-AD6C-0BDDCFB192FF}"/>
    <cellStyle name="Heading 3 4 6 2" xfId="4518" xr:uid="{AA073BA0-2A25-4DF3-A7BA-2DAC8FA66A28}"/>
    <cellStyle name="Heading 3 4 6 2 2" xfId="4519" xr:uid="{02A0B6B5-E328-4CBC-98ED-848C839B4813}"/>
    <cellStyle name="Heading 3 4 6 3" xfId="4520" xr:uid="{CFF6B0FD-DBD0-4ABD-8ABC-148A8F7560DF}"/>
    <cellStyle name="Heading 3 4 6 3 2" xfId="4521" xr:uid="{70FCF3E0-FD27-41A6-A5C4-E6291EF5C8A5}"/>
    <cellStyle name="Heading 3 4 6 4" xfId="4522" xr:uid="{A0CFF6AB-604F-42D7-B84D-BD727120DC77}"/>
    <cellStyle name="Heading 3 4 6 4 2" xfId="4523" xr:uid="{FF5566FA-89A1-4774-9BA6-85FFC04E05B7}"/>
    <cellStyle name="Heading 3 4 7" xfId="4524" xr:uid="{17CB00DA-ACB0-4CDB-AFD8-79F4DC5B7245}"/>
    <cellStyle name="Heading 3 4 7 2" xfId="4525" xr:uid="{9B9F4DD5-A454-4D99-AE84-EA29C53D10C2}"/>
    <cellStyle name="Heading 3 4 7 2 2" xfId="4526" xr:uid="{1516C13B-042E-45DA-815B-F7F9779B4798}"/>
    <cellStyle name="Heading 3 4 7 3" xfId="4527" xr:uid="{344210F5-08FD-443D-86F9-BCDB4C7D95F0}"/>
    <cellStyle name="Heading 3 4 7 3 2" xfId="4528" xr:uid="{BFC2F2FD-4E94-492A-8C8A-5ECF94364277}"/>
    <cellStyle name="Heading 3 4 7 4" xfId="4529" xr:uid="{AAF91D84-CD47-45F2-8881-DC473762AE62}"/>
    <cellStyle name="Heading 3 4 7 4 2" xfId="4530" xr:uid="{1D02ECC2-AC4B-46E2-86D0-3190D318FD3C}"/>
    <cellStyle name="Heading 3 4 8" xfId="4531" xr:uid="{1AA08875-0610-4E54-B11B-59C28E5B5414}"/>
    <cellStyle name="Heading 3 4 8 2" xfId="4532" xr:uid="{AD08E988-426D-4F6A-BF2C-9AAB03C63EF0}"/>
    <cellStyle name="Heading 3 4 8 2 2" xfId="4533" xr:uid="{80E5DCA8-9A80-43DB-8725-FDF2AB3B1D29}"/>
    <cellStyle name="Heading 3 4 8 3" xfId="4534" xr:uid="{1F994D72-4C7F-4F75-859A-670DB4D9F757}"/>
    <cellStyle name="Heading 3 4 8 3 2" xfId="4535" xr:uid="{17520EA7-9373-4F09-A32E-9DE6FCDF1E71}"/>
    <cellStyle name="Heading 3 4 8 4" xfId="4536" xr:uid="{90D573CF-CF26-4BCB-A126-DBBCC9669ACC}"/>
    <cellStyle name="Heading 3 4 8 4 2" xfId="4537" xr:uid="{BF3BA6FD-1A68-4939-A795-2FE22818D102}"/>
    <cellStyle name="Heading 3 4 9" xfId="4538" xr:uid="{0F5E2EC4-30D9-44E4-856E-7BBE17103B42}"/>
    <cellStyle name="Heading 3 4 9 2" xfId="4539" xr:uid="{1B85FA60-7B13-4BCA-B99F-CF304E925A90}"/>
    <cellStyle name="Heading 3 4 9 2 2" xfId="4540" xr:uid="{D4C36A0E-9FB8-470E-9232-ED087F021586}"/>
    <cellStyle name="Heading 3 4 9 3" xfId="4541" xr:uid="{D82A274B-8E32-498E-AAEA-6FBF9A2CF182}"/>
    <cellStyle name="Heading 3 4 9 3 2" xfId="4542" xr:uid="{8F25336F-A1EC-4598-BE43-F72328D8CC23}"/>
    <cellStyle name="Heading 3 4 9 4" xfId="4543" xr:uid="{6AB2FC94-3268-41E1-ABE7-B17D593B0CCE}"/>
    <cellStyle name="Heading 3 4 9 4 2" xfId="4544" xr:uid="{CA2CF68F-FBA0-46A0-9A50-D4C51976BB42}"/>
    <cellStyle name="Heading 3 5" xfId="4545" xr:uid="{5B0A190F-E2A8-452E-A5ED-1A1252DA34EB}"/>
    <cellStyle name="Heading 3 5 10" xfId="4546" xr:uid="{599D464C-4A92-4D5C-9B57-1320BD647248}"/>
    <cellStyle name="Heading 3 5 10 2" xfId="4547" xr:uid="{F1FE822A-EB92-4817-ADFB-0B29C67A71E1}"/>
    <cellStyle name="Heading 3 5 10 2 2" xfId="4548" xr:uid="{67FD7AD2-E14C-4CDF-AF27-C804A6C49859}"/>
    <cellStyle name="Heading 3 5 10 3" xfId="4549" xr:uid="{AD88A349-5A67-45C2-937A-232ADD01B774}"/>
    <cellStyle name="Heading 3 5 10 3 2" xfId="4550" xr:uid="{0EA513F7-6E43-4D84-A97D-8F052F04470A}"/>
    <cellStyle name="Heading 3 5 10 4" xfId="4551" xr:uid="{272E8FE5-B118-4F2B-8F21-9F0D05E143BF}"/>
    <cellStyle name="Heading 3 5 10 4 2" xfId="4552" xr:uid="{45D23073-DCFE-43A7-B764-358BB73C6884}"/>
    <cellStyle name="Heading 3 5 11" xfId="4553" xr:uid="{A130ADA1-37C0-44DB-9D84-A128E443A76B}"/>
    <cellStyle name="Heading 3 5 11 2" xfId="4554" xr:uid="{845399F0-CE81-472A-98FC-27B55E8552F6}"/>
    <cellStyle name="Heading 3 5 11 2 2" xfId="4555" xr:uid="{8F8BF068-1312-488D-8005-E22DA23E5CCB}"/>
    <cellStyle name="Heading 3 5 11 3" xfId="4556" xr:uid="{57B59F1C-BB23-487E-988B-A605C7A6780E}"/>
    <cellStyle name="Heading 3 5 11 3 2" xfId="4557" xr:uid="{0CE73600-E9AA-4FEF-8F6F-94588D4B2690}"/>
    <cellStyle name="Heading 3 5 11 4" xfId="4558" xr:uid="{9F94714B-9167-473E-8424-683E6ED835CD}"/>
    <cellStyle name="Heading 3 5 11 4 2" xfId="4559" xr:uid="{D7098FDD-D649-4837-BFCF-FDE889E9EF2D}"/>
    <cellStyle name="Heading 3 5 12" xfId="4560" xr:uid="{E84779B3-77C9-4366-B98C-393A028B32BD}"/>
    <cellStyle name="Heading 3 5 12 2" xfId="4561" xr:uid="{1A852784-23D8-4A12-8419-CA85E5C61271}"/>
    <cellStyle name="Heading 3 5 12 2 2" xfId="4562" xr:uid="{1817A8E9-7F4A-44FE-9145-925F5F466492}"/>
    <cellStyle name="Heading 3 5 12 3" xfId="4563" xr:uid="{1194DF50-A36F-44FE-B46F-F96522E8128A}"/>
    <cellStyle name="Heading 3 5 12 3 2" xfId="4564" xr:uid="{91C0F2A7-E3FA-4F2B-872D-290FD27856A3}"/>
    <cellStyle name="Heading 3 5 12 4" xfId="4565" xr:uid="{6A81575E-EF1B-4BB7-BE83-F77DD8516EB2}"/>
    <cellStyle name="Heading 3 5 12 4 2" xfId="4566" xr:uid="{6F0A6630-1E5D-4848-AC80-B4FEC5EF9D3D}"/>
    <cellStyle name="Heading 3 5 13" xfId="4567" xr:uid="{6CCADAE2-1081-4A77-A64E-5BABA66958FA}"/>
    <cellStyle name="Heading 3 5 13 2" xfId="4568" xr:uid="{CC9B1E23-3309-4C9C-A2FD-CD01EF7348E9}"/>
    <cellStyle name="Heading 3 5 13 2 2" xfId="4569" xr:uid="{5192D56B-6F1D-4734-81D2-E8D99D70D173}"/>
    <cellStyle name="Heading 3 5 13 3" xfId="4570" xr:uid="{FFDD8983-B195-417C-ADAC-B1C1BA32870E}"/>
    <cellStyle name="Heading 3 5 13 3 2" xfId="4571" xr:uid="{8868096C-8445-4BEC-A9E6-8DC585D298FB}"/>
    <cellStyle name="Heading 3 5 13 4" xfId="4572" xr:uid="{5E354F9D-3DC5-4D72-B1D1-B2797DC20AA6}"/>
    <cellStyle name="Heading 3 5 13 4 2" xfId="4573" xr:uid="{F0EF5FBA-6618-47D2-973A-32DE6290B2CB}"/>
    <cellStyle name="Heading 3 5 14" xfId="4574" xr:uid="{D5B11F03-65E9-4F34-B016-F7E108B86BD3}"/>
    <cellStyle name="Heading 3 5 14 2" xfId="4575" xr:uid="{7CBA3224-2BDB-406A-AA37-3AC0D43D3E17}"/>
    <cellStyle name="Heading 3 5 14 2 2" xfId="4576" xr:uid="{E206FBC0-788C-4BC9-B991-ACB725728A2E}"/>
    <cellStyle name="Heading 3 5 14 3" xfId="4577" xr:uid="{12670FE4-5CDB-4C01-973F-935DA7264BD8}"/>
    <cellStyle name="Heading 3 5 14 3 2" xfId="4578" xr:uid="{353BABA0-22B6-4E6F-8666-111402395FEA}"/>
    <cellStyle name="Heading 3 5 14 4" xfId="4579" xr:uid="{E6B298BF-C5B0-4338-ABA8-260EBE351842}"/>
    <cellStyle name="Heading 3 5 14 4 2" xfId="4580" xr:uid="{205502A3-6F77-4328-990C-ABA724E9437E}"/>
    <cellStyle name="Heading 3 5 15" xfId="4581" xr:uid="{CEEDB8E8-C641-4161-91B8-CA97F85E95ED}"/>
    <cellStyle name="Heading 3 5 15 2" xfId="4582" xr:uid="{B8DDDED6-0F26-4023-8676-A3F6DAD1F826}"/>
    <cellStyle name="Heading 3 5 15 2 2" xfId="4583" xr:uid="{47258F26-596A-4DFB-895E-FDE972B99F07}"/>
    <cellStyle name="Heading 3 5 15 3" xfId="4584" xr:uid="{DEA366CC-F918-46AC-B19B-76B716E7115C}"/>
    <cellStyle name="Heading 3 5 15 3 2" xfId="4585" xr:uid="{BC9B888F-32EA-4D72-9390-18EB0AE8300A}"/>
    <cellStyle name="Heading 3 5 15 4" xfId="4586" xr:uid="{C839A2D5-86F1-4DD4-834D-25C8489344FB}"/>
    <cellStyle name="Heading 3 5 15 4 2" xfId="4587" xr:uid="{77346490-1921-460C-AB42-1E5F10150FEC}"/>
    <cellStyle name="Heading 3 5 16" xfId="4588" xr:uid="{4DD17D12-BCD0-4EEF-96A5-4C592164BC40}"/>
    <cellStyle name="Heading 3 5 16 2" xfId="4589" xr:uid="{8121EE66-2C6C-407F-89EC-C52580F0E859}"/>
    <cellStyle name="Heading 3 5 17" xfId="4590" xr:uid="{18A9390C-8DF0-44C5-A39B-7CBEE3209A06}"/>
    <cellStyle name="Heading 3 5 17 2" xfId="4591" xr:uid="{E874E7E0-F35B-45C5-87C8-DBBE68D0DCE8}"/>
    <cellStyle name="Heading 3 5 18" xfId="4592" xr:uid="{4414CF8F-C055-4881-8A73-939B07F6D50E}"/>
    <cellStyle name="Heading 3 5 18 2" xfId="4593" xr:uid="{226D0826-FE19-4A5B-B283-DFADCBF9D451}"/>
    <cellStyle name="Heading 3 5 19" xfId="4594" xr:uid="{0F1BE781-A288-4C42-8490-112EC3E2D9D1}"/>
    <cellStyle name="Heading 3 5 2" xfId="4595" xr:uid="{74E4617E-7B51-46FA-A400-070CD7B4FE61}"/>
    <cellStyle name="Heading 3 5 2 2" xfId="4596" xr:uid="{4C4BCF0F-6F34-4BA2-8C99-DFCA545944C6}"/>
    <cellStyle name="Heading 3 5 2 2 2" xfId="4597" xr:uid="{9E94748A-DCAF-4FB3-BDEE-B124C085DD1D}"/>
    <cellStyle name="Heading 3 5 2 3" xfId="4598" xr:uid="{4010FCF1-78DF-4EBC-9F68-58D72C4DABB0}"/>
    <cellStyle name="Heading 3 5 2 3 2" xfId="4599" xr:uid="{5AF4645A-24BB-4721-956C-BC1545B76C39}"/>
    <cellStyle name="Heading 3 5 2 4" xfId="4600" xr:uid="{3866A654-8C4E-43A0-A50B-F9F23D9B8687}"/>
    <cellStyle name="Heading 3 5 2 4 2" xfId="4601" xr:uid="{FB9DFD30-0BC9-445D-A6B9-C31B002DE98F}"/>
    <cellStyle name="Heading 3 5 20" xfId="4602" xr:uid="{2A651D3A-EB52-44F7-9DC6-C10D3AB955CF}"/>
    <cellStyle name="Heading 3 5 21" xfId="4603" xr:uid="{5D8C107E-D3D4-40B6-9DE5-629F1BE11F6B}"/>
    <cellStyle name="Heading 3 5 22" xfId="4604" xr:uid="{5C42A447-BA0D-4D81-A276-27A8610F6ED5}"/>
    <cellStyle name="Heading 3 5 23" xfId="4605" xr:uid="{A5C31A0F-7805-4E28-A141-E4AFAE4E95E1}"/>
    <cellStyle name="Heading 3 5 24" xfId="4606" xr:uid="{AD081AC1-98D3-4ACA-A892-7D969B4762F0}"/>
    <cellStyle name="Heading 3 5 25" xfId="4607" xr:uid="{1BA18C97-27B2-4437-B87B-AFE52CF1C298}"/>
    <cellStyle name="Heading 3 5 3" xfId="4608" xr:uid="{81DEC7F7-E3D3-4AEF-88C1-45D51DAB9C43}"/>
    <cellStyle name="Heading 3 5 3 2" xfId="4609" xr:uid="{1C9DF9E2-BB08-45B9-8BA1-2DFED1D92415}"/>
    <cellStyle name="Heading 3 5 3 2 2" xfId="4610" xr:uid="{0AE2B0B6-C25E-4FFB-9015-DF8FCB9BFFEF}"/>
    <cellStyle name="Heading 3 5 3 3" xfId="4611" xr:uid="{55055653-0130-4088-9AD9-5BAE56F1F5B1}"/>
    <cellStyle name="Heading 3 5 3 3 2" xfId="4612" xr:uid="{C7880785-3DA3-435D-A15A-8E663F5E5AFF}"/>
    <cellStyle name="Heading 3 5 3 4" xfId="4613" xr:uid="{817E04D5-5685-47BA-BAEA-9480D6A91C0E}"/>
    <cellStyle name="Heading 3 5 3 4 2" xfId="4614" xr:uid="{F7B0D0F7-4AA9-4646-A475-35DA9B7C392E}"/>
    <cellStyle name="Heading 3 5 4" xfId="4615" xr:uid="{2F563D0D-F8D0-4B7B-AA7F-0434B615B457}"/>
    <cellStyle name="Heading 3 5 4 2" xfId="4616" xr:uid="{5A725782-5725-4936-9E79-D8B280FD5214}"/>
    <cellStyle name="Heading 3 5 4 2 2" xfId="4617" xr:uid="{2F8372FA-7D33-4041-BD69-95523E9C4ABE}"/>
    <cellStyle name="Heading 3 5 4 3" xfId="4618" xr:uid="{7E8BEDCA-FDCF-402B-8F4C-59FF34D53E9E}"/>
    <cellStyle name="Heading 3 5 4 3 2" xfId="4619" xr:uid="{8011529E-58CC-47EE-865C-E325B9C9722C}"/>
    <cellStyle name="Heading 3 5 4 4" xfId="4620" xr:uid="{960D449E-7D69-413A-AECD-4E42773DB51C}"/>
    <cellStyle name="Heading 3 5 4 4 2" xfId="4621" xr:uid="{0031798A-E2F4-4D86-A931-2CA7A2A3116F}"/>
    <cellStyle name="Heading 3 5 5" xfId="4622" xr:uid="{C741FAD5-B01C-4E8C-9053-457C5CABF22E}"/>
    <cellStyle name="Heading 3 5 5 2" xfId="4623" xr:uid="{4B8452BD-390A-4C08-B87B-479F9EAB082C}"/>
    <cellStyle name="Heading 3 5 5 2 2" xfId="4624" xr:uid="{9F81E54C-BF69-4C55-B857-4599D5473A33}"/>
    <cellStyle name="Heading 3 5 5 3" xfId="4625" xr:uid="{03AAAC87-F386-4A4C-BB55-D2A02263C182}"/>
    <cellStyle name="Heading 3 5 5 3 2" xfId="4626" xr:uid="{CC0B40E7-071C-40DF-85C5-B321C4B26EEB}"/>
    <cellStyle name="Heading 3 5 5 4" xfId="4627" xr:uid="{F1495DD8-A065-4F6B-B82F-767051C101A0}"/>
    <cellStyle name="Heading 3 5 5 4 2" xfId="4628" xr:uid="{D5481F4C-95C5-4B28-B1B3-5D1B73112A15}"/>
    <cellStyle name="Heading 3 5 6" xfId="4629" xr:uid="{B662FE85-89C6-475E-842B-C1CFDC13A51C}"/>
    <cellStyle name="Heading 3 5 6 2" xfId="4630" xr:uid="{6C6D8FF5-1D80-47CD-B884-99508F8B3420}"/>
    <cellStyle name="Heading 3 5 6 2 2" xfId="4631" xr:uid="{07350E7B-9CD8-4576-ACF2-1D1CFCE2B997}"/>
    <cellStyle name="Heading 3 5 6 3" xfId="4632" xr:uid="{E3315D61-E8CF-4BD4-85F8-DA0D28C8A0C9}"/>
    <cellStyle name="Heading 3 5 6 3 2" xfId="4633" xr:uid="{F4093945-F4A2-4811-9F0E-3AC4D61A5306}"/>
    <cellStyle name="Heading 3 5 6 4" xfId="4634" xr:uid="{A4E9E7F1-F110-459A-B2B5-12C89098F50B}"/>
    <cellStyle name="Heading 3 5 6 4 2" xfId="4635" xr:uid="{96367912-2E9D-402F-9BDF-20899C5D2070}"/>
    <cellStyle name="Heading 3 5 7" xfId="4636" xr:uid="{C0CCD430-BC21-463E-9862-BE1395CE0CE3}"/>
    <cellStyle name="Heading 3 5 7 2" xfId="4637" xr:uid="{78F95F72-A0D7-4007-B10D-756D37446E10}"/>
    <cellStyle name="Heading 3 5 7 2 2" xfId="4638" xr:uid="{33E020FB-FAA8-4CDE-8060-0EC8857CDB97}"/>
    <cellStyle name="Heading 3 5 7 3" xfId="4639" xr:uid="{7C46461C-B76F-4D10-B5A9-AB3767AB788B}"/>
    <cellStyle name="Heading 3 5 7 3 2" xfId="4640" xr:uid="{C0040360-8E83-4787-A3B5-77E0C84689DD}"/>
    <cellStyle name="Heading 3 5 7 4" xfId="4641" xr:uid="{A952BA6F-8120-48CA-BAD4-F4D1328568E9}"/>
    <cellStyle name="Heading 3 5 7 4 2" xfId="4642" xr:uid="{2114EC6B-CFE9-4194-8856-9D12A914DC02}"/>
    <cellStyle name="Heading 3 5 8" xfId="4643" xr:uid="{2488ECD9-2D54-4B46-9B70-19FEC81A2FCA}"/>
    <cellStyle name="Heading 3 5 8 2" xfId="4644" xr:uid="{F3628807-8955-42F9-BCB6-CE2408ED4D30}"/>
    <cellStyle name="Heading 3 5 8 2 2" xfId="4645" xr:uid="{E7B7E059-02BA-441D-9D15-D007603C69E7}"/>
    <cellStyle name="Heading 3 5 8 3" xfId="4646" xr:uid="{F6DB4062-04E6-40D8-826A-86CA8BF03ED2}"/>
    <cellStyle name="Heading 3 5 8 3 2" xfId="4647" xr:uid="{ECA4B38B-5A22-46AC-8F6E-039248985C78}"/>
    <cellStyle name="Heading 3 5 8 4" xfId="4648" xr:uid="{8026FA2F-7FD3-4068-B113-CBDC8D7CD5D1}"/>
    <cellStyle name="Heading 3 5 8 4 2" xfId="4649" xr:uid="{4DBF5874-840D-41AB-9BE6-84881B8C6C43}"/>
    <cellStyle name="Heading 3 5 9" xfId="4650" xr:uid="{4A38463E-2D17-470C-B1BB-77981933E4A2}"/>
    <cellStyle name="Heading 3 5 9 2" xfId="4651" xr:uid="{5DCE269D-2EEB-4B6B-BF4C-B8B302E9450D}"/>
    <cellStyle name="Heading 3 5 9 2 2" xfId="4652" xr:uid="{1CC7AA2A-AB97-410E-871C-D30A69E29D6F}"/>
    <cellStyle name="Heading 3 5 9 3" xfId="4653" xr:uid="{68289298-1802-4D05-B1B8-D1FD8B5D2676}"/>
    <cellStyle name="Heading 3 5 9 3 2" xfId="4654" xr:uid="{168E6A82-4D5B-4A0D-9050-680EBE09C60B}"/>
    <cellStyle name="Heading 3 5 9 4" xfId="4655" xr:uid="{1AB8427B-E46D-4448-830F-B29C5AC20D8E}"/>
    <cellStyle name="Heading 3 5 9 4 2" xfId="4656" xr:uid="{B44CA05B-9317-4AA6-9618-978DD76A23AB}"/>
    <cellStyle name="Heading 3 6" xfId="4657" xr:uid="{FFBD906F-4018-4999-8EB4-BD4BECE969F2}"/>
    <cellStyle name="Heading 3 6 10" xfId="4658" xr:uid="{555120F1-C59A-4D77-A18E-CB4FDE7C5D71}"/>
    <cellStyle name="Heading 3 6 10 2" xfId="4659" xr:uid="{983BA563-0C93-4E28-8ADB-FD99C90FBB39}"/>
    <cellStyle name="Heading 3 6 10 2 2" xfId="4660" xr:uid="{55143B92-457B-4C12-8672-76CE5E237AE9}"/>
    <cellStyle name="Heading 3 6 10 3" xfId="4661" xr:uid="{3F44DF82-32E5-4DA2-AAA3-5B78B92CD909}"/>
    <cellStyle name="Heading 3 6 10 3 2" xfId="4662" xr:uid="{DC679735-6944-4A16-A65C-E0903ABC8FCA}"/>
    <cellStyle name="Heading 3 6 10 4" xfId="4663" xr:uid="{F8825C48-5B00-4902-A350-CAEB07C36968}"/>
    <cellStyle name="Heading 3 6 10 4 2" xfId="4664" xr:uid="{E9097B6B-6E29-4FFF-B99A-C1CBF9B490EA}"/>
    <cellStyle name="Heading 3 6 11" xfId="4665" xr:uid="{04101368-72AE-4E62-A317-FBA95BA0F5B2}"/>
    <cellStyle name="Heading 3 6 11 2" xfId="4666" xr:uid="{14FC8F83-BE79-473B-89C9-BF55BEB97296}"/>
    <cellStyle name="Heading 3 6 11 2 2" xfId="4667" xr:uid="{7DDC4C1F-7805-46CE-A30F-4087A2A59BDB}"/>
    <cellStyle name="Heading 3 6 11 3" xfId="4668" xr:uid="{3CCCE0B7-6C72-4F8E-96BA-ADF7A443016B}"/>
    <cellStyle name="Heading 3 6 11 3 2" xfId="4669" xr:uid="{AE50488E-1E4D-4BCA-86CF-ABAC284DB014}"/>
    <cellStyle name="Heading 3 6 11 4" xfId="4670" xr:uid="{1E124D54-2326-43C7-AC9D-1558A2D2B262}"/>
    <cellStyle name="Heading 3 6 11 4 2" xfId="4671" xr:uid="{8A91B027-6CD0-4F6A-9149-1C29F7364743}"/>
    <cellStyle name="Heading 3 6 12" xfId="4672" xr:uid="{B79DA67E-F6C0-4F71-894A-FB31D21EB585}"/>
    <cellStyle name="Heading 3 6 12 2" xfId="4673" xr:uid="{FA984435-3F13-4C1B-A1AA-01905CF5ADC7}"/>
    <cellStyle name="Heading 3 6 12 2 2" xfId="4674" xr:uid="{39C7D9F1-17B9-43C9-A8BE-F6DC8AC5DD59}"/>
    <cellStyle name="Heading 3 6 12 3" xfId="4675" xr:uid="{313925D3-2C69-42E8-818C-3A89FA785FB8}"/>
    <cellStyle name="Heading 3 6 12 3 2" xfId="4676" xr:uid="{35E50877-B64D-4239-A678-0C8645E1A570}"/>
    <cellStyle name="Heading 3 6 12 4" xfId="4677" xr:uid="{BA5E9DF4-B261-4B52-9D38-9A11AE2AE5F5}"/>
    <cellStyle name="Heading 3 6 12 4 2" xfId="4678" xr:uid="{ECCDD9B7-2163-4E88-85AA-4D9754963D8F}"/>
    <cellStyle name="Heading 3 6 13" xfId="4679" xr:uid="{98E4BDC3-CDAF-4E99-BDB9-8C8AC6FDCD43}"/>
    <cellStyle name="Heading 3 6 13 2" xfId="4680" xr:uid="{3FFE1A2D-C2A7-4917-B587-50BB143E1660}"/>
    <cellStyle name="Heading 3 6 13 2 2" xfId="4681" xr:uid="{6188DB6E-1724-446B-9604-7C0068FCC9D3}"/>
    <cellStyle name="Heading 3 6 13 3" xfId="4682" xr:uid="{9D8DB2B0-3D00-476D-AA4B-67F908DB3BAD}"/>
    <cellStyle name="Heading 3 6 13 3 2" xfId="4683" xr:uid="{1A70B43F-4A08-4E59-9F51-A42E8D27BE6E}"/>
    <cellStyle name="Heading 3 6 13 4" xfId="4684" xr:uid="{B3F1AFCF-3FDE-4CD9-AD47-8A6A30EFEE5A}"/>
    <cellStyle name="Heading 3 6 13 4 2" xfId="4685" xr:uid="{241A0AEE-E654-4CD9-940A-3DE4F2F77441}"/>
    <cellStyle name="Heading 3 6 14" xfId="4686" xr:uid="{BDC87118-A910-4D07-B5E1-B1695E8F9A47}"/>
    <cellStyle name="Heading 3 6 14 2" xfId="4687" xr:uid="{CAEE5375-E8B5-4D9B-A67A-7EFFB4382573}"/>
    <cellStyle name="Heading 3 6 14 2 2" xfId="4688" xr:uid="{B0FE83AE-48BA-4446-B68C-41904CC0F9E5}"/>
    <cellStyle name="Heading 3 6 14 3" xfId="4689" xr:uid="{F0713C60-C2C0-4687-8329-80901988237F}"/>
    <cellStyle name="Heading 3 6 14 3 2" xfId="4690" xr:uid="{B3BA39F8-2185-477F-92A1-2C30EADD7AA5}"/>
    <cellStyle name="Heading 3 6 14 4" xfId="4691" xr:uid="{93E7B945-65E1-49F3-AC4C-AEE42C5CC499}"/>
    <cellStyle name="Heading 3 6 14 4 2" xfId="4692" xr:uid="{A298618B-272D-4F4E-BCC8-5B8F2FF942DB}"/>
    <cellStyle name="Heading 3 6 15" xfId="4693" xr:uid="{BF4BE3F6-C95A-4F0B-BCBB-0DC6B01AB66D}"/>
    <cellStyle name="Heading 3 6 15 2" xfId="4694" xr:uid="{90D96B65-8DFC-4003-AAF2-9BB934D5BC7C}"/>
    <cellStyle name="Heading 3 6 15 2 2" xfId="4695" xr:uid="{55B780B1-BC24-4740-9E83-4FF110F53A12}"/>
    <cellStyle name="Heading 3 6 15 3" xfId="4696" xr:uid="{AF9D62C4-B936-40F3-AC11-EDDE40219200}"/>
    <cellStyle name="Heading 3 6 15 3 2" xfId="4697" xr:uid="{A40C28ED-2361-4F8C-AFF9-D20DF4AB94E5}"/>
    <cellStyle name="Heading 3 6 15 4" xfId="4698" xr:uid="{1E0E07D2-F6D8-42A7-AADC-791A2315EE70}"/>
    <cellStyle name="Heading 3 6 15 4 2" xfId="4699" xr:uid="{E527CEBC-2C13-42CC-A3F5-A0E60985790C}"/>
    <cellStyle name="Heading 3 6 16" xfId="4700" xr:uid="{C3BB165C-62D1-4BAC-87B7-BE9CDFD345F0}"/>
    <cellStyle name="Heading 3 6 16 2" xfId="4701" xr:uid="{C8CA2DE1-ABCB-4A93-8FDF-E79689C897E4}"/>
    <cellStyle name="Heading 3 6 17" xfId="4702" xr:uid="{71035F1F-802D-4596-8736-9F5E3609FC05}"/>
    <cellStyle name="Heading 3 6 17 2" xfId="4703" xr:uid="{8438A4D0-C548-4135-B6FD-DFD2D5B56897}"/>
    <cellStyle name="Heading 3 6 18" xfId="4704" xr:uid="{5EBA05DC-59E6-4561-B1C2-A1465A45F326}"/>
    <cellStyle name="Heading 3 6 18 2" xfId="4705" xr:uid="{42ED8CC4-FC2D-403A-8D71-BB8486D10411}"/>
    <cellStyle name="Heading 3 6 19" xfId="4706" xr:uid="{A4DE2AA9-81D1-46C6-AD4A-67AD51939044}"/>
    <cellStyle name="Heading 3 6 2" xfId="4707" xr:uid="{075A258D-2776-46C5-8D9E-E4D3BC0BBD64}"/>
    <cellStyle name="Heading 3 6 2 2" xfId="4708" xr:uid="{A3D8AE54-D769-420C-BF04-204DBCCE5167}"/>
    <cellStyle name="Heading 3 6 2 2 2" xfId="4709" xr:uid="{5044E8D5-4211-4CA0-B616-5613C1FB44B4}"/>
    <cellStyle name="Heading 3 6 2 3" xfId="4710" xr:uid="{9A8B3DBE-9B13-42CF-9F72-AD45AB463D8E}"/>
    <cellStyle name="Heading 3 6 2 3 2" xfId="4711" xr:uid="{B3526A12-83CA-4BB5-8C87-443823C77DA5}"/>
    <cellStyle name="Heading 3 6 2 4" xfId="4712" xr:uid="{C725FC88-AEBD-40E6-A788-56F2BE7E9679}"/>
    <cellStyle name="Heading 3 6 2 4 2" xfId="4713" xr:uid="{0A94BBF7-DBA9-4F1C-834F-2E3FF836AB90}"/>
    <cellStyle name="Heading 3 6 20" xfId="4714" xr:uid="{7B22FF4D-594A-4F0E-AA2C-766532A0AFD3}"/>
    <cellStyle name="Heading 3 6 21" xfId="4715" xr:uid="{249B7830-AAAB-43A3-9ACB-18315BF8D864}"/>
    <cellStyle name="Heading 3 6 22" xfId="4716" xr:uid="{AE099385-B660-41E1-A2E3-8F43A82C57AC}"/>
    <cellStyle name="Heading 3 6 23" xfId="4717" xr:uid="{97DEE7DB-BFB3-49EC-919F-066FF4502F8A}"/>
    <cellStyle name="Heading 3 6 24" xfId="4718" xr:uid="{6D88FBB9-8497-4ED3-8308-97776C8903E9}"/>
    <cellStyle name="Heading 3 6 25" xfId="4719" xr:uid="{AA5A677A-B969-460B-B1D7-A0E0A49CA269}"/>
    <cellStyle name="Heading 3 6 3" xfId="4720" xr:uid="{7935B90E-5794-4446-8775-9578841625A0}"/>
    <cellStyle name="Heading 3 6 3 2" xfId="4721" xr:uid="{47391150-E4A3-4D7A-82CA-62F419D00BD9}"/>
    <cellStyle name="Heading 3 6 3 2 2" xfId="4722" xr:uid="{1C357247-97E8-4815-A28C-C9155FB2F9F8}"/>
    <cellStyle name="Heading 3 6 3 3" xfId="4723" xr:uid="{C92CCD9D-28B1-4268-A860-8637C153B9E8}"/>
    <cellStyle name="Heading 3 6 3 3 2" xfId="4724" xr:uid="{01340052-140F-4164-A9D5-1920E62FD029}"/>
    <cellStyle name="Heading 3 6 3 4" xfId="4725" xr:uid="{125FB4EB-4AD0-4908-932A-BCF83A1C1610}"/>
    <cellStyle name="Heading 3 6 3 4 2" xfId="4726" xr:uid="{D4CE38D8-4EA5-44BE-B36E-F0661B75F4B1}"/>
    <cellStyle name="Heading 3 6 4" xfId="4727" xr:uid="{60DD7C54-CBBA-42B6-8C6B-943F566D8DA5}"/>
    <cellStyle name="Heading 3 6 4 2" xfId="4728" xr:uid="{68FCABBC-549B-4666-8AC1-45038627087F}"/>
    <cellStyle name="Heading 3 6 4 2 2" xfId="4729" xr:uid="{FC0C16A5-85BE-4AE4-823F-ECF55B268B03}"/>
    <cellStyle name="Heading 3 6 4 3" xfId="4730" xr:uid="{D24BEC65-D20B-4407-B1BD-C7A23488CF15}"/>
    <cellStyle name="Heading 3 6 4 3 2" xfId="4731" xr:uid="{17F56393-3BFE-4D21-A9FF-84B9D42AE2B8}"/>
    <cellStyle name="Heading 3 6 4 4" xfId="4732" xr:uid="{D643169A-4B49-4C52-B68D-80CA4A49BD2D}"/>
    <cellStyle name="Heading 3 6 4 4 2" xfId="4733" xr:uid="{01FF105E-D908-47ED-A3F0-8118EB344AD9}"/>
    <cellStyle name="Heading 3 6 5" xfId="4734" xr:uid="{F81F8D1A-8EDA-4B3D-96FF-53E3F94FE41C}"/>
    <cellStyle name="Heading 3 6 5 2" xfId="4735" xr:uid="{9628AB0F-F3E7-4651-B26B-E6DBE19939A2}"/>
    <cellStyle name="Heading 3 6 5 2 2" xfId="4736" xr:uid="{8774BA78-C220-421F-AAB0-F355ACEF91DB}"/>
    <cellStyle name="Heading 3 6 5 3" xfId="4737" xr:uid="{CD50691B-3636-4354-B180-6A31F346502B}"/>
    <cellStyle name="Heading 3 6 5 3 2" xfId="4738" xr:uid="{0CAB8B20-9B6E-4102-BB20-9053B36D3EEB}"/>
    <cellStyle name="Heading 3 6 5 4" xfId="4739" xr:uid="{95867C2F-AC34-4A8E-B8AC-7DCB2A354BF3}"/>
    <cellStyle name="Heading 3 6 5 4 2" xfId="4740" xr:uid="{3565EAF9-98F3-4EE4-A598-64DA45844340}"/>
    <cellStyle name="Heading 3 6 6" xfId="4741" xr:uid="{E952A277-AA56-4C99-99E9-97091F17ACB5}"/>
    <cellStyle name="Heading 3 6 6 2" xfId="4742" xr:uid="{ECD6E62B-C6EF-4D05-819D-FA8E4AE7102C}"/>
    <cellStyle name="Heading 3 6 6 2 2" xfId="4743" xr:uid="{568A1AB7-6A93-4E66-8A21-8CB5405FCCA9}"/>
    <cellStyle name="Heading 3 6 6 3" xfId="4744" xr:uid="{F11079E3-53B8-4EFB-860A-268A80E9940E}"/>
    <cellStyle name="Heading 3 6 6 3 2" xfId="4745" xr:uid="{8CBB9214-D14B-490F-AEAD-51D9D0469A71}"/>
    <cellStyle name="Heading 3 6 6 4" xfId="4746" xr:uid="{179EF733-AD50-4371-9AD0-5E0DF38C425D}"/>
    <cellStyle name="Heading 3 6 6 4 2" xfId="4747" xr:uid="{A27D5D96-64C1-42A4-8FF8-690E5F721530}"/>
    <cellStyle name="Heading 3 6 7" xfId="4748" xr:uid="{DAF459FD-1820-4749-8C55-0C238E8EE728}"/>
    <cellStyle name="Heading 3 6 7 2" xfId="4749" xr:uid="{E9E66539-8F76-4DB3-9E83-0DCDC2D52692}"/>
    <cellStyle name="Heading 3 6 7 2 2" xfId="4750" xr:uid="{79DFDB3A-A001-4E9C-9EAA-D43481D60178}"/>
    <cellStyle name="Heading 3 6 7 3" xfId="4751" xr:uid="{7C53DA9F-CA31-46E0-8F3B-5DD832A04B0D}"/>
    <cellStyle name="Heading 3 6 7 3 2" xfId="4752" xr:uid="{C365FA12-C13A-4C1B-B90B-600C1AA913C1}"/>
    <cellStyle name="Heading 3 6 7 4" xfId="4753" xr:uid="{FB85AD2C-82A7-46F0-87B2-13951B7C2447}"/>
    <cellStyle name="Heading 3 6 7 4 2" xfId="4754" xr:uid="{3FFCB8E6-31C5-4B3A-B32D-CD1F3776CE0C}"/>
    <cellStyle name="Heading 3 6 8" xfId="4755" xr:uid="{59D7CEEA-47DB-4D99-8505-5722936350A1}"/>
    <cellStyle name="Heading 3 6 8 2" xfId="4756" xr:uid="{BBD6361C-FCCA-410D-BFE1-A849AD5DE014}"/>
    <cellStyle name="Heading 3 6 8 2 2" xfId="4757" xr:uid="{6A77095B-E1E1-4590-8DFE-68ED3DADE644}"/>
    <cellStyle name="Heading 3 6 8 3" xfId="4758" xr:uid="{4DA43C56-9ECE-4242-8B15-ADEDBDB0C019}"/>
    <cellStyle name="Heading 3 6 8 3 2" xfId="4759" xr:uid="{108DE68A-1776-4BDE-95AA-FA6E4A85D21A}"/>
    <cellStyle name="Heading 3 6 8 4" xfId="4760" xr:uid="{4702FFD5-8469-4E2C-B84D-59D752C77315}"/>
    <cellStyle name="Heading 3 6 8 4 2" xfId="4761" xr:uid="{75051E73-7BEB-41F2-9C06-CCF5266AC6E4}"/>
    <cellStyle name="Heading 3 6 9" xfId="4762" xr:uid="{B721F0F4-789E-4A9B-B884-4EC5DA34A38F}"/>
    <cellStyle name="Heading 3 6 9 2" xfId="4763" xr:uid="{84A312BC-FD6B-4AFA-9B3D-6ABCAE3FEF23}"/>
    <cellStyle name="Heading 3 6 9 2 2" xfId="4764" xr:uid="{7FCB771E-7088-49A1-B718-05FD22DE00CD}"/>
    <cellStyle name="Heading 3 6 9 3" xfId="4765" xr:uid="{5C1C6CB6-F73C-4773-81AE-978AC3DDEDA7}"/>
    <cellStyle name="Heading 3 6 9 3 2" xfId="4766" xr:uid="{414A367C-CEA1-44C0-9425-019FABD404E3}"/>
    <cellStyle name="Heading 3 6 9 4" xfId="4767" xr:uid="{744E3928-BFA2-44E8-B027-781216950A1A}"/>
    <cellStyle name="Heading 3 6 9 4 2" xfId="4768" xr:uid="{8CA3565C-8A7B-447C-A78C-4C835FDC0ABD}"/>
    <cellStyle name="Heading 3 7" xfId="4769" xr:uid="{7D6988DC-1FA6-4AED-8F18-289341357952}"/>
    <cellStyle name="Heading 3 7 10" xfId="4770" xr:uid="{6D34C3D8-BC2C-402A-AE67-A8F798A10466}"/>
    <cellStyle name="Heading 3 7 10 2" xfId="4771" xr:uid="{508EEF75-F6F8-46D8-96BB-B0FE5A99FF6E}"/>
    <cellStyle name="Heading 3 7 10 2 2" xfId="4772" xr:uid="{B59CDDDB-E3B9-4487-A22B-6450C3D5A4A0}"/>
    <cellStyle name="Heading 3 7 10 3" xfId="4773" xr:uid="{D158A1D4-4670-4B62-8630-70DA43A150CB}"/>
    <cellStyle name="Heading 3 7 10 3 2" xfId="4774" xr:uid="{4F3F9487-6CC8-4A63-9DC3-709827C96D9E}"/>
    <cellStyle name="Heading 3 7 10 4" xfId="4775" xr:uid="{E386EC55-74FC-4D3C-9E4A-EA049D991023}"/>
    <cellStyle name="Heading 3 7 10 4 2" xfId="4776" xr:uid="{59AEA764-EE7F-48A6-8EF1-BFAC1F64F9A5}"/>
    <cellStyle name="Heading 3 7 11" xfId="4777" xr:uid="{7669387E-5D71-47E4-918B-72446D176503}"/>
    <cellStyle name="Heading 3 7 11 2" xfId="4778" xr:uid="{6E9B69BF-18FA-4348-9F92-6AA3869E0014}"/>
    <cellStyle name="Heading 3 7 11 2 2" xfId="4779" xr:uid="{18CFF812-1302-4CA7-BAC7-2F05CF5014EA}"/>
    <cellStyle name="Heading 3 7 11 3" xfId="4780" xr:uid="{80381F85-B345-499A-A1CA-D3205AC46F34}"/>
    <cellStyle name="Heading 3 7 11 3 2" xfId="4781" xr:uid="{AE3FA858-9BCF-4230-9BD4-59C12430BF66}"/>
    <cellStyle name="Heading 3 7 11 4" xfId="4782" xr:uid="{8FF83029-80D3-48FB-A392-281AB4144E05}"/>
    <cellStyle name="Heading 3 7 11 4 2" xfId="4783" xr:uid="{9529AA09-D454-4051-9F3F-5F03B0458F53}"/>
    <cellStyle name="Heading 3 7 12" xfId="4784" xr:uid="{130FD6B9-D90B-4325-A436-D55DFCCA2121}"/>
    <cellStyle name="Heading 3 7 12 2" xfId="4785" xr:uid="{B7C22225-90D2-4EAA-8142-CD693D9C0289}"/>
    <cellStyle name="Heading 3 7 12 2 2" xfId="4786" xr:uid="{7E31D6D6-6896-4CB1-B1C9-E4694548B6F9}"/>
    <cellStyle name="Heading 3 7 12 3" xfId="4787" xr:uid="{3285E5E7-521A-46E8-8220-0452E1648372}"/>
    <cellStyle name="Heading 3 7 12 3 2" xfId="4788" xr:uid="{E80DF227-2504-442D-AFE3-8D250C112128}"/>
    <cellStyle name="Heading 3 7 12 4" xfId="4789" xr:uid="{AF8F857B-6E83-43A6-9DE3-7CF6565C53E0}"/>
    <cellStyle name="Heading 3 7 12 4 2" xfId="4790" xr:uid="{CEA003B5-7A15-4D41-9CB5-1260C26BE8AF}"/>
    <cellStyle name="Heading 3 7 13" xfId="4791" xr:uid="{23FDFF90-F045-442D-8CC3-FFB44E15B1C5}"/>
    <cellStyle name="Heading 3 7 13 2" xfId="4792" xr:uid="{EA73704E-9624-407C-8D0D-CF35E774B6E6}"/>
    <cellStyle name="Heading 3 7 13 2 2" xfId="4793" xr:uid="{C88B3C44-010C-440C-84BC-EE9BF943DEA8}"/>
    <cellStyle name="Heading 3 7 13 3" xfId="4794" xr:uid="{E116D8E6-62F3-4212-9701-7F15BFB61E64}"/>
    <cellStyle name="Heading 3 7 13 3 2" xfId="4795" xr:uid="{889DF90E-F114-41FC-A903-B906450AFDB5}"/>
    <cellStyle name="Heading 3 7 13 4" xfId="4796" xr:uid="{B18F432C-BD57-496A-AF4F-A0C6B408258D}"/>
    <cellStyle name="Heading 3 7 13 4 2" xfId="4797" xr:uid="{D9E8AA62-23FA-4F0A-BCC7-D64C16088BC1}"/>
    <cellStyle name="Heading 3 7 14" xfId="4798" xr:uid="{B03538EE-4556-46E3-AFF6-F2BE0DE844B2}"/>
    <cellStyle name="Heading 3 7 14 2" xfId="4799" xr:uid="{8B20073E-2D57-478E-A988-4D362E506935}"/>
    <cellStyle name="Heading 3 7 14 2 2" xfId="4800" xr:uid="{F2181D9C-F978-487A-8A3B-258ED75A070F}"/>
    <cellStyle name="Heading 3 7 14 3" xfId="4801" xr:uid="{F58DFE1E-03AB-475F-A58C-7BEB2D2ABC79}"/>
    <cellStyle name="Heading 3 7 14 3 2" xfId="4802" xr:uid="{F124DCA7-40E2-46A8-8BA1-68A68E636D7C}"/>
    <cellStyle name="Heading 3 7 14 4" xfId="4803" xr:uid="{9A382457-B9BC-476B-87A7-DC1A7CF75E1B}"/>
    <cellStyle name="Heading 3 7 14 4 2" xfId="4804" xr:uid="{DAFE7909-7382-41C2-BA5A-F464BA0C11F2}"/>
    <cellStyle name="Heading 3 7 15" xfId="4805" xr:uid="{53222D85-28DA-43FE-A2BC-200C062D6EED}"/>
    <cellStyle name="Heading 3 7 15 2" xfId="4806" xr:uid="{2D09F67F-B1EB-40C9-A3EA-CF33BB1FF9AE}"/>
    <cellStyle name="Heading 3 7 15 2 2" xfId="4807" xr:uid="{36C42351-5538-4E9A-AC73-ADB27A070B07}"/>
    <cellStyle name="Heading 3 7 15 3" xfId="4808" xr:uid="{79CA9112-66E7-4C56-9C21-00348C8F67E0}"/>
    <cellStyle name="Heading 3 7 15 3 2" xfId="4809" xr:uid="{FC93B4AD-6AA9-4D8B-AAF3-F32F7EE462D6}"/>
    <cellStyle name="Heading 3 7 15 4" xfId="4810" xr:uid="{AEBE0D3C-1780-4383-9A80-D0D2D6E00304}"/>
    <cellStyle name="Heading 3 7 15 4 2" xfId="4811" xr:uid="{580F07BF-C5D9-4B70-8934-1DD32098F2D9}"/>
    <cellStyle name="Heading 3 7 16" xfId="4812" xr:uid="{8CE54205-F11E-46D8-B451-AA710857652C}"/>
    <cellStyle name="Heading 3 7 16 2" xfId="4813" xr:uid="{3E5760FB-C493-4F5B-B8F2-D71A72E0E121}"/>
    <cellStyle name="Heading 3 7 17" xfId="4814" xr:uid="{EB6A6706-D254-49F3-A858-A07F0DA00F21}"/>
    <cellStyle name="Heading 3 7 17 2" xfId="4815" xr:uid="{E058247A-4CC3-4BF7-9461-FFEC6FB1F759}"/>
    <cellStyle name="Heading 3 7 18" xfId="4816" xr:uid="{9C4B6547-8BF8-4694-A78C-BDDE566B7489}"/>
    <cellStyle name="Heading 3 7 18 2" xfId="4817" xr:uid="{9AD4EBD0-374E-4061-AC6C-FA5C85CA8124}"/>
    <cellStyle name="Heading 3 7 19" xfId="4818" xr:uid="{652BE158-D776-4217-8B95-3F25D72DFBFD}"/>
    <cellStyle name="Heading 3 7 2" xfId="4819" xr:uid="{20544DF7-BA11-4DFE-B219-56BCCE4E70ED}"/>
    <cellStyle name="Heading 3 7 2 2" xfId="4820" xr:uid="{57ABD081-E67F-4C7E-B436-DCB2211087A9}"/>
    <cellStyle name="Heading 3 7 2 2 2" xfId="4821" xr:uid="{C148EC88-5266-488D-9770-92C029229D90}"/>
    <cellStyle name="Heading 3 7 2 3" xfId="4822" xr:uid="{6EEA636D-FC1E-4B6F-9C02-31303CEC6B04}"/>
    <cellStyle name="Heading 3 7 2 3 2" xfId="4823" xr:uid="{3DD0357A-83FD-47E4-81FA-C90EED6AD472}"/>
    <cellStyle name="Heading 3 7 2 4" xfId="4824" xr:uid="{A22693EA-2B2B-4171-8ECC-E36716131940}"/>
    <cellStyle name="Heading 3 7 2 4 2" xfId="4825" xr:uid="{71F24015-94FC-4BAB-8BB3-787AACAED882}"/>
    <cellStyle name="Heading 3 7 20" xfId="4826" xr:uid="{43AEE8B6-CA44-4D98-8F18-AE82E9A95632}"/>
    <cellStyle name="Heading 3 7 21" xfId="4827" xr:uid="{9CD130C1-6ABF-45DC-8B0F-1D0C73193832}"/>
    <cellStyle name="Heading 3 7 22" xfId="4828" xr:uid="{66776F88-5D16-450E-9699-9BC08C9E163C}"/>
    <cellStyle name="Heading 3 7 23" xfId="4829" xr:uid="{DC52F3BD-3CEC-42F4-B6A9-3DF7918113A8}"/>
    <cellStyle name="Heading 3 7 24" xfId="4830" xr:uid="{D5583619-3CDB-4523-80FF-5C172EDF4BDE}"/>
    <cellStyle name="Heading 3 7 25" xfId="4831" xr:uid="{1A49E17E-3299-4DF2-AC6C-00FEF823304B}"/>
    <cellStyle name="Heading 3 7 3" xfId="4832" xr:uid="{F0EBCA44-74CF-4B80-8DAC-2E7FA3FEAACC}"/>
    <cellStyle name="Heading 3 7 3 2" xfId="4833" xr:uid="{E7556040-C37B-4040-ADF2-286F0D665787}"/>
    <cellStyle name="Heading 3 7 3 2 2" xfId="4834" xr:uid="{B9BF0195-837B-486E-98B8-1CE99E1EB269}"/>
    <cellStyle name="Heading 3 7 3 3" xfId="4835" xr:uid="{059415AA-73E3-41B7-94C2-2409C7371930}"/>
    <cellStyle name="Heading 3 7 3 3 2" xfId="4836" xr:uid="{5E79914E-A663-4A73-8B01-CDECC88C51C6}"/>
    <cellStyle name="Heading 3 7 3 4" xfId="4837" xr:uid="{132D2F56-F972-4B95-9CA8-A3BB7E310D8B}"/>
    <cellStyle name="Heading 3 7 3 4 2" xfId="4838" xr:uid="{D5B78121-46E0-435C-8FE5-75DDDA9AFEBC}"/>
    <cellStyle name="Heading 3 7 4" xfId="4839" xr:uid="{7F3C8095-8EBC-4724-870A-4525059A1B47}"/>
    <cellStyle name="Heading 3 7 4 2" xfId="4840" xr:uid="{57CEF84B-1FE0-46AD-AE8B-912306532F32}"/>
    <cellStyle name="Heading 3 7 4 2 2" xfId="4841" xr:uid="{AD5D7FC0-1184-4C2A-8EBF-B42CA988F876}"/>
    <cellStyle name="Heading 3 7 4 3" xfId="4842" xr:uid="{817E4548-BDCD-43CD-8BED-8F18A24E5526}"/>
    <cellStyle name="Heading 3 7 4 3 2" xfId="4843" xr:uid="{C899E94B-95BA-4EC6-A6F1-4AE59E7E500E}"/>
    <cellStyle name="Heading 3 7 4 4" xfId="4844" xr:uid="{B80735DB-4D34-48DC-A921-E87DBD783B11}"/>
    <cellStyle name="Heading 3 7 4 4 2" xfId="4845" xr:uid="{90344E57-A7B3-40D9-BBF7-B1A1EFE41D61}"/>
    <cellStyle name="Heading 3 7 5" xfId="4846" xr:uid="{97F9D368-841D-4F46-9BDD-B777EE9E8280}"/>
    <cellStyle name="Heading 3 7 5 2" xfId="4847" xr:uid="{17CD9E05-4155-4FC2-A0EC-F717BA4D2745}"/>
    <cellStyle name="Heading 3 7 5 2 2" xfId="4848" xr:uid="{29293F07-7EFE-4FF8-BCC4-E11DA94DDCEC}"/>
    <cellStyle name="Heading 3 7 5 3" xfId="4849" xr:uid="{1BE7FD39-3E22-4650-8CED-91B5CB532723}"/>
    <cellStyle name="Heading 3 7 5 3 2" xfId="4850" xr:uid="{D8C52110-B8A3-4660-ADAB-2523CD488A78}"/>
    <cellStyle name="Heading 3 7 5 4" xfId="4851" xr:uid="{06534341-B864-499B-A417-F0A21AEABBCA}"/>
    <cellStyle name="Heading 3 7 5 4 2" xfId="4852" xr:uid="{190042C9-D515-4C5D-B78F-AB086471FEFF}"/>
    <cellStyle name="Heading 3 7 6" xfId="4853" xr:uid="{D32D572F-7959-4BDF-A858-E7C75825ED8D}"/>
    <cellStyle name="Heading 3 7 6 2" xfId="4854" xr:uid="{B9FDF0F2-7A18-4085-BF64-7FD412C51B38}"/>
    <cellStyle name="Heading 3 7 6 2 2" xfId="4855" xr:uid="{A67BA6A5-B21C-4CC7-A41B-F506480C55AA}"/>
    <cellStyle name="Heading 3 7 6 3" xfId="4856" xr:uid="{6A2B579E-9E65-4A5D-B4BF-B49B4828C87C}"/>
    <cellStyle name="Heading 3 7 6 3 2" xfId="4857" xr:uid="{72AEA73D-63EA-4333-82A5-28977C67CFFD}"/>
    <cellStyle name="Heading 3 7 6 4" xfId="4858" xr:uid="{E87923F7-6494-438B-8A0B-3FBB9CE35271}"/>
    <cellStyle name="Heading 3 7 6 4 2" xfId="4859" xr:uid="{3BABE4E4-E79E-4EFA-848F-79260B43F385}"/>
    <cellStyle name="Heading 3 7 7" xfId="4860" xr:uid="{9BCBCD52-EE24-4AB5-9C3F-3B6AF231EE69}"/>
    <cellStyle name="Heading 3 7 7 2" xfId="4861" xr:uid="{92E9EED6-957A-4384-A7C7-C8698CF71DBC}"/>
    <cellStyle name="Heading 3 7 7 2 2" xfId="4862" xr:uid="{39575877-3CC2-4CD3-8B58-6276ED7E242E}"/>
    <cellStyle name="Heading 3 7 7 3" xfId="4863" xr:uid="{0A890108-E9A4-487F-86A8-D5B3B46216A9}"/>
    <cellStyle name="Heading 3 7 7 3 2" xfId="4864" xr:uid="{D8D896CB-49D9-4CD2-BB82-DF53BAB769AC}"/>
    <cellStyle name="Heading 3 7 7 4" xfId="4865" xr:uid="{45BC00BE-2C45-462B-94C8-CCDF13EF635B}"/>
    <cellStyle name="Heading 3 7 7 4 2" xfId="4866" xr:uid="{07A4F06B-9A6E-42C8-BC09-31B1F9B67861}"/>
    <cellStyle name="Heading 3 7 8" xfId="4867" xr:uid="{9FBDAA1F-CE05-4FBB-AE6D-991B42F582B5}"/>
    <cellStyle name="Heading 3 7 8 2" xfId="4868" xr:uid="{236DAC3C-C345-4C27-80CD-850FADB882C3}"/>
    <cellStyle name="Heading 3 7 8 2 2" xfId="4869" xr:uid="{D8A5DE8E-050B-4386-81A3-F4FEE35F7EF8}"/>
    <cellStyle name="Heading 3 7 8 3" xfId="4870" xr:uid="{0010EB45-3F0F-4E8F-97C2-85290BBEF4B7}"/>
    <cellStyle name="Heading 3 7 8 3 2" xfId="4871" xr:uid="{DCAD6EB9-6CC3-4C81-A96D-C586533D7D48}"/>
    <cellStyle name="Heading 3 7 8 4" xfId="4872" xr:uid="{7C0E50AD-5B33-496E-8377-550ACEB5E462}"/>
    <cellStyle name="Heading 3 7 8 4 2" xfId="4873" xr:uid="{FA15BD18-F9D5-45D0-9269-1C3DBB3E76C2}"/>
    <cellStyle name="Heading 3 7 9" xfId="4874" xr:uid="{63DA2566-293F-48E7-899A-C606C3C1F785}"/>
    <cellStyle name="Heading 3 7 9 2" xfId="4875" xr:uid="{82384061-3514-465B-814E-C095E10217D0}"/>
    <cellStyle name="Heading 3 7 9 2 2" xfId="4876" xr:uid="{A26D28D1-9205-4327-B598-645D76CDF0C0}"/>
    <cellStyle name="Heading 3 7 9 3" xfId="4877" xr:uid="{6911D6B4-6BDB-4D94-9FE8-3D003E12D379}"/>
    <cellStyle name="Heading 3 7 9 3 2" xfId="4878" xr:uid="{5771EC51-3555-430C-958A-208615709BF3}"/>
    <cellStyle name="Heading 3 7 9 4" xfId="4879" xr:uid="{838695B4-CA21-4E37-A92F-8CAF69DA5FAA}"/>
    <cellStyle name="Heading 3 7 9 4 2" xfId="4880" xr:uid="{D8454AB1-1616-4F9C-8016-CA9CF8D27A86}"/>
    <cellStyle name="Heading 3 8" xfId="4881" xr:uid="{25CF224A-B31F-4974-90C7-2AFC5F9A4F01}"/>
    <cellStyle name="Heading 3 8 10" xfId="4882" xr:uid="{EE49E8CC-1AFC-47BD-BCEE-51ED30BF2436}"/>
    <cellStyle name="Heading 3 8 10 2" xfId="4883" xr:uid="{2DCCB28C-FDA8-40E0-9E86-F19B9FEA78AE}"/>
    <cellStyle name="Heading 3 8 10 2 2" xfId="4884" xr:uid="{0265B77C-A93A-4A3D-B338-0ECB22B3F74E}"/>
    <cellStyle name="Heading 3 8 10 3" xfId="4885" xr:uid="{D11D03A3-7B29-4B61-B06D-566C94B304CA}"/>
    <cellStyle name="Heading 3 8 10 3 2" xfId="4886" xr:uid="{30DB5207-54B2-4179-A5CA-B7FB498E5828}"/>
    <cellStyle name="Heading 3 8 10 4" xfId="4887" xr:uid="{BFF9496C-6A9F-4391-A71B-B369D28C94F5}"/>
    <cellStyle name="Heading 3 8 10 4 2" xfId="4888" xr:uid="{246654AB-FE8B-4BEE-8B84-FF05708C6B1A}"/>
    <cellStyle name="Heading 3 8 11" xfId="4889" xr:uid="{7F784BAA-7B72-4965-9498-7F91B9B2B611}"/>
    <cellStyle name="Heading 3 8 11 2" xfId="4890" xr:uid="{4F140449-B565-4011-A971-0A3EA8CFE638}"/>
    <cellStyle name="Heading 3 8 11 2 2" xfId="4891" xr:uid="{BBABEBBA-D405-4396-A15E-396E5CCA5232}"/>
    <cellStyle name="Heading 3 8 11 3" xfId="4892" xr:uid="{BC95B740-4EBD-407C-872B-BA759D70F7D4}"/>
    <cellStyle name="Heading 3 8 11 3 2" xfId="4893" xr:uid="{1C8EC478-84FF-4183-8E37-F9B7F1AE90FF}"/>
    <cellStyle name="Heading 3 8 11 4" xfId="4894" xr:uid="{A060DE45-126E-49A6-9332-912CDCDDED0B}"/>
    <cellStyle name="Heading 3 8 11 4 2" xfId="4895" xr:uid="{A232B70C-C72E-4F28-ADED-84EEF571645F}"/>
    <cellStyle name="Heading 3 8 12" xfId="4896" xr:uid="{08087207-AE30-432F-9916-0874EC3A559B}"/>
    <cellStyle name="Heading 3 8 12 2" xfId="4897" xr:uid="{B128B9D9-2671-4463-9838-56BA7AFDAD4C}"/>
    <cellStyle name="Heading 3 8 12 2 2" xfId="4898" xr:uid="{EB0CF871-EC06-4453-9C32-DDA388EA9DE0}"/>
    <cellStyle name="Heading 3 8 12 3" xfId="4899" xr:uid="{7D956120-21C3-40F5-91FD-30B24D27883E}"/>
    <cellStyle name="Heading 3 8 12 3 2" xfId="4900" xr:uid="{3EE83E7C-1462-4473-9AC4-E51F0358D908}"/>
    <cellStyle name="Heading 3 8 12 4" xfId="4901" xr:uid="{45EFC87D-813C-4DC5-8E53-B33783129045}"/>
    <cellStyle name="Heading 3 8 12 4 2" xfId="4902" xr:uid="{F82BADDA-D9B7-42C0-AF88-7F50C82439CE}"/>
    <cellStyle name="Heading 3 8 13" xfId="4903" xr:uid="{52FBF93F-065F-405F-B9A9-8DD283002B04}"/>
    <cellStyle name="Heading 3 8 13 2" xfId="4904" xr:uid="{193B69B2-9D0D-410D-AF53-C096BACF74A0}"/>
    <cellStyle name="Heading 3 8 13 2 2" xfId="4905" xr:uid="{8D79D12A-D867-49E3-8FBD-FDDBDC36309F}"/>
    <cellStyle name="Heading 3 8 13 3" xfId="4906" xr:uid="{DD820BDC-2319-4321-A0A9-18DE82DDC4B5}"/>
    <cellStyle name="Heading 3 8 13 3 2" xfId="4907" xr:uid="{7B9318BD-DD15-4F78-96CD-6D26288557DF}"/>
    <cellStyle name="Heading 3 8 13 4" xfId="4908" xr:uid="{5EFCD262-E088-415D-AC32-99F13C2706E6}"/>
    <cellStyle name="Heading 3 8 13 4 2" xfId="4909" xr:uid="{F03533B9-C8B5-4049-BE21-146A48465410}"/>
    <cellStyle name="Heading 3 8 14" xfId="4910" xr:uid="{F60B3132-147D-47A2-A8BD-255082A9F575}"/>
    <cellStyle name="Heading 3 8 14 2" xfId="4911" xr:uid="{401FAC8F-1C82-4115-8BCA-B4E783C72793}"/>
    <cellStyle name="Heading 3 8 14 2 2" xfId="4912" xr:uid="{82A35DE9-2103-417C-A386-8F7F58ABC6EE}"/>
    <cellStyle name="Heading 3 8 14 3" xfId="4913" xr:uid="{AED881E3-7E4E-4816-AB59-7BBABFB1B05B}"/>
    <cellStyle name="Heading 3 8 14 3 2" xfId="4914" xr:uid="{4D9A8452-AAA9-4810-9D34-6B4D8E4C122E}"/>
    <cellStyle name="Heading 3 8 14 4" xfId="4915" xr:uid="{6628C87C-8A72-4886-BC30-5BA28D394667}"/>
    <cellStyle name="Heading 3 8 14 4 2" xfId="4916" xr:uid="{E37886C3-D7EB-457A-BC89-B88798179051}"/>
    <cellStyle name="Heading 3 8 15" xfId="4917" xr:uid="{6AE669FE-52EA-4292-8F59-6A8A39AA2B98}"/>
    <cellStyle name="Heading 3 8 15 2" xfId="4918" xr:uid="{4CDDC906-BA7C-4229-BDD8-4365FE895E2B}"/>
    <cellStyle name="Heading 3 8 15 2 2" xfId="4919" xr:uid="{7C767F05-8489-4CEF-A4D2-407F39525488}"/>
    <cellStyle name="Heading 3 8 15 3" xfId="4920" xr:uid="{4845879C-181D-4F2C-B359-9A8B1897CB3C}"/>
    <cellStyle name="Heading 3 8 15 3 2" xfId="4921" xr:uid="{287DCB86-E280-49E7-9E3F-30A5ECB6C0D8}"/>
    <cellStyle name="Heading 3 8 15 4" xfId="4922" xr:uid="{CFA13EAD-EB9D-424F-8DF0-8CEB9EFA3B90}"/>
    <cellStyle name="Heading 3 8 15 4 2" xfId="4923" xr:uid="{8048537C-59D2-468A-98C4-27441C7ACBEB}"/>
    <cellStyle name="Heading 3 8 16" xfId="4924" xr:uid="{4CDCCA19-48B0-459D-B96D-9FBA6A2D9373}"/>
    <cellStyle name="Heading 3 8 16 2" xfId="4925" xr:uid="{80ACF1AD-2E8A-4BE2-BCEF-DBA896C4A2D0}"/>
    <cellStyle name="Heading 3 8 17" xfId="4926" xr:uid="{35D853AC-9E28-4A15-BA38-123C8EDD8362}"/>
    <cellStyle name="Heading 3 8 17 2" xfId="4927" xr:uid="{67289ACD-E806-4CF6-B787-B9FB6E89FC29}"/>
    <cellStyle name="Heading 3 8 18" xfId="4928" xr:uid="{C605ED5F-4B85-412C-9A95-C4812830D671}"/>
    <cellStyle name="Heading 3 8 18 2" xfId="4929" xr:uid="{CE1A0B13-0818-49BC-B1AD-0086E8E57951}"/>
    <cellStyle name="Heading 3 8 19" xfId="4930" xr:uid="{43FC26AC-C77C-4BA3-9438-282483090565}"/>
    <cellStyle name="Heading 3 8 2" xfId="4931" xr:uid="{087BCCD7-B61C-4732-A763-376D5D2032A1}"/>
    <cellStyle name="Heading 3 8 2 2" xfId="4932" xr:uid="{044E5BFB-AB6C-4366-A7F6-5F5478A252AE}"/>
    <cellStyle name="Heading 3 8 2 2 2" xfId="4933" xr:uid="{956F01FF-2F80-4C73-A761-317EB02B9E6B}"/>
    <cellStyle name="Heading 3 8 2 3" xfId="4934" xr:uid="{8CBF1CC1-116B-4448-B88F-ABB1773BB29A}"/>
    <cellStyle name="Heading 3 8 2 3 2" xfId="4935" xr:uid="{5032DBEF-46E6-4F0F-8E37-59B8BA5199D7}"/>
    <cellStyle name="Heading 3 8 2 4" xfId="4936" xr:uid="{770890EE-62B4-46C0-874A-E03E18797979}"/>
    <cellStyle name="Heading 3 8 2 4 2" xfId="4937" xr:uid="{334785B9-DD72-4A1A-91BA-2246E2EE5F0B}"/>
    <cellStyle name="Heading 3 8 20" xfId="4938" xr:uid="{0B150BDA-C67E-4A8F-B71C-6E159FDF3F15}"/>
    <cellStyle name="Heading 3 8 21" xfId="4939" xr:uid="{99F2C50F-CC86-426B-A49D-405FEA41080A}"/>
    <cellStyle name="Heading 3 8 22" xfId="4940" xr:uid="{7EFFA481-E5D3-4DC7-8687-8D94DA26C6DE}"/>
    <cellStyle name="Heading 3 8 23" xfId="4941" xr:uid="{402A0603-ED3A-4F9A-8479-1962BA13A7AE}"/>
    <cellStyle name="Heading 3 8 24" xfId="4942" xr:uid="{6F9F55F3-D2D7-4BF7-B4D1-21F663B1B123}"/>
    <cellStyle name="Heading 3 8 25" xfId="4943" xr:uid="{AF5DC3AD-C572-4A55-865A-5BD5FE1D95BA}"/>
    <cellStyle name="Heading 3 8 3" xfId="4944" xr:uid="{48CE00C1-95D9-4F3A-9DED-C5F7020D7AB2}"/>
    <cellStyle name="Heading 3 8 3 2" xfId="4945" xr:uid="{994E0BBF-CD3E-4DC4-B614-9FB5CEC8C956}"/>
    <cellStyle name="Heading 3 8 3 2 2" xfId="4946" xr:uid="{64825B2D-0066-42CC-9E30-B20A0A8DF4C2}"/>
    <cellStyle name="Heading 3 8 3 3" xfId="4947" xr:uid="{8BEC31E3-40AA-4E3C-80FD-4B25064105A9}"/>
    <cellStyle name="Heading 3 8 3 3 2" xfId="4948" xr:uid="{0809CF9D-E1D1-4164-8E4E-AE6BBD2D136C}"/>
    <cellStyle name="Heading 3 8 3 4" xfId="4949" xr:uid="{2CEAE7AF-48B8-4B1C-A92D-3647267D8DC7}"/>
    <cellStyle name="Heading 3 8 3 4 2" xfId="4950" xr:uid="{292FBE7A-4F28-419C-A4D0-FBF10C56B7FC}"/>
    <cellStyle name="Heading 3 8 4" xfId="4951" xr:uid="{3502FF25-BD7B-4A4D-98AA-741AD0FC4E3C}"/>
    <cellStyle name="Heading 3 8 4 2" xfId="4952" xr:uid="{FD8FD55D-FF27-4AC8-AC70-6CC755168944}"/>
    <cellStyle name="Heading 3 8 4 2 2" xfId="4953" xr:uid="{69C792D7-5608-4B24-BCEC-F67906D16425}"/>
    <cellStyle name="Heading 3 8 4 3" xfId="4954" xr:uid="{9A0F2C2A-D378-47B3-9DFA-15B90A959533}"/>
    <cellStyle name="Heading 3 8 4 3 2" xfId="4955" xr:uid="{E6C80E88-4A3E-4D5D-B3CD-13282FCBDFCB}"/>
    <cellStyle name="Heading 3 8 4 4" xfId="4956" xr:uid="{60536C5A-0FCD-412E-927F-3266D06FE5B7}"/>
    <cellStyle name="Heading 3 8 4 4 2" xfId="4957" xr:uid="{3A874568-72BE-4CF8-9C6C-308F87B59B1F}"/>
    <cellStyle name="Heading 3 8 5" xfId="4958" xr:uid="{89D8AFB5-2D5B-4A27-8113-3AFD65B0B8BF}"/>
    <cellStyle name="Heading 3 8 5 2" xfId="4959" xr:uid="{12BD4262-A16F-4D42-8B64-4365B92397BF}"/>
    <cellStyle name="Heading 3 8 5 2 2" xfId="4960" xr:uid="{48CDF94A-F5BF-4EA1-9434-68B5DCD7044A}"/>
    <cellStyle name="Heading 3 8 5 3" xfId="4961" xr:uid="{4061D1B8-061B-43F0-8EF7-E9A333A24A1E}"/>
    <cellStyle name="Heading 3 8 5 3 2" xfId="4962" xr:uid="{C63DE299-DE4C-4C3C-B914-BC773311A0ED}"/>
    <cellStyle name="Heading 3 8 5 4" xfId="4963" xr:uid="{4CA6A820-2444-4A77-8DCB-0891893DD9DF}"/>
    <cellStyle name="Heading 3 8 5 4 2" xfId="4964" xr:uid="{4BC58B81-476A-4F5D-9371-15430A82B78C}"/>
    <cellStyle name="Heading 3 8 6" xfId="4965" xr:uid="{F5F39FF3-0CB7-4750-97DE-A77DCC1791A2}"/>
    <cellStyle name="Heading 3 8 6 2" xfId="4966" xr:uid="{72D8775A-CFC5-4902-8747-8ECD5C4D0EB6}"/>
    <cellStyle name="Heading 3 8 6 2 2" xfId="4967" xr:uid="{06358D2B-C216-4C59-8D8F-6600958FEBF6}"/>
    <cellStyle name="Heading 3 8 6 3" xfId="4968" xr:uid="{5EFDB665-0A2B-4A47-9AB0-ACBFD5179262}"/>
    <cellStyle name="Heading 3 8 6 3 2" xfId="4969" xr:uid="{0CDBBD7D-2471-4626-ADD1-62E792C54A69}"/>
    <cellStyle name="Heading 3 8 6 4" xfId="4970" xr:uid="{94E683B9-2D3A-43AC-8DA6-FF4AF977CF90}"/>
    <cellStyle name="Heading 3 8 6 4 2" xfId="4971" xr:uid="{9DA44EB0-CA4A-4494-A2E3-B472C1B2B6DE}"/>
    <cellStyle name="Heading 3 8 7" xfId="4972" xr:uid="{35D00872-FAAA-4295-89CE-290D1B5043F4}"/>
    <cellStyle name="Heading 3 8 7 2" xfId="4973" xr:uid="{56B4CF5A-6792-425B-B454-619CCAC9656B}"/>
    <cellStyle name="Heading 3 8 7 2 2" xfId="4974" xr:uid="{0A2204B6-58CA-4F67-B1EB-B6A24C9F5074}"/>
    <cellStyle name="Heading 3 8 7 3" xfId="4975" xr:uid="{29BCB10F-B21A-4BD0-A1FA-C35F577410B4}"/>
    <cellStyle name="Heading 3 8 7 3 2" xfId="4976" xr:uid="{BA7102FE-3023-42F1-9929-A61939D79B90}"/>
    <cellStyle name="Heading 3 8 7 4" xfId="4977" xr:uid="{F3AE7B04-CEF0-449C-877B-45A20F5ECA3D}"/>
    <cellStyle name="Heading 3 8 7 4 2" xfId="4978" xr:uid="{CA0C8D2F-04C1-4C5A-9982-457CEABE062F}"/>
    <cellStyle name="Heading 3 8 8" xfId="4979" xr:uid="{09347978-A590-431F-ABEB-17DAFD19FA62}"/>
    <cellStyle name="Heading 3 8 8 2" xfId="4980" xr:uid="{98885F0B-B4D4-4C05-9470-30AE28DBA616}"/>
    <cellStyle name="Heading 3 8 8 2 2" xfId="4981" xr:uid="{23847C8A-07C0-40A2-9333-A6D311535EC2}"/>
    <cellStyle name="Heading 3 8 8 3" xfId="4982" xr:uid="{ABCB0FFE-EE11-42B7-A3C0-0586C7104277}"/>
    <cellStyle name="Heading 3 8 8 3 2" xfId="4983" xr:uid="{1C71E5C6-46F4-4A1F-88A8-F97E0A37FCDC}"/>
    <cellStyle name="Heading 3 8 8 4" xfId="4984" xr:uid="{F0EEAB5C-06A9-4324-9A9E-7D6FBA4706A3}"/>
    <cellStyle name="Heading 3 8 8 4 2" xfId="4985" xr:uid="{AE37856C-08A6-40A7-A035-307E2F4FDA98}"/>
    <cellStyle name="Heading 3 8 9" xfId="4986" xr:uid="{7EAA5F23-DC2B-4F16-A397-7A5C19FEC5E5}"/>
    <cellStyle name="Heading 3 8 9 2" xfId="4987" xr:uid="{EBCF44A8-893C-4093-B8E4-471498A82931}"/>
    <cellStyle name="Heading 3 8 9 2 2" xfId="4988" xr:uid="{3042DBBD-5ECE-47E1-928B-0D90B66FB8EA}"/>
    <cellStyle name="Heading 3 8 9 3" xfId="4989" xr:uid="{747274B2-544A-4CFB-838B-1D4DBB484423}"/>
    <cellStyle name="Heading 3 8 9 3 2" xfId="4990" xr:uid="{98F491CF-A7B2-46F5-9F8E-05D1F97D2E4C}"/>
    <cellStyle name="Heading 3 8 9 4" xfId="4991" xr:uid="{242FA17F-02F6-427B-92DA-085EE3E5A1DA}"/>
    <cellStyle name="Heading 3 8 9 4 2" xfId="4992" xr:uid="{12DB15B6-659D-4EF1-BB85-2C86C48F7A0D}"/>
    <cellStyle name="Heading 3 9" xfId="4993" xr:uid="{5ED312F7-BE51-4805-9DBC-3AD20875A352}"/>
    <cellStyle name="Heading 3 9 10" xfId="4994" xr:uid="{9FB7749E-A1D2-4B78-9CEE-9E5AA23BEFC7}"/>
    <cellStyle name="Heading 3 9 10 2" xfId="4995" xr:uid="{1968E6D8-92BE-415E-87C1-51947AB1353E}"/>
    <cellStyle name="Heading 3 9 10 2 2" xfId="4996" xr:uid="{874A0798-B010-418B-A53D-BE6CB437AD0F}"/>
    <cellStyle name="Heading 3 9 10 3" xfId="4997" xr:uid="{497E7B57-0D94-4F6C-85D1-D5D49E2A9BBB}"/>
    <cellStyle name="Heading 3 9 10 3 2" xfId="4998" xr:uid="{A3E589DA-56D7-4AD0-9EFE-A356FDB9F439}"/>
    <cellStyle name="Heading 3 9 10 4" xfId="4999" xr:uid="{79023196-AA9A-4E51-9CDD-F88E82FF3B39}"/>
    <cellStyle name="Heading 3 9 10 4 2" xfId="5000" xr:uid="{153A9CFC-C7EE-4B50-9DFA-AE2285F28647}"/>
    <cellStyle name="Heading 3 9 11" xfId="5001" xr:uid="{41EC013D-BBDA-4A2E-B51F-7F421A55D22A}"/>
    <cellStyle name="Heading 3 9 11 2" xfId="5002" xr:uid="{619B981A-C20B-455A-BCCB-D49DFB5E86B8}"/>
    <cellStyle name="Heading 3 9 11 2 2" xfId="5003" xr:uid="{5BB0488F-AAB7-47F0-B9E4-7B1CAAF08356}"/>
    <cellStyle name="Heading 3 9 11 3" xfId="5004" xr:uid="{D3A30F9B-56C4-442B-AF20-0084150EE57C}"/>
    <cellStyle name="Heading 3 9 11 3 2" xfId="5005" xr:uid="{81AF7E4D-635E-4F23-BAC9-FA608610D105}"/>
    <cellStyle name="Heading 3 9 11 4" xfId="5006" xr:uid="{DCAFCE8F-45F8-4E4A-8AEC-5A6D07685566}"/>
    <cellStyle name="Heading 3 9 11 4 2" xfId="5007" xr:uid="{079B3D7A-BEAB-4578-8324-0EF9AFE922DD}"/>
    <cellStyle name="Heading 3 9 12" xfId="5008" xr:uid="{BBBA5124-CAEB-43AD-A5DC-024304D932F5}"/>
    <cellStyle name="Heading 3 9 12 2" xfId="5009" xr:uid="{F4653CD9-A032-49A5-861B-AE4C035ED9C4}"/>
    <cellStyle name="Heading 3 9 12 2 2" xfId="5010" xr:uid="{5D23C2E3-1F58-4BDD-BAA2-86BE076ABB65}"/>
    <cellStyle name="Heading 3 9 12 3" xfId="5011" xr:uid="{6ABFC950-0248-45BD-A031-DCCAD3A0C984}"/>
    <cellStyle name="Heading 3 9 12 3 2" xfId="5012" xr:uid="{53252B15-1344-46A4-83A3-BB4DEDC1FD7D}"/>
    <cellStyle name="Heading 3 9 12 4" xfId="5013" xr:uid="{E75A7E36-6903-41E8-8081-C78ABF0C605F}"/>
    <cellStyle name="Heading 3 9 12 4 2" xfId="5014" xr:uid="{04938F0F-F719-4E46-AB35-E5284F9074F8}"/>
    <cellStyle name="Heading 3 9 13" xfId="5015" xr:uid="{D32642CB-20AB-42BC-8721-40F3A54E3C9D}"/>
    <cellStyle name="Heading 3 9 13 2" xfId="5016" xr:uid="{AE14FE2C-EC62-42D9-82C0-938A912AC167}"/>
    <cellStyle name="Heading 3 9 13 2 2" xfId="5017" xr:uid="{DE88743A-D5C1-4D7B-9E36-A98DB655CD8D}"/>
    <cellStyle name="Heading 3 9 13 3" xfId="5018" xr:uid="{FBD45880-E148-44F9-ABB3-38ECD652A22A}"/>
    <cellStyle name="Heading 3 9 13 3 2" xfId="5019" xr:uid="{6BC61533-ED65-4610-9E04-7411B1417D79}"/>
    <cellStyle name="Heading 3 9 13 4" xfId="5020" xr:uid="{595753B8-9293-4ADF-B212-64D65D28DC6A}"/>
    <cellStyle name="Heading 3 9 13 4 2" xfId="5021" xr:uid="{CC63B68B-049B-4E8F-9DD6-01059FD79BEA}"/>
    <cellStyle name="Heading 3 9 14" xfId="5022" xr:uid="{0465683A-556B-40B4-8465-963D19179E33}"/>
    <cellStyle name="Heading 3 9 14 2" xfId="5023" xr:uid="{0E8795BF-ACBE-4983-8ED0-ABA5B15546C0}"/>
    <cellStyle name="Heading 3 9 14 2 2" xfId="5024" xr:uid="{BD25B4B3-C54C-4335-96D2-A8A5B290E2DB}"/>
    <cellStyle name="Heading 3 9 14 3" xfId="5025" xr:uid="{7F254426-D7A8-45DC-94FE-30D19CE810BC}"/>
    <cellStyle name="Heading 3 9 14 3 2" xfId="5026" xr:uid="{D920BE44-5D84-4606-9AAE-8765677318B6}"/>
    <cellStyle name="Heading 3 9 14 4" xfId="5027" xr:uid="{447E59FA-5B7F-470F-84C2-84FCD77071F3}"/>
    <cellStyle name="Heading 3 9 14 4 2" xfId="5028" xr:uid="{13C8C09B-9660-464F-BB1B-80E796605627}"/>
    <cellStyle name="Heading 3 9 15" xfId="5029" xr:uid="{E3037621-4D97-45E0-860D-DFF4000AF8B6}"/>
    <cellStyle name="Heading 3 9 15 2" xfId="5030" xr:uid="{D46DFEBB-629F-49B2-9FD7-0C944BC00EBF}"/>
    <cellStyle name="Heading 3 9 15 2 2" xfId="5031" xr:uid="{BFF062EF-A6EE-4C44-9060-5E90F6C2F1B1}"/>
    <cellStyle name="Heading 3 9 15 3" xfId="5032" xr:uid="{0DF593FD-B244-41E6-A189-42CC12D7411D}"/>
    <cellStyle name="Heading 3 9 15 3 2" xfId="5033" xr:uid="{91F6089B-E025-4077-B8B0-E04184B9EAB7}"/>
    <cellStyle name="Heading 3 9 15 4" xfId="5034" xr:uid="{C6D604E4-419E-43D3-A7D3-2F9CB2208829}"/>
    <cellStyle name="Heading 3 9 15 4 2" xfId="5035" xr:uid="{BBA6396C-CF88-49DA-B2E0-BD45F172180B}"/>
    <cellStyle name="Heading 3 9 16" xfId="5036" xr:uid="{D2DD0845-3EE8-46BE-93C5-1114931D81E4}"/>
    <cellStyle name="Heading 3 9 16 2" xfId="5037" xr:uid="{F2B3E765-3E22-4DB1-B65D-F6E3A912C92E}"/>
    <cellStyle name="Heading 3 9 17" xfId="5038" xr:uid="{49278789-4FB7-4ACE-9F5D-07FB3AF15A77}"/>
    <cellStyle name="Heading 3 9 17 2" xfId="5039" xr:uid="{23535222-E5D0-498F-B38A-409810D985FE}"/>
    <cellStyle name="Heading 3 9 18" xfId="5040" xr:uid="{F36BBCCA-C908-413D-9685-320B5F995797}"/>
    <cellStyle name="Heading 3 9 18 2" xfId="5041" xr:uid="{95C4A078-2ACE-47FF-BF58-BC710E24A6D3}"/>
    <cellStyle name="Heading 3 9 19" xfId="5042" xr:uid="{73FD66A5-61D0-478B-B77F-B7C6FF0AC12F}"/>
    <cellStyle name="Heading 3 9 2" xfId="5043" xr:uid="{C543C24B-A997-465E-96BE-14F8BF9CC125}"/>
    <cellStyle name="Heading 3 9 2 2" xfId="5044" xr:uid="{78CB15A5-95CF-49C2-9509-FD16F58DAFA6}"/>
    <cellStyle name="Heading 3 9 2 2 2" xfId="5045" xr:uid="{CBFB674A-7C6D-4EF7-A89C-8F13DCB81624}"/>
    <cellStyle name="Heading 3 9 2 3" xfId="5046" xr:uid="{E5D47EF1-027E-4C62-B21C-31D6A33AFE70}"/>
    <cellStyle name="Heading 3 9 2 3 2" xfId="5047" xr:uid="{9ACC1ADC-46B4-411D-AEF4-97293B1F2393}"/>
    <cellStyle name="Heading 3 9 2 4" xfId="5048" xr:uid="{0AEFC10F-98B5-4B38-BE40-295F99BC774D}"/>
    <cellStyle name="Heading 3 9 2 4 2" xfId="5049" xr:uid="{1134F129-715C-4703-AA8E-EC05B29C7E25}"/>
    <cellStyle name="Heading 3 9 20" xfId="5050" xr:uid="{3B870548-F1C2-4B80-8706-6EE6CFB147A3}"/>
    <cellStyle name="Heading 3 9 21" xfId="5051" xr:uid="{F94942DD-6647-44D7-A633-B164DC3BA480}"/>
    <cellStyle name="Heading 3 9 22" xfId="5052" xr:uid="{21D01238-A582-418F-9F7D-754470A5C2A7}"/>
    <cellStyle name="Heading 3 9 23" xfId="5053" xr:uid="{3DA8C54C-B9C8-45B6-B460-24B9BBA28ADB}"/>
    <cellStyle name="Heading 3 9 24" xfId="5054" xr:uid="{77AF601D-8B83-4156-82C0-6098EB138F15}"/>
    <cellStyle name="Heading 3 9 25" xfId="5055" xr:uid="{7A4F2013-079C-4AB3-8486-753B3E86B17E}"/>
    <cellStyle name="Heading 3 9 3" xfId="5056" xr:uid="{74DA029F-6A39-4310-A111-BB8CD1EE0F2D}"/>
    <cellStyle name="Heading 3 9 3 2" xfId="5057" xr:uid="{B4BB9C27-3745-4CFD-8F8E-769F93F78458}"/>
    <cellStyle name="Heading 3 9 3 2 2" xfId="5058" xr:uid="{EB9C73DE-3DBF-445B-AE35-88C2DD2392BD}"/>
    <cellStyle name="Heading 3 9 3 3" xfId="5059" xr:uid="{1202462E-895A-48FC-8DC0-907274B418C6}"/>
    <cellStyle name="Heading 3 9 3 3 2" xfId="5060" xr:uid="{3854F651-F958-423F-BF1D-9F5B51527427}"/>
    <cellStyle name="Heading 3 9 3 4" xfId="5061" xr:uid="{4CD2A57E-6C0C-4E2D-AEB5-D5FBF9362081}"/>
    <cellStyle name="Heading 3 9 3 4 2" xfId="5062" xr:uid="{05CFFFA8-BA1E-4F44-ADDD-24188951B59A}"/>
    <cellStyle name="Heading 3 9 4" xfId="5063" xr:uid="{AE725AFA-0B25-42F3-BE68-28CFA5355687}"/>
    <cellStyle name="Heading 3 9 4 2" xfId="5064" xr:uid="{CC6B99E8-AB70-47E0-8CB0-E53A06AB2216}"/>
    <cellStyle name="Heading 3 9 4 2 2" xfId="5065" xr:uid="{DFA86519-2B5E-451D-8C3B-FC983C69D3B7}"/>
    <cellStyle name="Heading 3 9 4 3" xfId="5066" xr:uid="{4DCAD5F0-3196-4405-A914-2EC4C9481983}"/>
    <cellStyle name="Heading 3 9 4 3 2" xfId="5067" xr:uid="{FB6BDC04-B54C-4F77-9314-DFBC0F14F56F}"/>
    <cellStyle name="Heading 3 9 4 4" xfId="5068" xr:uid="{91ED89FA-93C1-46C0-982F-C63AA4623627}"/>
    <cellStyle name="Heading 3 9 4 4 2" xfId="5069" xr:uid="{A9956506-F3D7-4652-AB4E-EAAFA2B168E1}"/>
    <cellStyle name="Heading 3 9 5" xfId="5070" xr:uid="{A72F295D-72C5-4086-A702-3565439C3E68}"/>
    <cellStyle name="Heading 3 9 5 2" xfId="5071" xr:uid="{728DB0C1-0279-4D7C-B690-96732CE2EBE9}"/>
    <cellStyle name="Heading 3 9 5 2 2" xfId="5072" xr:uid="{E311B880-BDEE-4C18-9F8F-43793CCA7112}"/>
    <cellStyle name="Heading 3 9 5 3" xfId="5073" xr:uid="{5172D689-8DA1-44DF-A1A4-F92EFEDADB85}"/>
    <cellStyle name="Heading 3 9 5 3 2" xfId="5074" xr:uid="{F9107258-37E8-4194-9292-C2A6571B5BDB}"/>
    <cellStyle name="Heading 3 9 5 4" xfId="5075" xr:uid="{8259FEA3-6D5D-40AB-AAAD-8B69A22AC264}"/>
    <cellStyle name="Heading 3 9 5 4 2" xfId="5076" xr:uid="{DD6920B3-BD9F-483A-B5AC-95D3CDFA8D17}"/>
    <cellStyle name="Heading 3 9 6" xfId="5077" xr:uid="{FA3CCEBC-6C28-475E-8939-5C0212B7D75D}"/>
    <cellStyle name="Heading 3 9 6 2" xfId="5078" xr:uid="{26D543B5-0B45-44A7-A62D-357D8C533C27}"/>
    <cellStyle name="Heading 3 9 6 2 2" xfId="5079" xr:uid="{6AA70666-1458-49F0-A171-4E95D1A8FEB9}"/>
    <cellStyle name="Heading 3 9 6 3" xfId="5080" xr:uid="{009BC91B-2A2A-4921-9C1A-A56044A39B2A}"/>
    <cellStyle name="Heading 3 9 6 3 2" xfId="5081" xr:uid="{6761B0F3-31CC-4AB6-8978-355E1C7531A5}"/>
    <cellStyle name="Heading 3 9 6 4" xfId="5082" xr:uid="{96E94F06-DA95-4C71-BAFD-6F18C00DEA4C}"/>
    <cellStyle name="Heading 3 9 6 4 2" xfId="5083" xr:uid="{BEE0D018-C541-41DA-B8E3-6B9E1A1E6DE7}"/>
    <cellStyle name="Heading 3 9 7" xfId="5084" xr:uid="{F7D9A2B8-5640-4729-B04E-AC5DC1A6C77E}"/>
    <cellStyle name="Heading 3 9 7 2" xfId="5085" xr:uid="{9E55ED3A-3E01-4763-B751-DF809FCA4DFB}"/>
    <cellStyle name="Heading 3 9 7 2 2" xfId="5086" xr:uid="{0CEB6DAD-B685-4772-9A41-FB465766F25D}"/>
    <cellStyle name="Heading 3 9 7 3" xfId="5087" xr:uid="{3A626221-E043-4685-AB48-DB08B3B3162F}"/>
    <cellStyle name="Heading 3 9 7 3 2" xfId="5088" xr:uid="{CBC8F5D0-E9DF-44A9-834D-A302281893E4}"/>
    <cellStyle name="Heading 3 9 7 4" xfId="5089" xr:uid="{5F71E7EB-BF68-4CD6-9B32-B45DAABF150E}"/>
    <cellStyle name="Heading 3 9 7 4 2" xfId="5090" xr:uid="{2126B213-522D-4DC9-85A3-184205C10FA2}"/>
    <cellStyle name="Heading 3 9 8" xfId="5091" xr:uid="{C6E239E6-73BF-4508-AC29-BD8739549CF3}"/>
    <cellStyle name="Heading 3 9 8 2" xfId="5092" xr:uid="{7996B6B9-93D3-43BF-856D-BF2777F57480}"/>
    <cellStyle name="Heading 3 9 8 2 2" xfId="5093" xr:uid="{C542AEA9-2F5B-4E77-863B-93219B1D103D}"/>
    <cellStyle name="Heading 3 9 8 3" xfId="5094" xr:uid="{C9B75A4E-1FF1-4199-8A45-368578191585}"/>
    <cellStyle name="Heading 3 9 8 3 2" xfId="5095" xr:uid="{F1199030-E5AE-4881-A4CB-6ACD7105C1B0}"/>
    <cellStyle name="Heading 3 9 8 4" xfId="5096" xr:uid="{0F6232DC-BA30-4582-8EEF-BAF6AB4988A7}"/>
    <cellStyle name="Heading 3 9 8 4 2" xfId="5097" xr:uid="{606AB0E0-00A1-4894-9E22-A293EC305AEF}"/>
    <cellStyle name="Heading 3 9 9" xfId="5098" xr:uid="{5A6C1ED2-04B5-4A2C-8D7C-6A0F62523D3F}"/>
    <cellStyle name="Heading 3 9 9 2" xfId="5099" xr:uid="{AC71EF0E-A7BE-4C95-B283-593DB107CD7B}"/>
    <cellStyle name="Heading 3 9 9 2 2" xfId="5100" xr:uid="{96992F66-E522-4A63-88CE-98F9DF825310}"/>
    <cellStyle name="Heading 3 9 9 3" xfId="5101" xr:uid="{0E1CBE79-5B55-4631-B8E4-CBA32CCFEA1E}"/>
    <cellStyle name="Heading 3 9 9 3 2" xfId="5102" xr:uid="{2376236B-AB1E-44EC-84A3-39FEAB2B039B}"/>
    <cellStyle name="Heading 3 9 9 4" xfId="5103" xr:uid="{F23C1E38-60E1-4523-9C5A-3B410F82250F}"/>
    <cellStyle name="Heading 3 9 9 4 2" xfId="5104" xr:uid="{1E6E0A54-010E-4A31-A974-F0571E35DC22}"/>
    <cellStyle name="Heading 4 10" xfId="5105" xr:uid="{3090D445-4E09-445C-A528-3CD8C3A57972}"/>
    <cellStyle name="Heading 4 11" xfId="5106" xr:uid="{367FEE74-B8FC-4615-B399-17AFEDF08D68}"/>
    <cellStyle name="Heading 4 12" xfId="5107" xr:uid="{9DC89D02-C75D-4BAA-965D-C071A70DBFE1}"/>
    <cellStyle name="Heading 4 13" xfId="5108" xr:uid="{B5E555B8-465E-4A78-88D5-EF8693DA51A1}"/>
    <cellStyle name="Heading 4 14" xfId="5109" xr:uid="{C155FE6C-BB94-41B6-A480-9415AC37CB2D}"/>
    <cellStyle name="Heading 4 15" xfId="5110" xr:uid="{3ADCE5AE-F6B1-4702-9F4F-EB29B6A37819}"/>
    <cellStyle name="Heading 4 16" xfId="5111" xr:uid="{26AB8707-90CD-422A-885F-4AF2A1E27D52}"/>
    <cellStyle name="Heading 4 17" xfId="5112" xr:uid="{B00E27DA-E140-4C38-9E49-9294171887DB}"/>
    <cellStyle name="Heading 4 18" xfId="5113" xr:uid="{A465424A-A240-4A00-8482-A9037998DA18}"/>
    <cellStyle name="Heading 4 18 2" xfId="5114" xr:uid="{E67E6178-4F67-4922-8F50-F0FCC2DD583D}"/>
    <cellStyle name="Heading 4 19" xfId="5115" xr:uid="{7113A326-5E45-4E0D-997B-FEADA9EE62CF}"/>
    <cellStyle name="Heading 4 19 2" xfId="5116" xr:uid="{BDDBB855-9D39-49A2-BA8E-CF1134A3B373}"/>
    <cellStyle name="Heading 4 2" xfId="5117" xr:uid="{D47BF29F-D8D5-4AB8-9B2E-AB78671645A7}"/>
    <cellStyle name="Heading 4 2 2" xfId="5118" xr:uid="{56B28415-A4A1-456E-A145-EFFE23119B34}"/>
    <cellStyle name="Heading 4 3" xfId="5119" xr:uid="{B0835FAA-CFA3-4DB6-AB56-5C57C45ECAE9}"/>
    <cellStyle name="Heading 4 4" xfId="5120" xr:uid="{C64ACD64-EB39-4E0E-ACC4-7FEC9D9FC371}"/>
    <cellStyle name="Heading 4 5" xfId="5121" xr:uid="{9386C756-D6A2-4B51-9291-940F71196076}"/>
    <cellStyle name="Heading 4 6" xfId="5122" xr:uid="{4DA36C10-6085-49B8-A8D2-9D460F69B640}"/>
    <cellStyle name="Heading 4 7" xfId="5123" xr:uid="{AF6C2198-6BCC-4D9C-843A-4AB95A373896}"/>
    <cellStyle name="Heading 4 8" xfId="5124" xr:uid="{059EBB54-D9E1-405E-89C8-6672F70A083F}"/>
    <cellStyle name="Heading 4 9" xfId="5125" xr:uid="{27BD3846-3A2D-48B1-A8F5-3B4A1E7030E4}"/>
    <cellStyle name="Hyperlink 2" xfId="5126" xr:uid="{F6773711-A870-4A4D-9078-7C32A8AE0518}"/>
    <cellStyle name="Hyperlink 3" xfId="5127" xr:uid="{CFC068CA-4FC3-4B38-B1FD-18C8DEC71B36}"/>
    <cellStyle name="Input 10" xfId="5128" xr:uid="{BBC517A6-F491-4D49-BE65-0312BCB68E4F}"/>
    <cellStyle name="Input 10 10" xfId="11388" xr:uid="{C4308849-139C-4C21-92E0-F56EE4BCA30A}"/>
    <cellStyle name="Input 10 11" xfId="11323" xr:uid="{94C287E7-028C-44AC-AEE1-3D9AD130BAF5}"/>
    <cellStyle name="Input 10 12" xfId="11407" xr:uid="{E7F0F53D-C4F2-4920-B2C1-87EB366E6044}"/>
    <cellStyle name="Input 10 2" xfId="6862" xr:uid="{7581CBBA-51FA-4A65-8F4B-B37E6220C5B0}"/>
    <cellStyle name="Input 10 2 10" xfId="16298" xr:uid="{2624B64D-3791-43B7-A5AA-E95F064630C7}"/>
    <cellStyle name="Input 10 2 11" xfId="17170" xr:uid="{0B01EA07-6548-405F-B3B0-FEB601DE78A1}"/>
    <cellStyle name="Input 10 2 2" xfId="7241" xr:uid="{E28B3425-DAAD-4DBD-B2A2-CC23CA13D7BD}"/>
    <cellStyle name="Input 10 2 2 10" xfId="15357" xr:uid="{512B0BC7-C1C4-43A1-877A-BCEB2EDAD65D}"/>
    <cellStyle name="Input 10 2 2 2" xfId="8881" xr:uid="{FE9F351E-6756-4805-9A43-1439E2D79649}"/>
    <cellStyle name="Input 10 2 2 2 2" xfId="13532" xr:uid="{0B06729A-0397-4985-89AD-B33CA5CC8951}"/>
    <cellStyle name="Input 10 2 2 2 3" xfId="14536" xr:uid="{51944401-B3FC-49B3-8D47-0A749C56EB5F}"/>
    <cellStyle name="Input 10 2 2 2 4" xfId="15494" xr:uid="{254AF916-E5F6-415A-AA33-0987C159F823}"/>
    <cellStyle name="Input 10 2 2 2 5" xfId="16419" xr:uid="{6327F766-4E01-4047-AFCE-7DA6E8160091}"/>
    <cellStyle name="Input 10 2 2 2 6" xfId="17290" xr:uid="{2EBA4528-BC2F-4F53-AEC1-9758721841F3}"/>
    <cellStyle name="Input 10 2 2 2 7" xfId="18136" xr:uid="{1A1B8E70-2472-4BD8-AECC-335D25AD8925}"/>
    <cellStyle name="Input 10 2 2 2 8" xfId="18896" xr:uid="{92F9A630-6047-48A5-B86A-412C9DAF6D5E}"/>
    <cellStyle name="Input 10 2 2 3" xfId="9723" xr:uid="{887E26F4-497C-4555-8326-14CB5ACD13F6}"/>
    <cellStyle name="Input 10 2 2 3 2" xfId="14127" xr:uid="{61A2B867-BD12-4642-B8BB-7F9FC0D67FFE}"/>
    <cellStyle name="Input 10 2 2 3 3" xfId="15087" xr:uid="{72F0631D-A774-4E79-87ED-9BC3059E8011}"/>
    <cellStyle name="Input 10 2 2 3 4" xfId="16039" xr:uid="{9835D9BD-06E3-4C2D-9D71-D9AF65C7D6C5}"/>
    <cellStyle name="Input 10 2 2 3 5" xfId="16913" xr:uid="{8AEEA7BB-FADB-4329-B078-1AA3865244BB}"/>
    <cellStyle name="Input 10 2 2 3 6" xfId="17778" xr:uid="{37AAFB3F-1628-44B4-BD42-B4FFCC9B7567}"/>
    <cellStyle name="Input 10 2 2 3 7" xfId="18554" xr:uid="{4C128F96-8AED-4866-82F1-1B71C4C5148E}"/>
    <cellStyle name="Input 10 2 2 3 8" xfId="19311" xr:uid="{A9E24096-72A3-41E4-BF0A-35041FA60A27}"/>
    <cellStyle name="Input 10 2 2 4" xfId="12504" xr:uid="{1176128F-5367-45C7-8C3A-4033BE36BD85}"/>
    <cellStyle name="Input 10 2 2 5" xfId="10377" xr:uid="{D78E3AB2-2DC0-46A1-B152-E395314975FC}"/>
    <cellStyle name="Input 10 2 2 6" xfId="11732" xr:uid="{607707B9-1556-4A97-AA38-2E761C32A39E}"/>
    <cellStyle name="Input 10 2 2 7" xfId="11055" xr:uid="{DBC256D5-A7A3-4B62-8597-7E23661C6A4B}"/>
    <cellStyle name="Input 10 2 2 8" xfId="13388" xr:uid="{95839101-4685-41DB-B647-2663916C9B75}"/>
    <cellStyle name="Input 10 2 2 9" xfId="14399" xr:uid="{A6A53C64-DF87-4C13-AA5C-9944F6139EBB}"/>
    <cellStyle name="Input 10 2 3" xfId="8502" xr:uid="{9C7752B4-30E1-49D4-9B38-AFDCF992A407}"/>
    <cellStyle name="Input 10 2 3 2" xfId="13242" xr:uid="{3E56AADD-09A0-4AB1-9DB3-887182CF127E}"/>
    <cellStyle name="Input 10 2 3 3" xfId="14262" xr:uid="{46991C58-B385-4F3D-A786-AA8903CEB98F}"/>
    <cellStyle name="Input 10 2 3 4" xfId="15222" xr:uid="{53EF66CC-7B9D-4F9B-A581-9385FDBD1735}"/>
    <cellStyle name="Input 10 2 3 5" xfId="16171" xr:uid="{56FF55D9-3616-408D-8CD8-710912866B6B}"/>
    <cellStyle name="Input 10 2 3 6" xfId="17044" xr:uid="{A84F1FD1-35AB-4CBD-969C-809C7BA26A04}"/>
    <cellStyle name="Input 10 2 3 7" xfId="17909" xr:uid="{5D9019FE-34F9-47C3-8E11-0062658C3C1A}"/>
    <cellStyle name="Input 10 2 3 8" xfId="18685" xr:uid="{0CA15604-1D4C-4B7D-A7FB-5590EA42A765}"/>
    <cellStyle name="Input 10 2 4" xfId="9512" xr:uid="{136AFFE7-2FCB-4E60-8C4C-61CC1D50B1D2}"/>
    <cellStyle name="Input 10 2 4 2" xfId="13916" xr:uid="{2E974FE5-096E-46F4-9F05-3A99C0362B91}"/>
    <cellStyle name="Input 10 2 4 3" xfId="14876" xr:uid="{A3700612-1FE3-4F18-90E8-D4B73130D83B}"/>
    <cellStyle name="Input 10 2 4 4" xfId="15828" xr:uid="{676617D5-0044-42B9-A4C9-2CDC6BC8BBD0}"/>
    <cellStyle name="Input 10 2 4 5" xfId="16702" xr:uid="{26AC7DE3-5E47-4031-AA38-318FB9D7FD4F}"/>
    <cellStyle name="Input 10 2 4 6" xfId="17567" xr:uid="{88CF4166-0317-486D-AE9A-527F8A2087A6}"/>
    <cellStyle name="Input 10 2 4 7" xfId="18343" xr:uid="{75072086-EC01-4411-BD4E-4B3CC078CA32}"/>
    <cellStyle name="Input 10 2 4 8" xfId="19100" xr:uid="{223B3A47-56C3-4C9E-884A-20A88CCC5A3E}"/>
    <cellStyle name="Input 10 2 5" xfId="12213" xr:uid="{12AFFB9E-BBA9-419E-875F-AC0E4C9CE1E3}"/>
    <cellStyle name="Input 10 2 6" xfId="10652" xr:uid="{0CBFA75A-D68B-4F61-86BE-36E94C783395}"/>
    <cellStyle name="Input 10 2 7" xfId="13400" xr:uid="{6179A260-CF0C-4AFE-A3AA-F27B1E174770}"/>
    <cellStyle name="Input 10 2 8" xfId="14409" xr:uid="{EAD57B16-5B53-43E4-A35B-37AB0C64AF1F}"/>
    <cellStyle name="Input 10 2 9" xfId="15367" xr:uid="{191EF4F1-8BC8-4A24-A8BC-C495F47AA892}"/>
    <cellStyle name="Input 10 3" xfId="7000" xr:uid="{0F8ADDB7-7B8E-452B-AB08-76EC06338E1D}"/>
    <cellStyle name="Input 10 3 10" xfId="17335" xr:uid="{5C80AA21-52D1-4683-BC5E-FB98B9FBA63F}"/>
    <cellStyle name="Input 10 3 2" xfId="8640" xr:uid="{4BB3CAB0-B0A1-4A52-B5B2-32AEF5F2C6B3}"/>
    <cellStyle name="Input 10 3 2 2" xfId="13360" xr:uid="{CD70106B-CB5D-4F65-AF4F-3E23C1C8124A}"/>
    <cellStyle name="Input 10 3 2 3" xfId="14374" xr:uid="{C58586BF-C9A8-45F9-AD8E-82F256AE0862}"/>
    <cellStyle name="Input 10 3 2 4" xfId="15332" xr:uid="{F6E2B768-6770-40F5-B255-1A5B600553A8}"/>
    <cellStyle name="Input 10 3 2 5" xfId="16276" xr:uid="{513AE47F-AE5F-4BDF-B489-2E64E840ED84}"/>
    <cellStyle name="Input 10 3 2 6" xfId="17149" xr:uid="{A3B1E209-3A35-4B62-87EC-70A741AA337C}"/>
    <cellStyle name="Input 10 3 2 7" xfId="18014" xr:uid="{F707427D-34B0-4ABA-AFA1-FCA8DF8DF839}"/>
    <cellStyle name="Input 10 3 2 8" xfId="18782" xr:uid="{F5B222B4-E67F-491E-B2CE-F84AA7A19FA3}"/>
    <cellStyle name="Input 10 3 3" xfId="9609" xr:uid="{4A4C5256-DC6A-4224-805D-074677186786}"/>
    <cellStyle name="Input 10 3 3 2" xfId="14013" xr:uid="{7316B341-5E74-4218-A6BC-5EAB12BB6C4C}"/>
    <cellStyle name="Input 10 3 3 3" xfId="14973" xr:uid="{4D2D5665-AAFB-4A21-9795-902A78F5006C}"/>
    <cellStyle name="Input 10 3 3 4" xfId="15925" xr:uid="{82E69A83-88C0-4062-AEA2-DF254307CCDB}"/>
    <cellStyle name="Input 10 3 3 5" xfId="16799" xr:uid="{E7497023-7895-456C-A6C9-3E3C0999A91C}"/>
    <cellStyle name="Input 10 3 3 6" xfId="17664" xr:uid="{14017FB3-A976-40E5-A989-7DDEF432B153}"/>
    <cellStyle name="Input 10 3 3 7" xfId="18440" xr:uid="{FFA21FFE-ED4E-4881-B8EE-6A6FFE2050E1}"/>
    <cellStyle name="Input 10 3 3 8" xfId="19197" xr:uid="{C3E21CA4-9CAF-4758-AB54-473AEB666B02}"/>
    <cellStyle name="Input 10 3 4" xfId="12331" xr:uid="{30D49858-B35E-4CA0-863D-7356D1678A66}"/>
    <cellStyle name="Input 10 3 5" xfId="10539" xr:uid="{C2ABDC9B-CAD2-4833-9CC0-FD6ECC7BCD9D}"/>
    <cellStyle name="Input 10 3 6" xfId="13636" xr:uid="{ED04F828-86B6-4472-9D63-CCA6FCA0586C}"/>
    <cellStyle name="Input 10 3 7" xfId="14614" xr:uid="{10EFBCB9-FC66-4BAA-B57D-C5500FE411A0}"/>
    <cellStyle name="Input 10 3 8" xfId="15567" xr:uid="{F1BF4D20-6E55-400D-93A9-2CDB90EF368D}"/>
    <cellStyle name="Input 10 3 9" xfId="16466" xr:uid="{B90D3E13-C788-486E-AE62-EC999E8A932A}"/>
    <cellStyle name="Input 10 4" xfId="7823" xr:uid="{1842D5A4-084F-49D3-954E-241061A86A07}"/>
    <cellStyle name="Input 10 4 2" xfId="12845" xr:uid="{B1646504-74E2-4261-9E33-5A3CF89E4694}"/>
    <cellStyle name="Input 10 4 3" xfId="12016" xr:uid="{35424148-21C6-4B7A-A225-CED632C787CE}"/>
    <cellStyle name="Input 10 4 4" xfId="10817" xr:uid="{CEC5DA1B-14F1-4B4B-AC63-EB820196FCC0}"/>
    <cellStyle name="Input 10 4 5" xfId="11603" xr:uid="{FE456C6B-4CF7-4C1D-82B2-5EDF7873481A}"/>
    <cellStyle name="Input 10 4 6" xfId="11156" xr:uid="{22AB888F-DA68-44EB-806B-B1F12B11F699}"/>
    <cellStyle name="Input 10 4 7" xfId="12547" xr:uid="{C550F262-0D9D-4BF8-8948-5DFABC1DA0DC}"/>
    <cellStyle name="Input 10 4 8" xfId="10341" xr:uid="{6C7C0834-754A-4327-8C9D-4CB011D497D6}"/>
    <cellStyle name="Input 10 5" xfId="7822" xr:uid="{06099EF9-90D3-470C-BDF6-0D5BB89FCA3A}"/>
    <cellStyle name="Input 10 5 2" xfId="12844" xr:uid="{FF0531E2-2032-4388-A931-0DE175B3D3FD}"/>
    <cellStyle name="Input 10 5 3" xfId="10130" xr:uid="{9203A4F9-DF8E-4BE9-95FE-953EB635D611}"/>
    <cellStyle name="Input 10 5 4" xfId="13692" xr:uid="{8F7A8687-15FF-4809-9D6D-F727358AFB2A}"/>
    <cellStyle name="Input 10 5 5" xfId="14660" xr:uid="{26C1F939-E2E2-4977-AEBC-2C1B54D1BA89}"/>
    <cellStyle name="Input 10 5 6" xfId="15612" xr:uid="{E2C7A172-A995-43DA-8208-8C15350DC257}"/>
    <cellStyle name="Input 10 5 7" xfId="16497" xr:uid="{FCFDE2E5-D8A6-460E-93F5-153A16B55E95}"/>
    <cellStyle name="Input 10 5 8" xfId="17365" xr:uid="{251C1E37-C159-4811-9742-E800535790AF}"/>
    <cellStyle name="Input 10 6" xfId="11356" xr:uid="{B20991E2-C68E-48EB-84A5-B5F249367E7A}"/>
    <cellStyle name="Input 10 7" xfId="11355" xr:uid="{C0309A39-D427-409F-85A9-1CDE5E6A5BB8}"/>
    <cellStyle name="Input 10 8" xfId="11369" xr:uid="{584259BA-B7AF-4244-A058-98890EE0AF3B}"/>
    <cellStyle name="Input 10 9" xfId="11342" xr:uid="{C8895F4F-8565-4ECD-B056-1A6F3538A558}"/>
    <cellStyle name="Input 11" xfId="5129" xr:uid="{5535897D-D5E7-43C8-ACAF-7303BF1DCC14}"/>
    <cellStyle name="Input 11 10" xfId="11621" xr:uid="{9B92EDAB-FCD0-4353-891F-998136EEF07F}"/>
    <cellStyle name="Input 11 11" xfId="11138" xr:uid="{7F2B5F33-4980-46BE-8F08-B7FA075BCCC5}"/>
    <cellStyle name="Input 11 12" xfId="12050" xr:uid="{D26BE200-302E-4DBA-8018-D217DA7531F0}"/>
    <cellStyle name="Input 11 2" xfId="6861" xr:uid="{0DA1E9E8-4F7C-4E16-95C1-AE6696FC9A08}"/>
    <cellStyle name="Input 11 2 10" xfId="10747" xr:uid="{A067E564-A471-47C5-8B91-0864A34F78F3}"/>
    <cellStyle name="Input 11 2 11" xfId="12905" xr:uid="{6E9ECF8D-5541-46D8-A60C-DFF1769FCB92}"/>
    <cellStyle name="Input 11 2 2" xfId="7242" xr:uid="{713F1FCB-140B-4DAF-8CE8-18254966C21A}"/>
    <cellStyle name="Input 11 2 2 10" xfId="13024" xr:uid="{23A5E777-917F-4C76-AB0B-9339C341C0A1}"/>
    <cellStyle name="Input 11 2 2 2" xfId="8882" xr:uid="{5FCE9825-55CA-4AF5-81EC-B3E45CC4835B}"/>
    <cellStyle name="Input 11 2 2 2 2" xfId="13533" xr:uid="{0D5368C7-9CFE-4A05-A216-23C4A142C581}"/>
    <cellStyle name="Input 11 2 2 2 3" xfId="14537" xr:uid="{054DDAA6-4301-4324-A68C-602003768DF3}"/>
    <cellStyle name="Input 11 2 2 2 4" xfId="15495" xr:uid="{EA8FDA5C-CF03-4DD5-9C44-AFD6DE5C895F}"/>
    <cellStyle name="Input 11 2 2 2 5" xfId="16420" xr:uid="{6F254877-4693-430D-A8E9-3C6D5B29F173}"/>
    <cellStyle name="Input 11 2 2 2 6" xfId="17291" xr:uid="{D5306A8D-F5BE-48E9-9E61-E37EF94805A9}"/>
    <cellStyle name="Input 11 2 2 2 7" xfId="18137" xr:uid="{0CF7CD81-A788-4982-BEB1-A4BF2299F072}"/>
    <cellStyle name="Input 11 2 2 2 8" xfId="18897" xr:uid="{8997EC2B-88E0-47E6-827A-F64A8698F0AA}"/>
    <cellStyle name="Input 11 2 2 3" xfId="9724" xr:uid="{D7FABED8-4012-49F0-8B4F-99582A5E9A91}"/>
    <cellStyle name="Input 11 2 2 3 2" xfId="14128" xr:uid="{8B4A52A9-D8FD-4826-A300-9B4EAF014D8E}"/>
    <cellStyle name="Input 11 2 2 3 3" xfId="15088" xr:uid="{0F6B8BEF-37AC-480D-A296-8802114C2411}"/>
    <cellStyle name="Input 11 2 2 3 4" xfId="16040" xr:uid="{D60A54BB-D831-477C-B62B-202FD3E3F15C}"/>
    <cellStyle name="Input 11 2 2 3 5" xfId="16914" xr:uid="{15C09C9A-179B-45B3-A8E3-A0504756407B}"/>
    <cellStyle name="Input 11 2 2 3 6" xfId="17779" xr:uid="{182EDECC-3705-4F96-B89F-971A3E6F7665}"/>
    <cellStyle name="Input 11 2 2 3 7" xfId="18555" xr:uid="{E5094FB0-2BDF-4084-9211-3BA120FEC3DC}"/>
    <cellStyle name="Input 11 2 2 3 8" xfId="19312" xr:uid="{A10F51E8-1C2D-41EF-BBE8-AFB5ED626EF3}"/>
    <cellStyle name="Input 11 2 2 4" xfId="12505" xr:uid="{740A1F83-3FDC-4C3D-BABA-9F25B9648777}"/>
    <cellStyle name="Input 11 2 2 5" xfId="10376" xr:uid="{C3F05EEE-2B14-43AB-9EF3-F5CE2613BCB6}"/>
    <cellStyle name="Input 11 2 2 6" xfId="12117" xr:uid="{1C907E56-AC40-425A-983D-A32467F7BF41}"/>
    <cellStyle name="Input 11 2 2 7" xfId="10735" xr:uid="{5D2FF516-D0A4-47A6-B58F-8AF663D57C3F}"/>
    <cellStyle name="Input 11 2 2 8" xfId="11662" xr:uid="{76D2687C-D963-4563-82FE-D3694D7EFD3D}"/>
    <cellStyle name="Input 11 2 2 9" xfId="11117" xr:uid="{1F867F52-DAB3-4D0F-B7B4-4A38193BD207}"/>
    <cellStyle name="Input 11 2 3" xfId="8501" xr:uid="{1A00632B-8F68-4309-B336-66D6674E0680}"/>
    <cellStyle name="Input 11 2 3 2" xfId="13241" xr:uid="{0D1D5503-2C56-4E7E-99C1-3916A971EA38}"/>
    <cellStyle name="Input 11 2 3 3" xfId="14261" xr:uid="{A8430BEB-41F2-40A3-9433-3C1BAAC9563B}"/>
    <cellStyle name="Input 11 2 3 4" xfId="15221" xr:uid="{89A25D6B-B099-414F-A34B-433CD99C4870}"/>
    <cellStyle name="Input 11 2 3 5" xfId="16170" xr:uid="{2108581B-8572-4458-BA52-273DD58292B5}"/>
    <cellStyle name="Input 11 2 3 6" xfId="17043" xr:uid="{4E75E2DF-F7E8-47E4-B615-6B2B7FB32917}"/>
    <cellStyle name="Input 11 2 3 7" xfId="17908" xr:uid="{13DE49CE-F17E-48EF-B0E2-B11C0D259362}"/>
    <cellStyle name="Input 11 2 3 8" xfId="18684" xr:uid="{1DE36CC4-232D-44F1-95B3-CACDD0291D57}"/>
    <cellStyle name="Input 11 2 4" xfId="9511" xr:uid="{39C5B957-7E93-4CC4-8E40-FA0E36920996}"/>
    <cellStyle name="Input 11 2 4 2" xfId="13915" xr:uid="{3ABB3BF1-46EB-47EA-B2CB-C188E52E0BBD}"/>
    <cellStyle name="Input 11 2 4 3" xfId="14875" xr:uid="{438282B4-93E3-4359-82DC-39F09937CEDE}"/>
    <cellStyle name="Input 11 2 4 4" xfId="15827" xr:uid="{BDC57AD8-5495-441A-AE3B-1EDCFE7D2965}"/>
    <cellStyle name="Input 11 2 4 5" xfId="16701" xr:uid="{0D61CA49-0B64-419D-A003-1F218FB7D2B0}"/>
    <cellStyle name="Input 11 2 4 6" xfId="17566" xr:uid="{FE73FF3E-E685-4682-B05F-5C660F623612}"/>
    <cellStyle name="Input 11 2 4 7" xfId="18342" xr:uid="{20637A51-F172-4BFC-85D9-86553E692C13}"/>
    <cellStyle name="Input 11 2 4 8" xfId="19099" xr:uid="{3669FD53-A1EA-47E0-A532-B5F92311B798}"/>
    <cellStyle name="Input 11 2 5" xfId="12212" xr:uid="{5701C3DB-6C22-4A0A-88BA-C5F343B67985}"/>
    <cellStyle name="Input 11 2 6" xfId="10653" xr:uid="{59771BE8-3B89-4605-AED1-179FA63D3488}"/>
    <cellStyle name="Input 11 2 7" xfId="12367" xr:uid="{9A46F759-E8EE-48B5-AAEB-80CE6F280C53}"/>
    <cellStyle name="Input 11 2 8" xfId="10507" xr:uid="{C208E169-B99E-4BE4-9C77-4BADBCACB1C9}"/>
    <cellStyle name="Input 11 2 9" xfId="12105" xr:uid="{482EFB5D-60AB-4A0B-B5DE-58FCC7544C75}"/>
    <cellStyle name="Input 11 3" xfId="7001" xr:uid="{D21DADAC-C834-456A-B140-F0087B257740}"/>
    <cellStyle name="Input 11 3 10" xfId="12587" xr:uid="{46C2660E-3885-458F-B764-FA4450846276}"/>
    <cellStyle name="Input 11 3 2" xfId="8641" xr:uid="{942296A0-1FD8-4C88-84B1-53E266176ED5}"/>
    <cellStyle name="Input 11 3 2 2" xfId="13361" xr:uid="{C36F9B8D-14B7-47F4-9A54-C1AC692AEAD3}"/>
    <cellStyle name="Input 11 3 2 3" xfId="14375" xr:uid="{404AB681-6C42-4C85-A155-C4540557B0D9}"/>
    <cellStyle name="Input 11 3 2 4" xfId="15333" xr:uid="{FA18A8E8-3355-4D85-B4DB-8CE5EC771DC9}"/>
    <cellStyle name="Input 11 3 2 5" xfId="16277" xr:uid="{E6435CE6-4995-424B-85F9-889D7F8B306E}"/>
    <cellStyle name="Input 11 3 2 6" xfId="17150" xr:uid="{987036DA-78DF-4E92-8364-375CCE92C9A6}"/>
    <cellStyle name="Input 11 3 2 7" xfId="18015" xr:uid="{6F8C2485-A17D-4BF7-8F98-656C91621CCB}"/>
    <cellStyle name="Input 11 3 2 8" xfId="18783" xr:uid="{A936A608-C516-4199-B9C5-0C8C92E38FB0}"/>
    <cellStyle name="Input 11 3 3" xfId="9610" xr:uid="{65EDB22D-2E58-4C90-9CFF-3904A202A460}"/>
    <cellStyle name="Input 11 3 3 2" xfId="14014" xr:uid="{BED6FAAE-A314-4ABB-9885-BBBF06CFB6D0}"/>
    <cellStyle name="Input 11 3 3 3" xfId="14974" xr:uid="{61C7DF4D-4CEA-48C2-9AC9-DBA749283DE1}"/>
    <cellStyle name="Input 11 3 3 4" xfId="15926" xr:uid="{E22E6D65-41AE-455F-AEAD-F8DA00610B4E}"/>
    <cellStyle name="Input 11 3 3 5" xfId="16800" xr:uid="{CC5023AB-BB68-4537-A7EE-E7E68D613637}"/>
    <cellStyle name="Input 11 3 3 6" xfId="17665" xr:uid="{F85937F6-F191-4E54-A7B5-93A2CCFF21C4}"/>
    <cellStyle name="Input 11 3 3 7" xfId="18441" xr:uid="{1C6DC15C-D9B7-4C84-9325-0B1495A3F700}"/>
    <cellStyle name="Input 11 3 3 8" xfId="19198" xr:uid="{4A9E4174-CDCC-4EDD-A683-8FAD03964E8C}"/>
    <cellStyle name="Input 11 3 4" xfId="12332" xr:uid="{7E1CE6DF-90B5-4919-BAE8-30D7AE45F17F}"/>
    <cellStyle name="Input 11 3 5" xfId="10538" xr:uid="{62CE76E5-46E6-4D09-AF16-6CEF242C705B}"/>
    <cellStyle name="Input 11 3 6" xfId="13132" xr:uid="{CD7D6BEB-4BCE-415C-9AB7-049F5645CC48}"/>
    <cellStyle name="Input 11 3 7" xfId="9895" xr:uid="{F7740068-BAE0-4AF7-918B-6BC8925B0038}"/>
    <cellStyle name="Input 11 3 8" xfId="12167" xr:uid="{97BF211B-47CD-4FD3-9380-A5AA61B72812}"/>
    <cellStyle name="Input 11 3 9" xfId="10696" xr:uid="{C54B7E62-D48C-46A2-A359-E50556BAE68D}"/>
    <cellStyle name="Input 11 4" xfId="7824" xr:uid="{18C2C94A-DFE5-4792-A498-99ED9F38D41A}"/>
    <cellStyle name="Input 11 4 2" xfId="12846" xr:uid="{0227A42F-6DC9-4ABB-9892-21D1DB9BCECD}"/>
    <cellStyle name="Input 11 4 3" xfId="10129" xr:uid="{19745813-0816-4524-8979-529FA85B77D9}"/>
    <cellStyle name="Input 11 4 4" xfId="13168" xr:uid="{D49628E3-1F42-440C-A77B-1D45B6E8A599}"/>
    <cellStyle name="Input 11 4 5" xfId="9867" xr:uid="{92C46A06-91AE-4987-BBEA-BCF7FF19AB99}"/>
    <cellStyle name="Input 11 4 6" xfId="13064" xr:uid="{E556626B-D78C-4DD9-AF01-0459283DFA29}"/>
    <cellStyle name="Input 11 4 7" xfId="9942" xr:uid="{F3B8E416-1BA5-48B8-B4E6-07355FEF6A2A}"/>
    <cellStyle name="Input 11 4 8" xfId="12704" xr:uid="{D718FE45-BACC-4158-B75F-F05D22B647CF}"/>
    <cellStyle name="Input 11 5" xfId="7821" xr:uid="{99F875FE-2DC3-4BE9-A205-002145969A59}"/>
    <cellStyle name="Input 11 5 2" xfId="12843" xr:uid="{168D1F8F-5645-4753-9789-796B56678B26}"/>
    <cellStyle name="Input 11 5 3" xfId="10131" xr:uid="{7949D0BB-D92F-4AAA-80CC-9D2006C31DC2}"/>
    <cellStyle name="Input 11 5 4" xfId="12672" xr:uid="{428AA689-3360-4D1E-B514-1266C3A8BFAB}"/>
    <cellStyle name="Input 11 5 5" xfId="10245" xr:uid="{CDB91264-9E99-4CA7-8820-F07D94C3ED1F}"/>
    <cellStyle name="Input 11 5 6" xfId="12387" xr:uid="{29D49DF5-7F96-4674-B050-E98EE4BC13B4}"/>
    <cellStyle name="Input 11 5 7" xfId="10490" xr:uid="{8D8212EF-CC50-4E21-B8F8-BAFFC8CE3707}"/>
    <cellStyle name="Input 11 5 8" xfId="11697" xr:uid="{61A2764F-9A23-4B0B-8FE9-637C956C9366}"/>
    <cellStyle name="Input 11 6" xfId="11357" xr:uid="{50D55A09-E0A6-44AF-B706-771512963D3F}"/>
    <cellStyle name="Input 11 7" xfId="11354" xr:uid="{B0E3F862-540A-4B6F-AAF4-2319ED7E3DF0}"/>
    <cellStyle name="Input 11 8" xfId="12037" xr:uid="{08530E65-1CC9-48AD-A6E1-8C81D1DB9B21}"/>
    <cellStyle name="Input 11 9" xfId="10797" xr:uid="{0B02E0C4-888B-4F9B-A8DE-3F249A8BE22C}"/>
    <cellStyle name="Input 12" xfId="5130" xr:uid="{2C7C52AB-881C-4C43-9966-52BB33E5A675}"/>
    <cellStyle name="Input 12 10" xfId="11396" xr:uid="{6BA661BC-486F-4FAC-B300-A81AB4762136}"/>
    <cellStyle name="Input 12 11" xfId="11315" xr:uid="{C53B2D94-A92A-4ED3-A03B-27C47EE74751}"/>
    <cellStyle name="Input 12 12" xfId="11415" xr:uid="{07CAC49E-2C59-42EF-B520-C17D397A4CBD}"/>
    <cellStyle name="Input 12 2" xfId="6860" xr:uid="{88E508BA-D8E6-4A31-BD38-928CD978F578}"/>
    <cellStyle name="Input 12 2 10" xfId="12022" xr:uid="{12AA8CE2-EEAE-49C5-A797-CE22DED0134B}"/>
    <cellStyle name="Input 12 2 11" xfId="10811" xr:uid="{83AA0D83-501F-46A1-AE69-EDA71F239A7B}"/>
    <cellStyle name="Input 12 2 2" xfId="7243" xr:uid="{9D178804-4BDD-4050-9144-C884168308FC}"/>
    <cellStyle name="Input 12 2 2 10" xfId="13390" xr:uid="{2C74A8ED-CA04-44A8-9889-E7F3776D89B0}"/>
    <cellStyle name="Input 12 2 2 2" xfId="8883" xr:uid="{666473D4-7CB9-4902-A806-519C824C3205}"/>
    <cellStyle name="Input 12 2 2 2 2" xfId="13534" xr:uid="{2C348643-BD77-490D-AD96-74A15970F441}"/>
    <cellStyle name="Input 12 2 2 2 3" xfId="14538" xr:uid="{D07F8D3C-87EC-46FB-A1B1-79330649E898}"/>
    <cellStyle name="Input 12 2 2 2 4" xfId="15496" xr:uid="{29AAC3CF-2A94-4DB4-A8E9-6383FC753283}"/>
    <cellStyle name="Input 12 2 2 2 5" xfId="16421" xr:uid="{EEAAACCA-4664-459B-A96F-C84C613D53D3}"/>
    <cellStyle name="Input 12 2 2 2 6" xfId="17292" xr:uid="{CD2D257B-7FC1-4D26-B748-F54FD0D77D83}"/>
    <cellStyle name="Input 12 2 2 2 7" xfId="18138" xr:uid="{82C18BDB-7D8D-434E-9D06-BEA905BF45B5}"/>
    <cellStyle name="Input 12 2 2 2 8" xfId="18898" xr:uid="{A6C38EB2-27B8-4F7F-B25D-3B98E03A7B6E}"/>
    <cellStyle name="Input 12 2 2 3" xfId="9725" xr:uid="{25804ECF-9EC6-4E45-937D-D6E0E822B417}"/>
    <cellStyle name="Input 12 2 2 3 2" xfId="14129" xr:uid="{F770130A-FE2E-4C0A-AD1E-9D3495CC5786}"/>
    <cellStyle name="Input 12 2 2 3 3" xfId="15089" xr:uid="{79BD58EF-1EE4-4BE8-9DE2-3E842CF0AA01}"/>
    <cellStyle name="Input 12 2 2 3 4" xfId="16041" xr:uid="{5CE58B3B-A589-4C1D-A49D-222106FAF197}"/>
    <cellStyle name="Input 12 2 2 3 5" xfId="16915" xr:uid="{F8AB9BA1-F65B-4A8B-AAAC-6BD474A7BAE0}"/>
    <cellStyle name="Input 12 2 2 3 6" xfId="17780" xr:uid="{1CE15EE8-B7B3-467E-9C64-FC70DC898538}"/>
    <cellStyle name="Input 12 2 2 3 7" xfId="18556" xr:uid="{6615498F-8FBE-47D3-9976-D3169A9D8A38}"/>
    <cellStyle name="Input 12 2 2 3 8" xfId="19313" xr:uid="{FF564222-2AF7-4EA8-803A-3DFC915C21B1}"/>
    <cellStyle name="Input 12 2 2 4" xfId="12506" xr:uid="{4F829FE4-75F3-451B-B71A-E850EAC9BFF3}"/>
    <cellStyle name="Input 12 2 2 5" xfId="10375" xr:uid="{E7038F30-33B7-479B-BADD-71D7FA5D898A}"/>
    <cellStyle name="Input 12 2 2 6" xfId="12641" xr:uid="{546D9ACD-93C3-43CD-B305-5CBD5E3B4566}"/>
    <cellStyle name="Input 12 2 2 7" xfId="10270" xr:uid="{AE271441-6371-4FFA-AE78-E27FB86D54DC}"/>
    <cellStyle name="Input 12 2 2 8" xfId="11767" xr:uid="{83B6BD9F-1343-4549-80CF-652A450D3273}"/>
    <cellStyle name="Input 12 2 2 9" xfId="11032" xr:uid="{4994FF80-8A90-4568-9A03-9789C879D1EA}"/>
    <cellStyle name="Input 12 2 3" xfId="8500" xr:uid="{F853A6B9-D278-4071-BFCD-76A4FC1E95A2}"/>
    <cellStyle name="Input 12 2 3 2" xfId="13240" xr:uid="{C9ED9863-AA22-4BA2-BFD9-3669641DB9B7}"/>
    <cellStyle name="Input 12 2 3 3" xfId="14260" xr:uid="{30C772FC-85E5-489A-ADA9-2A4210A1DEED}"/>
    <cellStyle name="Input 12 2 3 4" xfId="15220" xr:uid="{47C340B8-9893-458D-BA5C-562FA6A2F574}"/>
    <cellStyle name="Input 12 2 3 5" xfId="16169" xr:uid="{148D295B-AF1A-47CD-960B-5FCBC3D81B51}"/>
    <cellStyle name="Input 12 2 3 6" xfId="17042" xr:uid="{7A54EF60-878E-48E6-82FA-A27098917866}"/>
    <cellStyle name="Input 12 2 3 7" xfId="17907" xr:uid="{73ECAF2D-3D10-4E77-9AE5-4D041C416298}"/>
    <cellStyle name="Input 12 2 3 8" xfId="18683" xr:uid="{F2284AEB-3866-416C-8B38-BAD4488D2CF3}"/>
    <cellStyle name="Input 12 2 4" xfId="9510" xr:uid="{3CEB8E58-1249-4FC7-8668-7233D5E2BC6B}"/>
    <cellStyle name="Input 12 2 4 2" xfId="13914" xr:uid="{266289B0-E7FA-46C0-8234-9751112344FD}"/>
    <cellStyle name="Input 12 2 4 3" xfId="14874" xr:uid="{6D795A4D-8FEE-4BF7-B750-3011AD7FF888}"/>
    <cellStyle name="Input 12 2 4 4" xfId="15826" xr:uid="{03509AD2-D97F-4EEA-81BE-DB6A120049B8}"/>
    <cellStyle name="Input 12 2 4 5" xfId="16700" xr:uid="{890FCB84-B343-4E14-AA47-7D2301CA7086}"/>
    <cellStyle name="Input 12 2 4 6" xfId="17565" xr:uid="{1E0226A1-F845-4CC3-BABF-A240FCBCBD77}"/>
    <cellStyle name="Input 12 2 4 7" xfId="18341" xr:uid="{83330547-F057-402B-9114-ABE90D7A7C89}"/>
    <cellStyle name="Input 12 2 4 8" xfId="19098" xr:uid="{07168450-520C-414E-9258-927507B191AB}"/>
    <cellStyle name="Input 12 2 5" xfId="12211" xr:uid="{E62D358E-302F-45E3-A248-FD9C7EE961FE}"/>
    <cellStyle name="Input 12 2 6" xfId="10654" xr:uid="{B500353F-53AA-4AB7-A505-DE2B5CAB83E4}"/>
    <cellStyle name="Input 12 2 7" xfId="13032" xr:uid="{4A775270-C891-4C76-B471-3674131FABB7}"/>
    <cellStyle name="Input 12 2 8" xfId="9968" xr:uid="{EB7BDA2C-AE1A-4BCD-8E35-B239A31CE50F}"/>
    <cellStyle name="Input 12 2 9" xfId="12697" xr:uid="{65B981D1-B071-48E2-A9DD-288C61CFF93D}"/>
    <cellStyle name="Input 12 3" xfId="7002" xr:uid="{518A8382-4771-4325-9B24-F5F5CBB0C666}"/>
    <cellStyle name="Input 12 3 10" xfId="15537" xr:uid="{09EA45AF-5ABB-4CE0-9ADA-9775CBACD762}"/>
    <cellStyle name="Input 12 3 2" xfId="8642" xr:uid="{ECD128E6-8E61-4A2E-B3EB-92533C20146C}"/>
    <cellStyle name="Input 12 3 2 2" xfId="13362" xr:uid="{7DDF48DF-BE3F-4EE0-8684-6A71F28DDEB6}"/>
    <cellStyle name="Input 12 3 2 3" xfId="14376" xr:uid="{98AC0481-EF35-41A4-B838-4CD42A0D2C1D}"/>
    <cellStyle name="Input 12 3 2 4" xfId="15334" xr:uid="{F2082AEB-D049-4A40-8934-1888E545C438}"/>
    <cellStyle name="Input 12 3 2 5" xfId="16278" xr:uid="{A62F24B5-2139-4490-947F-08C67E9D2049}"/>
    <cellStyle name="Input 12 3 2 6" xfId="17151" xr:uid="{D399EE49-8C58-47A9-A491-860DCFCD9DF7}"/>
    <cellStyle name="Input 12 3 2 7" xfId="18016" xr:uid="{D7420BD7-DC94-484C-9CD8-19916FD04F5E}"/>
    <cellStyle name="Input 12 3 2 8" xfId="18784" xr:uid="{8911A53F-5BA3-4D4D-8F12-92F8FB000445}"/>
    <cellStyle name="Input 12 3 3" xfId="9611" xr:uid="{62888CC7-98C6-4F7E-B8B9-4D10421573BB}"/>
    <cellStyle name="Input 12 3 3 2" xfId="14015" xr:uid="{B6C6D3BE-6F42-4FCC-B814-3744DCC9BD2A}"/>
    <cellStyle name="Input 12 3 3 3" xfId="14975" xr:uid="{2415DC03-442C-4D1B-A0F8-9A7A6FDA3193}"/>
    <cellStyle name="Input 12 3 3 4" xfId="15927" xr:uid="{FD5B88A3-2F2F-4347-8CF0-713BE9B5B4DA}"/>
    <cellStyle name="Input 12 3 3 5" xfId="16801" xr:uid="{8D28B69A-2ABF-4DE3-8538-C33E01219403}"/>
    <cellStyle name="Input 12 3 3 6" xfId="17666" xr:uid="{13B41293-4929-4DA1-B604-49EA8C5F96D7}"/>
    <cellStyle name="Input 12 3 3 7" xfId="18442" xr:uid="{6D755018-7D30-4476-A06B-484EA941B9AA}"/>
    <cellStyle name="Input 12 3 3 8" xfId="19199" xr:uid="{F6DE4F5D-62CA-4764-89C0-9DC02F3BEED1}"/>
    <cellStyle name="Input 12 3 4" xfId="12333" xr:uid="{379C2F57-A3F3-41A3-9960-2BBEA5B6D8D6}"/>
    <cellStyle name="Input 12 3 5" xfId="10537" xr:uid="{2E35F484-0BC4-4DF5-B1F4-9B90D2DD1E8E}"/>
    <cellStyle name="Input 12 3 6" xfId="12101" xr:uid="{2C620578-5F45-4A34-83EA-5B9BF04D3183}"/>
    <cellStyle name="Input 12 3 7" xfId="10751" xr:uid="{210E92E7-B41E-4E3D-8929-663EF8F63CA3}"/>
    <cellStyle name="Input 12 3 8" xfId="13603" xr:uid="{FC9BCCED-62AA-4B4F-AECA-BC352CD7C6F1}"/>
    <cellStyle name="Input 12 3 9" xfId="14584" xr:uid="{98A860EB-6720-4A9F-B43A-756CFC2D7D8C}"/>
    <cellStyle name="Input 12 4" xfId="7825" xr:uid="{5AEEB8EB-FFBA-44D9-8B3A-1DF9F1E3058A}"/>
    <cellStyle name="Input 12 4 2" xfId="12847" xr:uid="{7C1EEC26-AF67-4733-AC16-DAC178B294A2}"/>
    <cellStyle name="Input 12 4 3" xfId="10128" xr:uid="{8448DEFB-5E6C-4DAB-9951-1CE60F20C0EA}"/>
    <cellStyle name="Input 12 4 4" xfId="12032" xr:uid="{48F1D938-F0AD-421D-AC9E-7383C8A9E55F}"/>
    <cellStyle name="Input 12 4 5" xfId="10802" xr:uid="{14E451FF-9A3E-4C60-9654-F0CEC0543608}"/>
    <cellStyle name="Input 12 4 6" xfId="11616" xr:uid="{19B91573-6BB5-41C0-BD28-063C46FDD420}"/>
    <cellStyle name="Input 12 4 7" xfId="11143" xr:uid="{4D1ADFE4-0C1C-4429-9C6F-C8D5252AC22B}"/>
    <cellStyle name="Input 12 4 8" xfId="12871" xr:uid="{B09E02C4-0465-43F9-9417-3B7B8700E979}"/>
    <cellStyle name="Input 12 5" xfId="7820" xr:uid="{0DA498FA-9DCB-417C-9576-75CD1AAF8FD4}"/>
    <cellStyle name="Input 12 5 2" xfId="12842" xr:uid="{5AC39682-979B-4D27-8007-C45CB5393F04}"/>
    <cellStyle name="Input 12 5 3" xfId="10132" xr:uid="{B59A7B6E-0E72-4BCB-94F0-212A0B827AC7}"/>
    <cellStyle name="Input 12 5 4" xfId="12136" xr:uid="{03EE2B87-BCB5-45F2-AC20-F3A03C8BDD66}"/>
    <cellStyle name="Input 12 5 5" xfId="10719" xr:uid="{21B4B666-D860-467B-BED6-8F5C56EA8325}"/>
    <cellStyle name="Input 12 5 6" xfId="13607" xr:uid="{E833E70C-4820-4E34-9A5B-F12AAA3BF80A}"/>
    <cellStyle name="Input 12 5 7" xfId="14587" xr:uid="{62172C34-F709-4144-AF2C-E891224A3027}"/>
    <cellStyle name="Input 12 5 8" xfId="15540" xr:uid="{55B3F669-BEE3-4BF0-98A2-B82F327F4CA8}"/>
    <cellStyle name="Input 12 6" xfId="11358" xr:uid="{65EA5452-E8B5-455F-8754-8C4CFEB85ACB}"/>
    <cellStyle name="Input 12 7" xfId="11353" xr:uid="{94638044-E4E8-47F6-B260-C2FD12510D6C}"/>
    <cellStyle name="Input 12 8" xfId="11377" xr:uid="{42924BA7-4A27-4502-8E96-C88CFE1BE02B}"/>
    <cellStyle name="Input 12 9" xfId="11334" xr:uid="{2C4EC710-1F5A-4842-A7E9-9E150AA679D5}"/>
    <cellStyle name="Input 13" xfId="5131" xr:uid="{3A1744FC-5C49-4012-A3BA-99E6C9447BE2}"/>
    <cellStyle name="Input 13 10" xfId="11397" xr:uid="{548C9699-6082-4293-85D8-480E59D6B162}"/>
    <cellStyle name="Input 13 11" xfId="11314" xr:uid="{7010A657-5905-40B0-B229-E73DDF408ECC}"/>
    <cellStyle name="Input 13 12" xfId="11416" xr:uid="{61C26297-97AB-4AB0-B86B-FE1B4433A202}"/>
    <cellStyle name="Input 13 2" xfId="6859" xr:uid="{86E8D359-6A71-416C-8084-0520C5138BA5}"/>
    <cellStyle name="Input 13 2 10" xfId="16446" xr:uid="{CE2D0AAF-ED2E-47F1-B139-9FE05A351AB9}"/>
    <cellStyle name="Input 13 2 11" xfId="17317" xr:uid="{17AC41B9-C237-4DD1-8DA4-15E220225349}"/>
    <cellStyle name="Input 13 2 2" xfId="7244" xr:uid="{8E595E1F-C22D-465A-943E-3165FA98124D}"/>
    <cellStyle name="Input 13 2 2 10" xfId="17352" xr:uid="{E26BDAE8-12E9-4ED0-8BCB-151ED5DD2B9F}"/>
    <cellStyle name="Input 13 2 2 2" xfId="8884" xr:uid="{BFED1A76-F1DD-4F79-8011-C3382CDB1D0C}"/>
    <cellStyle name="Input 13 2 2 2 2" xfId="13535" xr:uid="{0AADB050-6AA1-4778-B136-F8C56907E6EF}"/>
    <cellStyle name="Input 13 2 2 2 3" xfId="14539" xr:uid="{A545746B-72EF-4F96-B92A-539AF939C81D}"/>
    <cellStyle name="Input 13 2 2 2 4" xfId="15497" xr:uid="{AE01E9B6-1B2A-40E5-9819-C4DC55F7D8B5}"/>
    <cellStyle name="Input 13 2 2 2 5" xfId="16422" xr:uid="{B9FE6449-1EA5-4A56-AA28-9DBB76388AE3}"/>
    <cellStyle name="Input 13 2 2 2 6" xfId="17293" xr:uid="{A3F3533F-CB60-4AE9-8615-D527767ACAEE}"/>
    <cellStyle name="Input 13 2 2 2 7" xfId="18139" xr:uid="{8983636E-7AE9-4C96-B716-92389E68F460}"/>
    <cellStyle name="Input 13 2 2 2 8" xfId="18899" xr:uid="{8824CAB5-F3A8-436A-89FB-878C73D40B43}"/>
    <cellStyle name="Input 13 2 2 3" xfId="9726" xr:uid="{F52F0B7E-23FE-40B7-8C09-49A23B2515D2}"/>
    <cellStyle name="Input 13 2 2 3 2" xfId="14130" xr:uid="{C6C08851-EE6F-4AA1-B2FB-2EB29B74D1C5}"/>
    <cellStyle name="Input 13 2 2 3 3" xfId="15090" xr:uid="{C8D05D61-4449-47CA-8284-62424DDA8FDC}"/>
    <cellStyle name="Input 13 2 2 3 4" xfId="16042" xr:uid="{C250C5A6-5DEF-4EDB-AF3E-99455C94DF45}"/>
    <cellStyle name="Input 13 2 2 3 5" xfId="16916" xr:uid="{962F7883-5462-4255-AF58-55534736E941}"/>
    <cellStyle name="Input 13 2 2 3 6" xfId="17781" xr:uid="{6D2BD41A-F9F4-4E18-A620-EAFE2D7AD850}"/>
    <cellStyle name="Input 13 2 2 3 7" xfId="18557" xr:uid="{F09704FD-2B4E-4B90-A43E-481C0CA0AA8D}"/>
    <cellStyle name="Input 13 2 2 3 8" xfId="19314" xr:uid="{3A6A4DD9-11A7-4428-89FF-272F3A429C56}"/>
    <cellStyle name="Input 13 2 2 4" xfId="12507" xr:uid="{F9CCCBFE-04EC-4CD8-9819-451D86178788}"/>
    <cellStyle name="Input 13 2 2 5" xfId="10374" xr:uid="{0985C8CD-B278-4556-A607-307053855A1F}"/>
    <cellStyle name="Input 13 2 2 6" xfId="13660" xr:uid="{DB01B827-F712-4516-A406-488D12B50A02}"/>
    <cellStyle name="Input 13 2 2 7" xfId="14636" xr:uid="{F143B88C-4CD1-4A07-A2D4-3291E000C5F1}"/>
    <cellStyle name="Input 13 2 2 8" xfId="15588" xr:uid="{B681D612-994A-4502-A63C-DB57B5DF5393}"/>
    <cellStyle name="Input 13 2 2 9" xfId="16483" xr:uid="{2642F4B3-7DD9-40B8-8313-417B15A6C64D}"/>
    <cellStyle name="Input 13 2 3" xfId="8499" xr:uid="{68055C76-468A-4252-9B86-C8FB0C3965CE}"/>
    <cellStyle name="Input 13 2 3 2" xfId="13239" xr:uid="{CF260C33-574E-41BF-AFE0-80E9E8D58B02}"/>
    <cellStyle name="Input 13 2 3 3" xfId="14259" xr:uid="{6D1FBEAB-2218-4B68-9BDF-F984B16DAEB7}"/>
    <cellStyle name="Input 13 2 3 4" xfId="15219" xr:uid="{4E6ED6CD-07B2-461D-B0C2-27E85B5B3681}"/>
    <cellStyle name="Input 13 2 3 5" xfId="16168" xr:uid="{962E9327-D8F4-46AF-AE65-77641D876C4C}"/>
    <cellStyle name="Input 13 2 3 6" xfId="17041" xr:uid="{2F9A0293-8A00-42D9-BECD-A2427D2CF075}"/>
    <cellStyle name="Input 13 2 3 7" xfId="17906" xr:uid="{54F3F17B-12E8-4236-8720-51909B270CCE}"/>
    <cellStyle name="Input 13 2 3 8" xfId="18682" xr:uid="{C46E4BBB-9508-47A3-AA49-79DDC740BB64}"/>
    <cellStyle name="Input 13 2 4" xfId="9509" xr:uid="{9FDBBCA0-61A4-4D2F-8377-30C169A28334}"/>
    <cellStyle name="Input 13 2 4 2" xfId="13913" xr:uid="{ADAB53D5-6021-44D4-A1DB-0FE77B242D37}"/>
    <cellStyle name="Input 13 2 4 3" xfId="14873" xr:uid="{55C40C2F-6079-43CE-A869-1F56723E1BB6}"/>
    <cellStyle name="Input 13 2 4 4" xfId="15825" xr:uid="{1D97D2AD-FC08-4417-80AC-79F3C534A62A}"/>
    <cellStyle name="Input 13 2 4 5" xfId="16699" xr:uid="{5443A239-8C83-4532-B0D8-2AEB07C47167}"/>
    <cellStyle name="Input 13 2 4 6" xfId="17564" xr:uid="{A63F699E-8EE9-41F5-81E9-61A20E0F176B}"/>
    <cellStyle name="Input 13 2 4 7" xfId="18340" xr:uid="{4F8FBE1F-0927-45E4-BE55-D37EFF5969EF}"/>
    <cellStyle name="Input 13 2 4 8" xfId="19097" xr:uid="{7972D0FE-8FE7-4EFA-B98D-DBEFE93E1437}"/>
    <cellStyle name="Input 13 2 5" xfId="12210" xr:uid="{D7DA4507-45EE-405C-80C0-000EBC4C9C88}"/>
    <cellStyle name="Input 13 2 6" xfId="10655" xr:uid="{D9BE442C-B06D-41BE-ADFF-074241768055}"/>
    <cellStyle name="Input 13 2 7" xfId="13616" xr:uid="{D2FD9481-D376-44B3-B351-1086B066D41E}"/>
    <cellStyle name="Input 13 2 8" xfId="14594" xr:uid="{29C795CB-EE25-49A4-A210-5AA298BB2884}"/>
    <cellStyle name="Input 13 2 9" xfId="15547" xr:uid="{D069475A-3DB5-4B98-9AF8-E0809F51A639}"/>
    <cellStyle name="Input 13 3" xfId="7003" xr:uid="{E833AA53-46D7-4979-8583-4F383600B38D}"/>
    <cellStyle name="Input 13 3 10" xfId="15381" xr:uid="{902D0AD3-20E7-4B43-A3DE-9728298A4C1F}"/>
    <cellStyle name="Input 13 3 2" xfId="8643" xr:uid="{55DCBE48-B84A-4C00-B09C-6EFD0648650B}"/>
    <cellStyle name="Input 13 3 2 2" xfId="13363" xr:uid="{0E4E2184-EFD5-44FD-9211-4A252963FBCD}"/>
    <cellStyle name="Input 13 3 2 3" xfId="14377" xr:uid="{847613CD-C431-4CA8-9283-701536B40F35}"/>
    <cellStyle name="Input 13 3 2 4" xfId="15335" xr:uid="{111AB3B5-A53D-479D-913D-717B88B643D5}"/>
    <cellStyle name="Input 13 3 2 5" xfId="16279" xr:uid="{A5BB770F-9044-46B1-A766-0DD5B629AF27}"/>
    <cellStyle name="Input 13 3 2 6" xfId="17152" xr:uid="{9D134C7C-3FE9-4B10-A395-65D5D8547498}"/>
    <cellStyle name="Input 13 3 2 7" xfId="18017" xr:uid="{4A214207-AEF3-4850-90C9-974BAF0EC3EA}"/>
    <cellStyle name="Input 13 3 2 8" xfId="18785" xr:uid="{99CA2C23-43FE-489B-AAB3-55F201642DE5}"/>
    <cellStyle name="Input 13 3 3" xfId="9612" xr:uid="{FE01C338-99AE-4127-AB4B-6FDECDED50E8}"/>
    <cellStyle name="Input 13 3 3 2" xfId="14016" xr:uid="{5B251AAF-020B-40A3-AD62-625B6EC78040}"/>
    <cellStyle name="Input 13 3 3 3" xfId="14976" xr:uid="{811C622D-C55B-47FB-8842-4DBF633F290F}"/>
    <cellStyle name="Input 13 3 3 4" xfId="15928" xr:uid="{4FF6FD91-92AE-40C9-AD08-E2AFFB9A84B5}"/>
    <cellStyle name="Input 13 3 3 5" xfId="16802" xr:uid="{E7CA3A1D-08EC-4A54-88B4-2D3366474951}"/>
    <cellStyle name="Input 13 3 3 6" xfId="17667" xr:uid="{2309C154-8646-4146-AD9B-8664D2158C6B}"/>
    <cellStyle name="Input 13 3 3 7" xfId="18443" xr:uid="{A3C06A43-3BFE-4D2B-89AC-9252534B3EE5}"/>
    <cellStyle name="Input 13 3 3 8" xfId="19200" xr:uid="{DDB415E8-384F-43BA-9E1F-8D6A6C2AA6C9}"/>
    <cellStyle name="Input 13 3 4" xfId="12334" xr:uid="{ABAC68DF-F8AA-4900-93D3-B7D4912133EE}"/>
    <cellStyle name="Input 13 3 5" xfId="10536" xr:uid="{C4E99EF8-EEA4-46DD-8516-8C0C529C4BC2}"/>
    <cellStyle name="Input 13 3 6" xfId="12616" xr:uid="{3C581EE1-BFE5-45BE-957B-CE615B494B48}"/>
    <cellStyle name="Input 13 3 7" xfId="10289" xr:uid="{E0C3F616-FC22-4941-97C8-BAD455767758}"/>
    <cellStyle name="Input 13 3 8" xfId="13415" xr:uid="{7AA19D3C-A0DE-4267-9A11-D8AB224AC8E9}"/>
    <cellStyle name="Input 13 3 9" xfId="14423" xr:uid="{75ED722C-D81F-4E72-8AA4-5CA48419B9A6}"/>
    <cellStyle name="Input 13 4" xfId="7826" xr:uid="{913CDF66-EF8F-4D16-A7DD-E253E7F4A571}"/>
    <cellStyle name="Input 13 4 2" xfId="12848" xr:uid="{7421DE1D-FE3C-42E7-8C2A-55289E39FA30}"/>
    <cellStyle name="Input 13 4 3" xfId="10127" xr:uid="{98FD4798-6D95-417F-BF33-83473302B270}"/>
    <cellStyle name="Input 13 4 4" xfId="11995" xr:uid="{54E3B3DC-66D9-4ED6-9EF2-98DEF4E4E6EA}"/>
    <cellStyle name="Input 13 4 5" xfId="10834" xr:uid="{EFDE9189-F6D1-498E-80E3-44A0A23DEFDE}"/>
    <cellStyle name="Input 13 4 6" xfId="11588" xr:uid="{68AFD509-A9AB-4C2F-A83D-FE4E70C7F195}"/>
    <cellStyle name="Input 13 4 7" xfId="11169" xr:uid="{DC08EE76-597E-4E25-BD02-BF97435A1AFD}"/>
    <cellStyle name="Input 13 4 8" xfId="13021" xr:uid="{63385029-0B33-4ABD-AE94-0EBE8CABCCC7}"/>
    <cellStyle name="Input 13 5" xfId="7819" xr:uid="{26310A11-7176-4F9A-AC0D-6A4C0FE97BA1}"/>
    <cellStyle name="Input 13 5 2" xfId="12841" xr:uid="{B8C9EC9D-245E-44B8-974D-06906D525986}"/>
    <cellStyle name="Input 13 5 3" xfId="10133" xr:uid="{835DBF41-0343-479F-AD52-5106C5B3400F}"/>
    <cellStyle name="Input 13 5 4" xfId="11947" xr:uid="{CDE40EFB-3A60-454B-9FEF-04284356CEDC}"/>
    <cellStyle name="Input 13 5 5" xfId="10870" xr:uid="{DED9469F-BA36-4057-B5E6-F1B027529E83}"/>
    <cellStyle name="Input 13 5 6" xfId="11552" xr:uid="{2AC4273A-AB9E-47FE-8418-5463EC22C5DC}"/>
    <cellStyle name="Input 13 5 7" xfId="11187" xr:uid="{85DDBDCA-F7D1-46F6-8D01-B3D1EF247E66}"/>
    <cellStyle name="Input 13 5 8" xfId="11428" xr:uid="{115BA2C8-A51F-4D91-89A9-87D591BBB87F}"/>
    <cellStyle name="Input 13 6" xfId="11359" xr:uid="{62BBA1BE-542E-43C2-887E-1755F54D359D}"/>
    <cellStyle name="Input 13 7" xfId="11352" xr:uid="{73175384-940A-4C49-8855-83631A4D350F}"/>
    <cellStyle name="Input 13 8" xfId="11378" xr:uid="{62AC8C73-0E24-4BD2-90E7-CD10D8EB68E6}"/>
    <cellStyle name="Input 13 9" xfId="11333" xr:uid="{94556136-2267-4168-BA38-B9E36F0893B1}"/>
    <cellStyle name="Input 14" xfId="5132" xr:uid="{9A96AD79-9EFF-4877-868B-523A21E41DD9}"/>
    <cellStyle name="Input 14 10" xfId="11398" xr:uid="{5B160D7C-6417-45C6-9994-CC3686E458DD}"/>
    <cellStyle name="Input 14 11" xfId="11313" xr:uid="{2CC944FD-5140-4FDA-9D59-83105B835611}"/>
    <cellStyle name="Input 14 12" xfId="11417" xr:uid="{94F83C1C-804E-4EA2-B3A5-CD057B57A7A6}"/>
    <cellStyle name="Input 14 2" xfId="6858" xr:uid="{83E9F536-6261-4C44-B938-7773A71BE5B5}"/>
    <cellStyle name="Input 14 2 10" xfId="11045" xr:uid="{3C3C5D2C-23CA-4952-8C6C-C9C68A8AA41B}"/>
    <cellStyle name="Input 14 2 11" xfId="13027" xr:uid="{09584A93-9A39-467F-B217-4DE815B13828}"/>
    <cellStyle name="Input 14 2 2" xfId="7245" xr:uid="{9D21962B-7250-40C9-978B-5C26564E2E5C}"/>
    <cellStyle name="Input 14 2 2 10" xfId="13109" xr:uid="{22070391-C7CC-4F30-AF99-CA3520D3ECA3}"/>
    <cellStyle name="Input 14 2 2 2" xfId="8885" xr:uid="{E7A3D0C4-F4F3-43BA-990B-90D3F379CD93}"/>
    <cellStyle name="Input 14 2 2 2 2" xfId="13536" xr:uid="{E45F6CDE-CA0A-4EBA-82B4-248BE7F98B9A}"/>
    <cellStyle name="Input 14 2 2 2 3" xfId="14540" xr:uid="{D86AD5E7-C13C-4C56-984D-7043E1FF22E7}"/>
    <cellStyle name="Input 14 2 2 2 4" xfId="15498" xr:uid="{37EF622B-E637-4A73-B311-84546FC40FA1}"/>
    <cellStyle name="Input 14 2 2 2 5" xfId="16423" xr:uid="{11BA9204-025B-476D-A0D6-E1F61A1C08F8}"/>
    <cellStyle name="Input 14 2 2 2 6" xfId="17294" xr:uid="{B1879904-2901-4C26-B13C-29B65B9AB3D0}"/>
    <cellStyle name="Input 14 2 2 2 7" xfId="18140" xr:uid="{519FC0E2-462B-4607-BF58-6F3AF940CC51}"/>
    <cellStyle name="Input 14 2 2 2 8" xfId="18900" xr:uid="{A4D62D1A-26D2-4466-B2A4-74348263F287}"/>
    <cellStyle name="Input 14 2 2 3" xfId="9727" xr:uid="{A8A20D46-E636-4A3D-848F-D68A53F66EFF}"/>
    <cellStyle name="Input 14 2 2 3 2" xfId="14131" xr:uid="{0ACF22C6-4BC0-47BF-86ED-994F1DBC94E2}"/>
    <cellStyle name="Input 14 2 2 3 3" xfId="15091" xr:uid="{F5EA990D-C6C4-4AC2-BAC8-92EE3219A680}"/>
    <cellStyle name="Input 14 2 2 3 4" xfId="16043" xr:uid="{6119B0C8-9A72-4254-A6A3-930DC4AFA9B9}"/>
    <cellStyle name="Input 14 2 2 3 5" xfId="16917" xr:uid="{1AACDF85-33F5-439A-85D5-77024B4AD8E1}"/>
    <cellStyle name="Input 14 2 2 3 6" xfId="17782" xr:uid="{61EAB043-1BB6-4D83-B73E-1764068F59A6}"/>
    <cellStyle name="Input 14 2 2 3 7" xfId="18558" xr:uid="{D221054D-2F1A-4C3D-A8F8-8AE435A581FB}"/>
    <cellStyle name="Input 14 2 2 3 8" xfId="19315" xr:uid="{A6A3F610-EFA9-4D78-8FFC-3CEB30AE8F3F}"/>
    <cellStyle name="Input 14 2 2 4" xfId="12508" xr:uid="{71D299D8-75F7-43D7-99A4-09FA8D1F1FD9}"/>
    <cellStyle name="Input 14 2 2 5" xfId="10373" xr:uid="{E5B04FD2-CB39-456F-B069-DCF0A60E5FC3}"/>
    <cellStyle name="Input 14 2 2 6" xfId="13149" xr:uid="{3FB7A30E-8991-4CBA-A046-A93090B46234}"/>
    <cellStyle name="Input 14 2 2 7" xfId="9881" xr:uid="{2360C757-AC6F-41E5-8FCA-FBAD07E0CBFB}"/>
    <cellStyle name="Input 14 2 2 8" xfId="12169" xr:uid="{4C917DEB-D8F7-4C17-ACAD-5F9E19649D5B}"/>
    <cellStyle name="Input 14 2 2 9" xfId="10694" xr:uid="{D778FB24-74F0-4F13-905C-9B8F8AEB25F3}"/>
    <cellStyle name="Input 14 2 3" xfId="8498" xr:uid="{C5971AAD-9483-4F57-83C5-07BE67255FF7}"/>
    <cellStyle name="Input 14 2 3 2" xfId="13238" xr:uid="{F663998D-7A11-4F2F-96F6-B875077CCFBF}"/>
    <cellStyle name="Input 14 2 3 3" xfId="14258" xr:uid="{4A9230AB-C312-4A6E-8ED0-46B91ED3FC8E}"/>
    <cellStyle name="Input 14 2 3 4" xfId="15218" xr:uid="{DCDE7C9F-B823-4A87-A566-03B15A22F108}"/>
    <cellStyle name="Input 14 2 3 5" xfId="16167" xr:uid="{F02B6FD2-0F98-4248-9E38-5DD495483C23}"/>
    <cellStyle name="Input 14 2 3 6" xfId="17040" xr:uid="{717F6A91-6A30-437C-9A01-7B2C7114F5B4}"/>
    <cellStyle name="Input 14 2 3 7" xfId="17905" xr:uid="{5950CD50-0707-4FE7-B06B-C228B87789D5}"/>
    <cellStyle name="Input 14 2 3 8" xfId="18681" xr:uid="{123241AB-167F-455E-8C7A-1127E83897FA}"/>
    <cellStyle name="Input 14 2 4" xfId="9508" xr:uid="{6AE5964F-2A5E-4EDA-BDA0-8185716112BE}"/>
    <cellStyle name="Input 14 2 4 2" xfId="13912" xr:uid="{8129BCE3-FCEB-4249-80CB-E0DFDBE02C00}"/>
    <cellStyle name="Input 14 2 4 3" xfId="14872" xr:uid="{2DE9AE5B-5960-4375-9B35-1349F6CE7C1C}"/>
    <cellStyle name="Input 14 2 4 4" xfId="15824" xr:uid="{1083D958-FB76-4BE2-9C92-7D2F76F7CB12}"/>
    <cellStyle name="Input 14 2 4 5" xfId="16698" xr:uid="{0CD3B0B2-1AA0-4BF9-98E4-F26F56F3B70A}"/>
    <cellStyle name="Input 14 2 4 6" xfId="17563" xr:uid="{FAEFEDD5-E250-4592-911B-82839383B960}"/>
    <cellStyle name="Input 14 2 4 7" xfId="18339" xr:uid="{393CA5BD-9A5A-459D-AB37-D656F119179E}"/>
    <cellStyle name="Input 14 2 4 8" xfId="19096" xr:uid="{2D0232B4-4F88-4B28-A7FD-81F125B461C7}"/>
    <cellStyle name="Input 14 2 5" xfId="12209" xr:uid="{DFDDECD3-8569-496D-B96D-335F4DFB4335}"/>
    <cellStyle name="Input 14 2 6" xfId="10656" xr:uid="{EB4E1053-E39F-47F2-BA00-441DE8A670D1}"/>
    <cellStyle name="Input 14 2 7" xfId="12594" xr:uid="{DD247822-78FD-4700-A1EF-35A7154C58E5}"/>
    <cellStyle name="Input 14 2 8" xfId="10310" xr:uid="{660AEBF1-DE39-46D2-84CE-8FE4AAB5F832}"/>
    <cellStyle name="Input 14 2 9" xfId="11752" xr:uid="{61A6B10A-C045-4402-9AC1-7D04755F3B08}"/>
    <cellStyle name="Input 14 3" xfId="7004" xr:uid="{FA4D4915-9C3A-4807-9686-5B11A896D83F}"/>
    <cellStyle name="Input 14 3 10" xfId="17336" xr:uid="{8A312E7C-FBD6-4730-BAAD-E100AC3B5BB6}"/>
    <cellStyle name="Input 14 3 2" xfId="8644" xr:uid="{E34AC924-AA21-4945-A9C5-F0D98422C7FE}"/>
    <cellStyle name="Input 14 3 2 2" xfId="13364" xr:uid="{2A1F4E70-0240-4630-B339-C5C5CC6B19A0}"/>
    <cellStyle name="Input 14 3 2 3" xfId="14378" xr:uid="{B4A8A888-EF7D-4C8B-BD43-29C24080054F}"/>
    <cellStyle name="Input 14 3 2 4" xfId="15336" xr:uid="{6945349D-D1A4-47A4-8241-8EAEE3FE84C0}"/>
    <cellStyle name="Input 14 3 2 5" xfId="16280" xr:uid="{F8DCD9CD-6C10-4D98-962B-19587CC707A7}"/>
    <cellStyle name="Input 14 3 2 6" xfId="17153" xr:uid="{F279FB21-B84F-468A-8DE6-ACC540346193}"/>
    <cellStyle name="Input 14 3 2 7" xfId="18018" xr:uid="{5AA4D8CA-D3D7-453C-B257-0C34F475C9F5}"/>
    <cellStyle name="Input 14 3 2 8" xfId="18786" xr:uid="{277A76FD-0F7F-4AA9-AA33-0E2D8E927B67}"/>
    <cellStyle name="Input 14 3 3" xfId="9613" xr:uid="{84172AAC-3261-4F7E-91AD-6DC766086271}"/>
    <cellStyle name="Input 14 3 3 2" xfId="14017" xr:uid="{50965906-4063-42A2-82CA-DDC17DBC1A67}"/>
    <cellStyle name="Input 14 3 3 3" xfId="14977" xr:uid="{E2A53B9C-E8BE-4C11-99B1-DC1D3EB47D59}"/>
    <cellStyle name="Input 14 3 3 4" xfId="15929" xr:uid="{7B745F64-E6B6-4E7C-8F75-FF7914D192AA}"/>
    <cellStyle name="Input 14 3 3 5" xfId="16803" xr:uid="{56E40AAE-6D6A-4BA0-83A8-9417CB8C6E79}"/>
    <cellStyle name="Input 14 3 3 6" xfId="17668" xr:uid="{D841BE59-AC45-460F-A4DD-08A86FE38EAC}"/>
    <cellStyle name="Input 14 3 3 7" xfId="18444" xr:uid="{77EBBD09-BAEE-4050-8FAD-EE04609E7030}"/>
    <cellStyle name="Input 14 3 3 8" xfId="19201" xr:uid="{52DA4C6A-D0E9-47CC-91A3-6D78EA04DC44}"/>
    <cellStyle name="Input 14 3 4" xfId="12335" xr:uid="{FACF561F-FA4A-4257-B76B-CECF46DD302D}"/>
    <cellStyle name="Input 14 3 5" xfId="10535" xr:uid="{FC3DB8E1-CA2C-4E85-BBA7-240017CDEEAB}"/>
    <cellStyle name="Input 14 3 6" xfId="13637" xr:uid="{DF2209E1-F874-434E-9D9C-489497F73E1E}"/>
    <cellStyle name="Input 14 3 7" xfId="14615" xr:uid="{2CA8B55A-CA11-405B-A2E0-FB35D3D0F543}"/>
    <cellStyle name="Input 14 3 8" xfId="15568" xr:uid="{FE29ECAE-618D-4B43-87E3-0B619E588E86}"/>
    <cellStyle name="Input 14 3 9" xfId="16467" xr:uid="{323C89DB-92F9-4B2C-864A-98C6B5E250E7}"/>
    <cellStyle name="Input 14 4" xfId="7827" xr:uid="{0CC8C2EE-E4B9-4CEC-9D02-7DE9AF87ED06}"/>
    <cellStyle name="Input 14 4 2" xfId="12849" xr:uid="{053CB850-E5FC-403F-9AE3-D5B83C5FC384}"/>
    <cellStyle name="Input 14 4 3" xfId="10126" xr:uid="{5F60EDA1-99A5-4EBC-AFAE-517988ACB576}"/>
    <cellStyle name="Input 14 4 4" xfId="12673" xr:uid="{E23D824D-E376-4631-830C-B4605BD7B1B3}"/>
    <cellStyle name="Input 14 4 5" xfId="10244" xr:uid="{23842326-C220-4AEE-92B9-E506A3535F64}"/>
    <cellStyle name="Input 14 4 6" xfId="13418" xr:uid="{A19B187A-7B67-4D97-8998-34351C94BD85}"/>
    <cellStyle name="Input 14 4 7" xfId="14425" xr:uid="{99E2D90B-CD66-4B77-BEDF-5F3D75A3046F}"/>
    <cellStyle name="Input 14 4 8" xfId="15383" xr:uid="{037208DF-B78B-419B-9731-4CAE8DE047A0}"/>
    <cellStyle name="Input 14 5" xfId="7818" xr:uid="{1F99D50C-F8DA-4310-9450-AA0326BA9BB3}"/>
    <cellStyle name="Input 14 5 2" xfId="12840" xr:uid="{1FB949A1-8B88-4D38-A768-B7B2FA37716B}"/>
    <cellStyle name="Input 14 5 3" xfId="10134" xr:uid="{9147A5D6-8B81-48B3-B666-BDFB1C99118C}"/>
    <cellStyle name="Input 14 5 4" xfId="13167" xr:uid="{DE17BE46-E7A7-42F1-856B-B15CDC8E11C3}"/>
    <cellStyle name="Input 14 5 5" xfId="9868" xr:uid="{08443DDD-F6D3-4099-BF6C-7AEDED950DF0}"/>
    <cellStyle name="Input 14 5 6" xfId="13504" xr:uid="{FA90ABBD-B0FB-4EEF-879F-7A13F858CEE9}"/>
    <cellStyle name="Input 14 5 7" xfId="14510" xr:uid="{23958839-13D2-4576-909D-F9D3B7B1987C}"/>
    <cellStyle name="Input 14 5 8" xfId="15468" xr:uid="{7CD9A9CB-686C-4AA0-B408-8184041CCD7D}"/>
    <cellStyle name="Input 14 6" xfId="11360" xr:uid="{5FAA8A74-A531-4FBF-914E-973AC39F4612}"/>
    <cellStyle name="Input 14 7" xfId="11351" xr:uid="{72EB8324-A156-4B35-B62C-A17FF846FE5E}"/>
    <cellStyle name="Input 14 8" xfId="11379" xr:uid="{E680A24D-3656-4C57-BC4B-2B34C4A49838}"/>
    <cellStyle name="Input 14 9" xfId="11332" xr:uid="{16A803A5-7507-4FE4-902B-8990D0C1AA0C}"/>
    <cellStyle name="Input 15" xfId="5133" xr:uid="{35F1ACAB-ACA0-42B8-9029-1726D880E340}"/>
    <cellStyle name="Input 15 10" xfId="11399" xr:uid="{806C7B89-1DC2-47A4-A824-5F1A715B126C}"/>
    <cellStyle name="Input 15 11" xfId="11312" xr:uid="{329B9C3C-8140-4D56-BA15-1A28711289F2}"/>
    <cellStyle name="Input 15 12" xfId="11418" xr:uid="{4C8184C6-7628-48A2-8EB9-86741D175FF6}"/>
    <cellStyle name="Input 15 2" xfId="6857" xr:uid="{BFBFAEEC-BC2B-4442-928E-E760B20A1DAA}"/>
    <cellStyle name="Input 15 2 10" xfId="11184" xr:uid="{721AC9D4-F278-4F4C-A347-00444B33DC0F}"/>
    <cellStyle name="Input 15 2 11" xfId="13567" xr:uid="{5C470E69-F3AE-4F79-B19D-5C2DFE6F249D}"/>
    <cellStyle name="Input 15 2 2" xfId="7246" xr:uid="{C0F11B20-F211-40BE-B6C8-602E39B851EB}"/>
    <cellStyle name="Input 15 2 2 10" xfId="11639" xr:uid="{27038945-56F1-40B2-8B36-1CDDC15B0183}"/>
    <cellStyle name="Input 15 2 2 2" xfId="8886" xr:uid="{B5AFA9D7-E182-465A-A9CB-086386E2AA02}"/>
    <cellStyle name="Input 15 2 2 2 2" xfId="13537" xr:uid="{1DCC668B-F67A-4C43-8DED-29178BA997C8}"/>
    <cellStyle name="Input 15 2 2 2 3" xfId="14541" xr:uid="{EAEF258B-C372-42B3-851A-6B5BF5EEA6A3}"/>
    <cellStyle name="Input 15 2 2 2 4" xfId="15499" xr:uid="{18C50BA8-9555-428B-8C27-51DD264F272E}"/>
    <cellStyle name="Input 15 2 2 2 5" xfId="16424" xr:uid="{207BDDD9-E738-47C5-9D32-A1E92027B129}"/>
    <cellStyle name="Input 15 2 2 2 6" xfId="17295" xr:uid="{84437513-00BD-4CD3-AFCC-9E999587762D}"/>
    <cellStyle name="Input 15 2 2 2 7" xfId="18141" xr:uid="{C5A941C0-2BE8-4DE3-8A19-BB2F0862CED8}"/>
    <cellStyle name="Input 15 2 2 2 8" xfId="18901" xr:uid="{56CA9B75-157E-48F2-BD28-7753E0E4D7C2}"/>
    <cellStyle name="Input 15 2 2 3" xfId="9728" xr:uid="{9483B08D-019C-4AC8-B13A-E4E5920C9400}"/>
    <cellStyle name="Input 15 2 2 3 2" xfId="14132" xr:uid="{6C77B35D-7252-40B5-8A1F-9BF4960BE30F}"/>
    <cellStyle name="Input 15 2 2 3 3" xfId="15092" xr:uid="{BC48ABE9-1951-4D7E-8AB3-5470390D1FC8}"/>
    <cellStyle name="Input 15 2 2 3 4" xfId="16044" xr:uid="{28EBB292-8F32-47FA-929C-AB3DD3EF369C}"/>
    <cellStyle name="Input 15 2 2 3 5" xfId="16918" xr:uid="{6ABDF2B1-1CC7-4DB0-999D-5516E056B89F}"/>
    <cellStyle name="Input 15 2 2 3 6" xfId="17783" xr:uid="{0440F808-E7EC-436E-9A50-7734037659B3}"/>
    <cellStyle name="Input 15 2 2 3 7" xfId="18559" xr:uid="{19941802-1722-4DCF-8B0E-6C733CA075A4}"/>
    <cellStyle name="Input 15 2 2 3 8" xfId="19316" xr:uid="{E7ED0906-CF16-465E-80CE-6688EFFEEC59}"/>
    <cellStyle name="Input 15 2 2 4" xfId="12509" xr:uid="{8E1314BE-6375-4875-8579-2B8146D7A761}"/>
    <cellStyle name="Input 15 2 2 5" xfId="10372" xr:uid="{3517C1F7-0CEE-4A23-A604-2A6F62765DE5}"/>
    <cellStyle name="Input 15 2 2 6" xfId="12118" xr:uid="{55E31C28-2401-4D71-A7CB-73FB0AAEC8B5}"/>
    <cellStyle name="Input 15 2 2 7" xfId="10734" xr:uid="{D71BF932-A260-4DF6-B506-CF24B45E031D}"/>
    <cellStyle name="Input 15 2 2 8" xfId="12073" xr:uid="{01E121C4-CF27-4ED4-B8BC-01EDA842EAC7}"/>
    <cellStyle name="Input 15 2 2 9" xfId="10775" xr:uid="{DACF361C-AD63-473C-9F7D-8B3C54A34E85}"/>
    <cellStyle name="Input 15 2 3" xfId="8497" xr:uid="{373BB36B-CB71-4004-8673-39671B5E410F}"/>
    <cellStyle name="Input 15 2 3 2" xfId="13237" xr:uid="{4EE0BEE0-DAD4-498E-A13D-CFD9D4F2FD7A}"/>
    <cellStyle name="Input 15 2 3 3" xfId="14257" xr:uid="{657766ED-9AE5-4386-B996-B675198B4531}"/>
    <cellStyle name="Input 15 2 3 4" xfId="15217" xr:uid="{6A070FB3-6DDE-4D96-996C-BE532A10F703}"/>
    <cellStyle name="Input 15 2 3 5" xfId="16166" xr:uid="{3B14D127-3150-4ADE-88C9-E30323F8ED67}"/>
    <cellStyle name="Input 15 2 3 6" xfId="17039" xr:uid="{C627C372-9A88-43B1-9F11-FFF97515188A}"/>
    <cellStyle name="Input 15 2 3 7" xfId="17904" xr:uid="{E7144F0F-810F-43D3-BF58-06A72FA50DB9}"/>
    <cellStyle name="Input 15 2 3 8" xfId="18680" xr:uid="{9AA68A4D-91BB-4810-A55B-CCCE4B13BEF2}"/>
    <cellStyle name="Input 15 2 4" xfId="9507" xr:uid="{6EAB2F34-7DAD-42B6-B233-5F0C79F1AA07}"/>
    <cellStyle name="Input 15 2 4 2" xfId="13911" xr:uid="{7ACC8D20-7709-45D5-BB63-0F45CF0A220C}"/>
    <cellStyle name="Input 15 2 4 3" xfId="14871" xr:uid="{3F49297D-8475-4282-B71D-185676F10C50}"/>
    <cellStyle name="Input 15 2 4 4" xfId="15823" xr:uid="{2E55B0E5-212A-4ED6-9EA6-A2F8E43B802B}"/>
    <cellStyle name="Input 15 2 4 5" xfId="16697" xr:uid="{D8693CC7-2724-43DA-B4F1-33142E0A47DD}"/>
    <cellStyle name="Input 15 2 4 6" xfId="17562" xr:uid="{AFECEEA7-3670-4BD0-8555-72F8B99E3469}"/>
    <cellStyle name="Input 15 2 4 7" xfId="18338" xr:uid="{36F70DD2-6C9F-430F-8436-0460CAFFE3B3}"/>
    <cellStyle name="Input 15 2 4 8" xfId="19095" xr:uid="{B254D314-6927-4A48-9497-04BBBD19CB2A}"/>
    <cellStyle name="Input 15 2 5" xfId="12208" xr:uid="{4DA36B95-5DC6-4AE6-B163-A79DF47B9F7E}"/>
    <cellStyle name="Input 15 2 6" xfId="10657" xr:uid="{2BE80502-E77E-4F5B-968E-BBB0B5E60537}"/>
    <cellStyle name="Input 15 2 7" xfId="11973" xr:uid="{57FD84F4-2EC9-457B-A284-54F03A94F0F4}"/>
    <cellStyle name="Input 15 2 8" xfId="10854" xr:uid="{4A0FB3E0-03F2-49E6-99E8-92E0614FA8D2}"/>
    <cellStyle name="Input 15 2 9" xfId="11568" xr:uid="{07121BBC-51AD-4267-B822-CB58FD7172FB}"/>
    <cellStyle name="Input 15 3" xfId="7005" xr:uid="{4339CF8F-8DD6-42C0-A39B-9B65E97685F3}"/>
    <cellStyle name="Input 15 3 10" xfId="9934" xr:uid="{3F2F0C43-B083-470A-B4BE-0E4215FA45A7}"/>
    <cellStyle name="Input 15 3 2" xfId="8645" xr:uid="{72AFD2C3-9572-464B-8A25-F2C668143B77}"/>
    <cellStyle name="Input 15 3 2 2" xfId="13365" xr:uid="{57CFF31B-24C2-4AF0-8473-6040D4A7978F}"/>
    <cellStyle name="Input 15 3 2 3" xfId="14379" xr:uid="{2D7A6A3A-4489-4F6D-83E7-FB8BD7F29DCA}"/>
    <cellStyle name="Input 15 3 2 4" xfId="15337" xr:uid="{5E7D40BB-221C-41B9-8384-6731453996CB}"/>
    <cellStyle name="Input 15 3 2 5" xfId="16281" xr:uid="{82D04539-3410-4496-BC67-F4FB8E97D746}"/>
    <cellStyle name="Input 15 3 2 6" xfId="17154" xr:uid="{CA2FF59D-0FBF-4CDA-916C-03FE2226E201}"/>
    <cellStyle name="Input 15 3 2 7" xfId="18019" xr:uid="{92F5A9C2-4E18-4A03-A85A-24B1628F93BC}"/>
    <cellStyle name="Input 15 3 2 8" xfId="18787" xr:uid="{A53FD6E1-DAA1-43D9-8740-F51D8AEA55FF}"/>
    <cellStyle name="Input 15 3 3" xfId="9614" xr:uid="{98CD83AC-131E-4F41-9D51-4AD91B045432}"/>
    <cellStyle name="Input 15 3 3 2" xfId="14018" xr:uid="{A8EFDB72-2969-4B36-A9EC-2F3530D90DC8}"/>
    <cellStyle name="Input 15 3 3 3" xfId="14978" xr:uid="{963D9CCE-DC86-4632-81BF-11C984F2403A}"/>
    <cellStyle name="Input 15 3 3 4" xfId="15930" xr:uid="{32CC2A4D-7B72-4411-B0FE-2F976B0F09AC}"/>
    <cellStyle name="Input 15 3 3 5" xfId="16804" xr:uid="{397C3B07-CADD-4508-989C-9782469FEE00}"/>
    <cellStyle name="Input 15 3 3 6" xfId="17669" xr:uid="{E0EC8C0E-D7E8-43DA-8CBD-792192D7E6DA}"/>
    <cellStyle name="Input 15 3 3 7" xfId="18445" xr:uid="{4BBDB911-E989-4C54-93E7-CE95C01C75D9}"/>
    <cellStyle name="Input 15 3 3 8" xfId="19202" xr:uid="{AA42815B-BFAA-4519-88C9-F4037CDF2679}"/>
    <cellStyle name="Input 15 3 4" xfId="12336" xr:uid="{45EC9C97-A87C-48D9-B0E9-CC0FD2985CF4}"/>
    <cellStyle name="Input 15 3 5" xfId="10534" xr:uid="{25F036E1-D388-4558-8543-8714EE8CE672}"/>
    <cellStyle name="Input 15 3 6" xfId="13133" xr:uid="{CB301A96-FCE8-4B12-A96A-CCF45E1AEE3F}"/>
    <cellStyle name="Input 15 3 7" xfId="9894" xr:uid="{332DA0E8-7D79-4F7A-8A13-B760FD5C9E60}"/>
    <cellStyle name="Input 15 3 8" xfId="12706" xr:uid="{D6E5F7F9-0D88-4176-8E4F-0742F08F7AB6}"/>
    <cellStyle name="Input 15 3 9" xfId="13073" xr:uid="{F3A526A1-5359-41E3-83BC-CBCB84E8F3DF}"/>
    <cellStyle name="Input 15 4" xfId="7828" xr:uid="{A1DE90EF-9FCB-4EA4-8A51-5CEA828FE4B9}"/>
    <cellStyle name="Input 15 4 2" xfId="12850" xr:uid="{B65CF26F-4577-45C2-AD1B-3ECB6933F838}"/>
    <cellStyle name="Input 15 4 3" xfId="10125" xr:uid="{9552085C-3E60-4570-98AC-1BB57DE4EB7C}"/>
    <cellStyle name="Input 15 4 4" xfId="13693" xr:uid="{26831C15-3AC0-492F-BD4A-F636F08B8801}"/>
    <cellStyle name="Input 15 4 5" xfId="14661" xr:uid="{0606588F-ABE0-41A1-A298-3D4D906DA1BC}"/>
    <cellStyle name="Input 15 4 6" xfId="15613" xr:uid="{212524A8-CD51-480E-8E2C-9DF404CDDF38}"/>
    <cellStyle name="Input 15 4 7" xfId="16498" xr:uid="{77A16E9A-EBBD-4E6A-BDF7-3629BF49BD59}"/>
    <cellStyle name="Input 15 4 8" xfId="17366" xr:uid="{F744C6AD-E9AD-497D-B7F2-010B3F5AE6FD}"/>
    <cellStyle name="Input 15 5" xfId="7817" xr:uid="{71B2F78F-A99F-4E33-A54C-165BAAD28177}"/>
    <cellStyle name="Input 15 5 2" xfId="12839" xr:uid="{0DF967CC-D6E5-4AD8-91CF-9F39650703A7}"/>
    <cellStyle name="Input 15 5 3" xfId="10135" xr:uid="{BC159840-437E-47ED-9D1F-DAAC5482809B}"/>
    <cellStyle name="Input 15 5 4" xfId="13690" xr:uid="{2E057A93-A674-404D-962D-2C3C57B5E10E}"/>
    <cellStyle name="Input 15 5 5" xfId="14658" xr:uid="{07D35015-C9DC-4187-8458-124B900CD4A7}"/>
    <cellStyle name="Input 15 5 6" xfId="15610" xr:uid="{71E2EAEB-ACC6-4D85-9101-FB9B881FBA09}"/>
    <cellStyle name="Input 15 5 7" xfId="16495" xr:uid="{669AA2F2-C45F-4362-A576-B9F1847FA959}"/>
    <cellStyle name="Input 15 5 8" xfId="17363" xr:uid="{64F62943-0C6C-40AF-8355-EDD782348ABA}"/>
    <cellStyle name="Input 15 6" xfId="11361" xr:uid="{95CD3DE7-ABA8-4D3E-A543-0141FE1CFBDA}"/>
    <cellStyle name="Input 15 7" xfId="11350" xr:uid="{986DD52C-451B-4697-BBE5-2A004D3A8CFB}"/>
    <cellStyle name="Input 15 8" xfId="11380" xr:uid="{A7BFA30F-938B-4299-A221-67C8E842D579}"/>
    <cellStyle name="Input 15 9" xfId="11331" xr:uid="{ADB2B16A-58FE-4CB2-8CF2-EA247C72E502}"/>
    <cellStyle name="Input 16" xfId="5134" xr:uid="{993BA022-D416-4190-9EFC-66AE5003CFBD}"/>
    <cellStyle name="Input 16 10" xfId="11400" xr:uid="{A6099260-DB43-4F31-A402-97723230E3AB}"/>
    <cellStyle name="Input 16 11" xfId="11311" xr:uid="{901DA056-8006-4255-9CFD-703D34E74E2A}"/>
    <cellStyle name="Input 16 12" xfId="9830" xr:uid="{A099A2EF-AE04-4B57-95AC-BAD0D5AAD1B8}"/>
    <cellStyle name="Input 16 2" xfId="6856" xr:uid="{62198338-621D-4347-8343-3C811FE81718}"/>
    <cellStyle name="Input 16 2 10" xfId="10975" xr:uid="{03A21CB5-24B9-4BAD-9109-508B8933DE8D}"/>
    <cellStyle name="Input 16 2 11" xfId="12576" xr:uid="{E56BBC50-186A-4850-AC40-6E7835B31406}"/>
    <cellStyle name="Input 16 2 2" xfId="7247" xr:uid="{FE495EB7-BB55-41BB-9D95-94C2E4B1928F}"/>
    <cellStyle name="Input 16 2 2 10" xfId="12364" xr:uid="{863BA189-E398-4F0F-AC0C-D9A02544B7CC}"/>
    <cellStyle name="Input 16 2 2 2" xfId="8887" xr:uid="{9544CC2F-DBA9-4167-8F9E-AEDF6595B92F}"/>
    <cellStyle name="Input 16 2 2 2 2" xfId="13538" xr:uid="{4C5E32A2-99EC-4F8B-9BE4-85576665E579}"/>
    <cellStyle name="Input 16 2 2 2 3" xfId="14542" xr:uid="{91889D99-6330-418B-86D1-3C6EC33FCACD}"/>
    <cellStyle name="Input 16 2 2 2 4" xfId="15500" xr:uid="{1C1EC9A5-5137-4CDE-954F-506706F3F37B}"/>
    <cellStyle name="Input 16 2 2 2 5" xfId="16425" xr:uid="{A65B2865-1A7E-4A19-8B7C-CC0F7DE9735E}"/>
    <cellStyle name="Input 16 2 2 2 6" xfId="17296" xr:uid="{D408C670-7626-4D37-8EC8-BDB6A92CAA88}"/>
    <cellStyle name="Input 16 2 2 2 7" xfId="18142" xr:uid="{28CE5E8E-4CEE-4D87-8310-6A0A20956EDF}"/>
    <cellStyle name="Input 16 2 2 2 8" xfId="18902" xr:uid="{5F22DDEA-4E4C-4448-9403-3ED3A996A58D}"/>
    <cellStyle name="Input 16 2 2 3" xfId="9729" xr:uid="{B80AB8FF-7FDB-4F17-9023-84A101F9EA49}"/>
    <cellStyle name="Input 16 2 2 3 2" xfId="14133" xr:uid="{49C3A5E6-D35B-4BF4-B4E0-5BEEED1E322D}"/>
    <cellStyle name="Input 16 2 2 3 3" xfId="15093" xr:uid="{1BDE368B-CAC9-4F96-BBC8-9E2D34FA2B96}"/>
    <cellStyle name="Input 16 2 2 3 4" xfId="16045" xr:uid="{3BE9BCD8-3E22-4BE1-A046-4F48B28AE45C}"/>
    <cellStyle name="Input 16 2 2 3 5" xfId="16919" xr:uid="{306A933A-6FE0-41FD-86AA-F37297BCECA9}"/>
    <cellStyle name="Input 16 2 2 3 6" xfId="17784" xr:uid="{77747449-8733-4ADC-B9A1-CF277B954565}"/>
    <cellStyle name="Input 16 2 2 3 7" xfId="18560" xr:uid="{7794EAB5-924C-4860-8019-ED311C21C32B}"/>
    <cellStyle name="Input 16 2 2 3 8" xfId="19317" xr:uid="{A66B5EA0-A046-47C0-BCF1-CFFB127051A9}"/>
    <cellStyle name="Input 16 2 2 4" xfId="12510" xr:uid="{92206491-9431-4DF0-B675-3A3E36D8191F}"/>
    <cellStyle name="Input 16 2 2 5" xfId="10371" xr:uid="{C9EBE3F2-D8C3-41E6-ACAD-7B71A44430D1}"/>
    <cellStyle name="Input 16 2 2 6" xfId="12642" xr:uid="{D5B90765-639C-4C93-B610-2BDD0869E1D2}"/>
    <cellStyle name="Input 16 2 2 7" xfId="10269" xr:uid="{B0DDD940-7DCD-431A-B0A8-94FDB31D5D26}"/>
    <cellStyle name="Input 16 2 2 8" xfId="12127" xr:uid="{7F0CAB2D-82D5-418D-B731-D36E626F820E}"/>
    <cellStyle name="Input 16 2 2 9" xfId="10728" xr:uid="{FB2AD075-FF3B-4DE0-A0E8-F9306CDB8C2A}"/>
    <cellStyle name="Input 16 2 3" xfId="8496" xr:uid="{473A3B39-C05F-4725-961B-3E72AAE2865F}"/>
    <cellStyle name="Input 16 2 3 2" xfId="13236" xr:uid="{E4304DC4-3AD2-4E73-8844-094015101A87}"/>
    <cellStyle name="Input 16 2 3 3" xfId="14256" xr:uid="{C2F8A539-047D-45EC-8E6B-4EEBDAFCEDB6}"/>
    <cellStyle name="Input 16 2 3 4" xfId="15216" xr:uid="{014E8323-976E-470A-9309-F8C262AA91FF}"/>
    <cellStyle name="Input 16 2 3 5" xfId="16165" xr:uid="{EB30AAFD-E1D2-4C5B-9547-9AF98E6C3924}"/>
    <cellStyle name="Input 16 2 3 6" xfId="17038" xr:uid="{97EDA412-F75C-4062-A5AC-ACD2EFA1F144}"/>
    <cellStyle name="Input 16 2 3 7" xfId="17903" xr:uid="{FC6C7A44-4B37-409B-9F2F-00F37EA61003}"/>
    <cellStyle name="Input 16 2 3 8" xfId="18679" xr:uid="{D49DE77E-934D-49CA-B140-2D508D0F84EF}"/>
    <cellStyle name="Input 16 2 4" xfId="9506" xr:uid="{F6674F2B-0AD9-498A-845D-99DB0172C9C6}"/>
    <cellStyle name="Input 16 2 4 2" xfId="13910" xr:uid="{DE860699-13B7-441C-A73F-9E3CA1056F4C}"/>
    <cellStyle name="Input 16 2 4 3" xfId="14870" xr:uid="{735F2B0C-50CC-4A3D-8786-6E2B24529A64}"/>
    <cellStyle name="Input 16 2 4 4" xfId="15822" xr:uid="{E8C6C6EF-C46A-49E8-B275-67BE99A0105B}"/>
    <cellStyle name="Input 16 2 4 5" xfId="16696" xr:uid="{7EB4B8E9-5DB9-4E35-AA96-24B9768C34F2}"/>
    <cellStyle name="Input 16 2 4 6" xfId="17561" xr:uid="{34E1DA39-CE8E-4137-9D60-07E4CA09F94D}"/>
    <cellStyle name="Input 16 2 4 7" xfId="18337" xr:uid="{6A0F1F5D-D6A1-4CA3-91F7-150D9CE168BF}"/>
    <cellStyle name="Input 16 2 4 8" xfId="19094" xr:uid="{90D091BC-49E4-46CC-83AA-471ED84F435B}"/>
    <cellStyle name="Input 16 2 5" xfId="12207" xr:uid="{81521467-BE20-4351-8717-1D475677CDE4}"/>
    <cellStyle name="Input 16 2 6" xfId="10658" xr:uid="{1F567AC3-86B0-4D8A-B69B-4378F8F86A3C}"/>
    <cellStyle name="Input 16 2 7" xfId="13114" xr:uid="{3793E84A-8925-4DAE-93E7-53B86131D987}"/>
    <cellStyle name="Input 16 2 8" xfId="9912" xr:uid="{E7D94257-AC7D-4C09-BCA8-1F71A6ACFC5F}"/>
    <cellStyle name="Input 16 2 9" xfId="11837" xr:uid="{05C1B692-FB82-4020-A513-21979C9675AD}"/>
    <cellStyle name="Input 16 3" xfId="7006" xr:uid="{1B3618D9-EEBE-4E1D-B5C0-7C0CAB91EC7F}"/>
    <cellStyle name="Input 16 3 10" xfId="12868" xr:uid="{4C57C746-538E-41C5-B90A-157697D6A1A1}"/>
    <cellStyle name="Input 16 3 2" xfId="8646" xr:uid="{1052F988-3295-45ED-AD79-7386983D8AD7}"/>
    <cellStyle name="Input 16 3 2 2" xfId="13366" xr:uid="{7D0F976D-FD98-4873-8CA9-9558D0DBA677}"/>
    <cellStyle name="Input 16 3 2 3" xfId="14380" xr:uid="{98D98119-AF0C-40D7-833A-41B9A9BF3CD4}"/>
    <cellStyle name="Input 16 3 2 4" xfId="15338" xr:uid="{5B485DB5-8834-4E13-A2F8-12D2135598FA}"/>
    <cellStyle name="Input 16 3 2 5" xfId="16282" xr:uid="{93AA2DEF-E5A8-4BF2-AAF7-AF4B2262B561}"/>
    <cellStyle name="Input 16 3 2 6" xfId="17155" xr:uid="{B28010E3-A036-4DE3-9495-5C12B452F6AF}"/>
    <cellStyle name="Input 16 3 2 7" xfId="18020" xr:uid="{A3569A88-6CD6-4AD6-9C05-1DC1A6CEA6E2}"/>
    <cellStyle name="Input 16 3 2 8" xfId="18788" xr:uid="{764FFE7C-5D36-4BA2-8B83-363C043844A2}"/>
    <cellStyle name="Input 16 3 3" xfId="9615" xr:uid="{2377F841-9949-4187-A62B-7851B37ABD00}"/>
    <cellStyle name="Input 16 3 3 2" xfId="14019" xr:uid="{8AA02119-200C-45D6-BE10-15794153AEFB}"/>
    <cellStyle name="Input 16 3 3 3" xfId="14979" xr:uid="{42191399-BD30-479C-8F33-9B3C18C0072B}"/>
    <cellStyle name="Input 16 3 3 4" xfId="15931" xr:uid="{F1ECEBDC-2333-4A9B-82F1-4B0C34BF1968}"/>
    <cellStyle name="Input 16 3 3 5" xfId="16805" xr:uid="{D9CBA518-1174-42A3-9A49-986471B536BB}"/>
    <cellStyle name="Input 16 3 3 6" xfId="17670" xr:uid="{3353E03D-C864-4F91-AB5F-3C30D38B1223}"/>
    <cellStyle name="Input 16 3 3 7" xfId="18446" xr:uid="{33B9BCD0-6419-4929-B608-7FF2A5B4063B}"/>
    <cellStyle name="Input 16 3 3 8" xfId="19203" xr:uid="{946AC481-6CF9-49DB-9C9A-806622C4B141}"/>
    <cellStyle name="Input 16 3 4" xfId="12337" xr:uid="{1FAEBAE7-49DC-4AD0-BA2C-4A313189795F}"/>
    <cellStyle name="Input 16 3 5" xfId="10533" xr:uid="{19752529-9C01-4C81-ADA2-16AEF7F2992B}"/>
    <cellStyle name="Input 16 3 6" xfId="11982" xr:uid="{2F0A2FF5-C6EA-4CAF-8757-6F0B93A56211}"/>
    <cellStyle name="Input 16 3 7" xfId="10846" xr:uid="{3506C344-78F0-48E2-8B7F-10F99CED0876}"/>
    <cellStyle name="Input 16 3 8" xfId="11576" xr:uid="{D570AC1A-8E15-4911-BE5A-55DB71B9D465}"/>
    <cellStyle name="Input 16 3 9" xfId="11178" xr:uid="{4FE9D28D-AA93-447A-BCB5-71F1E88CBB6C}"/>
    <cellStyle name="Input 16 4" xfId="7829" xr:uid="{4E386CE3-EA87-4C9F-A4FF-4DD2DD52FEE3}"/>
    <cellStyle name="Input 16 4 2" xfId="12851" xr:uid="{9F825FB9-46B0-4694-B2D4-37AF2614683D}"/>
    <cellStyle name="Input 16 4 3" xfId="10124" xr:uid="{13577695-0D54-4FBC-AF14-5B68F8126B03}"/>
    <cellStyle name="Input 16 4 4" xfId="13057" xr:uid="{AB56D484-630B-4587-95AD-57421C42827C}"/>
    <cellStyle name="Input 16 4 5" xfId="9946" xr:uid="{7810AAF5-A7ED-45C3-810D-DAB8CE19346D}"/>
    <cellStyle name="Input 16 4 6" xfId="13196" xr:uid="{FA7EE64B-2C22-45FB-9B67-8EA9F1E1DE60}"/>
    <cellStyle name="Input 16 4 7" xfId="9845" xr:uid="{97C24CDD-6776-4490-AA78-475F8218E77A}"/>
    <cellStyle name="Input 16 4 8" xfId="12437" xr:uid="{4FB0D417-BE69-421C-AA0E-B47191936B03}"/>
    <cellStyle name="Input 16 5" xfId="7816" xr:uid="{463902B9-5EA4-4B7C-ADA5-400E25E9B5D9}"/>
    <cellStyle name="Input 16 5 2" xfId="12838" xr:uid="{B846157A-F850-4472-B524-8944795764FE}"/>
    <cellStyle name="Input 16 5 3" xfId="10136" xr:uid="{C700F143-44D2-4C1E-89A8-BD3CE3B19F79}"/>
    <cellStyle name="Input 16 5 4" xfId="12670" xr:uid="{03DE5EDD-8666-430D-9D79-35151A2C1047}"/>
    <cellStyle name="Input 16 5 5" xfId="10247" xr:uid="{81A4F748-4263-4DC1-BBC1-2BEACC7BCF84}"/>
    <cellStyle name="Input 16 5 6" xfId="13677" xr:uid="{E7DFABC1-B4AF-4D5E-976E-1A5487733E6E}"/>
    <cellStyle name="Input 16 5 7" xfId="14646" xr:uid="{8E9E9975-D967-4598-A901-084A571A496C}"/>
    <cellStyle name="Input 16 5 8" xfId="15598" xr:uid="{25D4570C-D7D0-4095-8F4A-2EC59951231C}"/>
    <cellStyle name="Input 16 6" xfId="11362" xr:uid="{F97FDB44-7087-4E03-9721-6F4C389DF17A}"/>
    <cellStyle name="Input 16 7" xfId="11349" xr:uid="{0C5002BF-622C-4EF9-9281-3C8635CACA93}"/>
    <cellStyle name="Input 16 8" xfId="11381" xr:uid="{6D078DE0-7099-4B79-BD2B-010E6B7238BA}"/>
    <cellStyle name="Input 16 9" xfId="11330" xr:uid="{EF165FBD-6ECE-4233-9CA9-744AFA5C3513}"/>
    <cellStyle name="Input 17" xfId="5135" xr:uid="{BEB248E2-206E-4572-96DF-B201DD61DE9D}"/>
    <cellStyle name="Input 17 10" xfId="11401" xr:uid="{21D42B4E-40CC-4F08-8C3A-8A92F8FF3D51}"/>
    <cellStyle name="Input 17 11" xfId="11310" xr:uid="{DFB03AAF-AF4A-47E2-96E4-CF0CF67DD064}"/>
    <cellStyle name="Input 17 12" xfId="9839" xr:uid="{0AA18246-BC3C-406D-9112-5CE1AEA218E2}"/>
    <cellStyle name="Input 17 2" xfId="6855" xr:uid="{0C5F4409-F3B5-4A11-9E32-1615BB9473D7}"/>
    <cellStyle name="Input 17 2 10" xfId="16445" xr:uid="{5B16FDB5-C3E1-4CA7-82DC-BF27C2A7A318}"/>
    <cellStyle name="Input 17 2 11" xfId="17316" xr:uid="{264B22C4-C1A6-4FEE-808E-74EB93EB82AC}"/>
    <cellStyle name="Input 17 2 2" xfId="7248" xr:uid="{CDC592C8-3ECE-4DE3-9BE2-4B9C3610CDBD}"/>
    <cellStyle name="Input 17 2 2 10" xfId="17353" xr:uid="{40158E39-5540-49C2-BABD-0532C802BA9F}"/>
    <cellStyle name="Input 17 2 2 2" xfId="8888" xr:uid="{54FC50A8-384A-4B11-B182-3597CCCA67CD}"/>
    <cellStyle name="Input 17 2 2 2 2" xfId="13539" xr:uid="{8858E536-8B7A-4B56-8144-24D7300142C4}"/>
    <cellStyle name="Input 17 2 2 2 3" xfId="14543" xr:uid="{FA775053-331D-4920-9684-F3339047DE90}"/>
    <cellStyle name="Input 17 2 2 2 4" xfId="15501" xr:uid="{9DC6C670-4FA3-46E5-9A78-8E9E0F21385E}"/>
    <cellStyle name="Input 17 2 2 2 5" xfId="16426" xr:uid="{E6D2E0ED-DACF-4975-AEDF-C92710CAB85A}"/>
    <cellStyle name="Input 17 2 2 2 6" xfId="17297" xr:uid="{09C281CC-AD60-4DD0-B5EE-FAFA667F754D}"/>
    <cellStyle name="Input 17 2 2 2 7" xfId="18143" xr:uid="{A87C783E-5B46-4E22-A781-A352EC8E18F1}"/>
    <cellStyle name="Input 17 2 2 2 8" xfId="18903" xr:uid="{9EFCB7DE-D148-40A5-AE4C-007834F11D17}"/>
    <cellStyle name="Input 17 2 2 3" xfId="9730" xr:uid="{2C648C5C-74DB-4DB0-BCB2-A7DBAA3E4C2F}"/>
    <cellStyle name="Input 17 2 2 3 2" xfId="14134" xr:uid="{09323665-9080-44EB-8BD5-F162E6693DB6}"/>
    <cellStyle name="Input 17 2 2 3 3" xfId="15094" xr:uid="{DB6C6B5E-BCA8-4C46-8ADF-8AB5E5E197CB}"/>
    <cellStyle name="Input 17 2 2 3 4" xfId="16046" xr:uid="{19D7A57D-CF86-4662-9DCE-4DB837A98AD3}"/>
    <cellStyle name="Input 17 2 2 3 5" xfId="16920" xr:uid="{0E2F0AEC-19A6-40C8-8521-E6FED66B6799}"/>
    <cellStyle name="Input 17 2 2 3 6" xfId="17785" xr:uid="{1B1B3235-AC24-4D2A-AF96-1DF31F0508B1}"/>
    <cellStyle name="Input 17 2 2 3 7" xfId="18561" xr:uid="{1B25E6D3-B736-490A-B0CD-4BEFCB07D5AF}"/>
    <cellStyle name="Input 17 2 2 3 8" xfId="19318" xr:uid="{7BD5A410-5C98-454C-BCE9-BCEF26826F07}"/>
    <cellStyle name="Input 17 2 2 4" xfId="12511" xr:uid="{D0A6D308-B2D7-4CD3-A7B4-E51013B6893F}"/>
    <cellStyle name="Input 17 2 2 5" xfId="10370" xr:uid="{832E91D6-CBDF-4F55-8092-8C2BD2BC3641}"/>
    <cellStyle name="Input 17 2 2 6" xfId="13661" xr:uid="{F0A0760F-273F-4D90-B4EB-805CEFAB1EC2}"/>
    <cellStyle name="Input 17 2 2 7" xfId="14637" xr:uid="{77181230-5544-41FE-A78D-E91218F05AF3}"/>
    <cellStyle name="Input 17 2 2 8" xfId="15589" xr:uid="{DAB6A3A0-B8D4-456D-91C1-42BA07A5EBD2}"/>
    <cellStyle name="Input 17 2 2 9" xfId="16484" xr:uid="{9BE7EDE9-94AE-4B07-AF31-287FA2033FBC}"/>
    <cellStyle name="Input 17 2 3" xfId="8495" xr:uid="{8F3552D9-5400-45BB-A7A7-B87EFC1C91A5}"/>
    <cellStyle name="Input 17 2 3 2" xfId="13235" xr:uid="{2254DABB-A42F-4160-8FE5-0B316843E31B}"/>
    <cellStyle name="Input 17 2 3 3" xfId="14255" xr:uid="{49E0927B-6AF0-446E-B5A0-468E42964C7C}"/>
    <cellStyle name="Input 17 2 3 4" xfId="15215" xr:uid="{D7CC8DFE-2CCB-4F6B-AE83-809791531A06}"/>
    <cellStyle name="Input 17 2 3 5" xfId="16164" xr:uid="{2385BED6-E87A-4AC8-9AAF-148CE83A2E76}"/>
    <cellStyle name="Input 17 2 3 6" xfId="17037" xr:uid="{D8AFC388-A7D9-4857-9A64-BDC6003739C3}"/>
    <cellStyle name="Input 17 2 3 7" xfId="17902" xr:uid="{1038AC66-5EF0-4562-B70F-3489592C8803}"/>
    <cellStyle name="Input 17 2 3 8" xfId="18678" xr:uid="{34B72D69-A174-4344-8C26-37212DC415C1}"/>
    <cellStyle name="Input 17 2 4" xfId="9505" xr:uid="{9C47E4F1-F6DF-448D-A2C5-5CC7125E8C43}"/>
    <cellStyle name="Input 17 2 4 2" xfId="13909" xr:uid="{3160C755-0F9C-4DF9-9962-05D02B6327C7}"/>
    <cellStyle name="Input 17 2 4 3" xfId="14869" xr:uid="{A74B3B02-A139-482F-AC68-70D06EA85C0B}"/>
    <cellStyle name="Input 17 2 4 4" xfId="15821" xr:uid="{CAB47BF3-3EBD-4C41-9492-367F34F7720D}"/>
    <cellStyle name="Input 17 2 4 5" xfId="16695" xr:uid="{E469BA63-2732-4E31-8F9F-1135360FC606}"/>
    <cellStyle name="Input 17 2 4 6" xfId="17560" xr:uid="{CA2F0CAF-D280-4844-ACE5-4AC59DC7944B}"/>
    <cellStyle name="Input 17 2 4 7" xfId="18336" xr:uid="{5A3551C8-A9CC-4246-BE22-D2C6B23350EE}"/>
    <cellStyle name="Input 17 2 4 8" xfId="19093" xr:uid="{5852AF05-75BC-4716-8878-7ECF3E5E800D}"/>
    <cellStyle name="Input 17 2 5" xfId="12206" xr:uid="{2393AA66-648E-40EB-800E-8C60DE354D36}"/>
    <cellStyle name="Input 17 2 6" xfId="10659" xr:uid="{CD91B6BD-8824-46BD-A820-AF92B712FE2F}"/>
    <cellStyle name="Input 17 2 7" xfId="13615" xr:uid="{3BA45A71-591F-4B55-9726-CF1BBBDE4349}"/>
    <cellStyle name="Input 17 2 8" xfId="14593" xr:uid="{D694CA52-5E20-45B8-A3DE-C472955DE52C}"/>
    <cellStyle name="Input 17 2 9" xfId="15546" xr:uid="{F05F4216-2608-449A-8F0D-1171B62482B3}"/>
    <cellStyle name="Input 17 3" xfId="7007" xr:uid="{B0A2FA9E-D75B-456D-B8C3-6EAE5DE8DD19}"/>
    <cellStyle name="Input 17 3 10" xfId="13704" xr:uid="{1B509D4A-C7F3-4385-977F-10239F59BEEB}"/>
    <cellStyle name="Input 17 3 2" xfId="8647" xr:uid="{6BC58900-95B4-4145-BE18-0EA5E5B144A3}"/>
    <cellStyle name="Input 17 3 2 2" xfId="13367" xr:uid="{24E14387-D543-4A87-BCCB-C2A9149C0762}"/>
    <cellStyle name="Input 17 3 2 3" xfId="14381" xr:uid="{720934AF-9F6F-4119-AA34-D8CF555D6D3A}"/>
    <cellStyle name="Input 17 3 2 4" xfId="15339" xr:uid="{60526171-4E0E-4963-A4CA-6801D8798410}"/>
    <cellStyle name="Input 17 3 2 5" xfId="16283" xr:uid="{C04812DA-118E-463A-B597-E05EC5E6E17B}"/>
    <cellStyle name="Input 17 3 2 6" xfId="17156" xr:uid="{8889A5F4-E012-45BB-B3FD-385E21759DF9}"/>
    <cellStyle name="Input 17 3 2 7" xfId="18021" xr:uid="{E6B57FD0-B124-4800-8EBE-0B3C8B3BA8AF}"/>
    <cellStyle name="Input 17 3 2 8" xfId="18789" xr:uid="{A9C50FC1-5E30-4FB3-9894-0AB19C0EA12A}"/>
    <cellStyle name="Input 17 3 3" xfId="9616" xr:uid="{E4EECCB2-800B-4AE9-B933-1F3BC7EDA736}"/>
    <cellStyle name="Input 17 3 3 2" xfId="14020" xr:uid="{1F609A6E-7EF5-40C0-A153-17A2533DE87A}"/>
    <cellStyle name="Input 17 3 3 3" xfId="14980" xr:uid="{8E45516C-B124-4D95-9E8D-8EDF152754FC}"/>
    <cellStyle name="Input 17 3 3 4" xfId="15932" xr:uid="{600766F4-518A-4D82-B1FE-A31F8AE353B5}"/>
    <cellStyle name="Input 17 3 3 5" xfId="16806" xr:uid="{DADBBB93-15D1-47F3-B184-87C4841B2CA5}"/>
    <cellStyle name="Input 17 3 3 6" xfId="17671" xr:uid="{1DCD2FDB-8FC2-49B2-9EB1-0095C17BAD8E}"/>
    <cellStyle name="Input 17 3 3 7" xfId="18447" xr:uid="{06872442-E194-4950-95B5-F4AB6DEA9B7A}"/>
    <cellStyle name="Input 17 3 3 8" xfId="19204" xr:uid="{682C35BF-E7DC-4616-9105-5300F5589001}"/>
    <cellStyle name="Input 17 3 4" xfId="12338" xr:uid="{EFFA1EB8-074F-47F3-83EB-F8E439FDB6E1}"/>
    <cellStyle name="Input 17 3 5" xfId="10532" xr:uid="{60028315-2819-477F-BC0D-A838E919E967}"/>
    <cellStyle name="Input 17 3 6" xfId="12617" xr:uid="{1D8F3B14-91BF-430C-B652-2D5DAD8C4B68}"/>
    <cellStyle name="Input 17 3 7" xfId="10288" xr:uid="{B7FA763B-DE95-4ED8-9199-1905583F934A}"/>
    <cellStyle name="Input 17 3 8" xfId="12926" xr:uid="{05FD437B-8BCF-4112-AC8F-A09694BBBD68}"/>
    <cellStyle name="Input 17 3 9" xfId="10059" xr:uid="{A63F0E25-81A6-4252-9E88-F87556544D15}"/>
    <cellStyle name="Input 17 4" xfId="7830" xr:uid="{04ED7353-E27E-4091-8BFE-FA0A429DCBFA}"/>
    <cellStyle name="Input 17 4 2" xfId="12852" xr:uid="{DD8E3254-806F-4A85-AC7F-9ABF16CAC696}"/>
    <cellStyle name="Input 17 4 3" xfId="10123" xr:uid="{235CDC54-1005-43B3-9164-19CE4B41F7F4}"/>
    <cellStyle name="Input 17 4 4" xfId="12671" xr:uid="{1930B5F8-87A9-4D9F-A8D1-69D5622929B1}"/>
    <cellStyle name="Input 17 4 5" xfId="10246" xr:uid="{D81FA6AD-A351-4809-AEF3-C475156B2B6D}"/>
    <cellStyle name="Input 17 4 6" xfId="13051" xr:uid="{801F0DAA-0987-4E3A-8EAC-BF5EB0BFC602}"/>
    <cellStyle name="Input 17 4 7" xfId="9952" xr:uid="{56054258-BBA3-478C-B6FF-A208AD4EFE17}"/>
    <cellStyle name="Input 17 4 8" xfId="12164" xr:uid="{22E02C26-25C5-4E19-A132-C867B98BC27F}"/>
    <cellStyle name="Input 17 5" xfId="7815" xr:uid="{BD59B62D-1E7B-46F6-9B22-518129578AE8}"/>
    <cellStyle name="Input 17 5 2" xfId="12837" xr:uid="{ED649608-E019-48DD-95DB-FA934CFBEC72}"/>
    <cellStyle name="Input 17 5 3" xfId="10137" xr:uid="{81EDDAAE-CB53-4BD7-B082-93172E41F385}"/>
    <cellStyle name="Input 17 5 4" xfId="12135" xr:uid="{C6D4CF6D-17B6-45E4-968C-707F6D21B8E1}"/>
    <cellStyle name="Input 17 5 5" xfId="10720" xr:uid="{34F426E3-173E-439F-9935-B5355C6B24E3}"/>
    <cellStyle name="Input 17 5 6" xfId="12584" xr:uid="{872857A7-747D-4AFB-99E4-15FCFE1A653F}"/>
    <cellStyle name="Input 17 5 7" xfId="10318" xr:uid="{2928F300-0D97-4244-8553-0D74B03505E3}"/>
    <cellStyle name="Input 17 5 8" xfId="11745" xr:uid="{1A8A7DED-D716-4D07-A0D7-BB78D5B05318}"/>
    <cellStyle name="Input 17 6" xfId="11363" xr:uid="{326238F8-B383-4E56-875E-0417123D13DB}"/>
    <cellStyle name="Input 17 7" xfId="11348" xr:uid="{B30BB5AB-52B5-42A6-9CD4-6929D9ADD908}"/>
    <cellStyle name="Input 17 8" xfId="11382" xr:uid="{F6AEA85C-5C5A-4E87-9B24-766CAA9C455A}"/>
    <cellStyle name="Input 17 9" xfId="11329" xr:uid="{AAE6F1A4-706A-4872-BD6A-35C1FE902BF1}"/>
    <cellStyle name="Input 18" xfId="5136" xr:uid="{33BBD037-B365-4F7A-BD98-6DE73AD0E222}"/>
    <cellStyle name="Input 18 10" xfId="11328" xr:uid="{141BB2E8-8F21-4D86-A698-52DC33E71E8A}"/>
    <cellStyle name="Input 18 11" xfId="11402" xr:uid="{1566FF9F-1CCE-4049-AA21-CBBA6BA5604B}"/>
    <cellStyle name="Input 18 12" xfId="11309" xr:uid="{ED6988BE-4C8C-4FA2-9742-D4C2313FB624}"/>
    <cellStyle name="Input 18 13" xfId="11419" xr:uid="{9666029B-3AF8-482B-A5AF-572D9F345ABB}"/>
    <cellStyle name="Input 18 2" xfId="5137" xr:uid="{97B8E852-B4E7-4B39-B570-5F55E8B94782}"/>
    <cellStyle name="Input 18 2 10" xfId="11403" xr:uid="{01027B2D-2E87-4366-81C2-1A75CD0CAFD8}"/>
    <cellStyle name="Input 18 2 11" xfId="11308" xr:uid="{2E6B9037-8DF2-400C-ABC1-D490C1756C14}"/>
    <cellStyle name="Input 18 2 12" xfId="11420" xr:uid="{3D6A300F-8EE2-4CDA-A610-624D23008CB1}"/>
    <cellStyle name="Input 18 2 2" xfId="6853" xr:uid="{04F653F3-DFBF-4E5E-8AA3-1A8BF36182BA}"/>
    <cellStyle name="Input 18 2 2 10" xfId="11132" xr:uid="{C1EC85CC-B5D7-4BBA-8B71-8E7C60651C2E}"/>
    <cellStyle name="Input 18 2 2 11" xfId="12550" xr:uid="{E98E9CCF-CAFA-49D4-87C0-89B9B7277E54}"/>
    <cellStyle name="Input 18 2 2 2" xfId="7249" xr:uid="{1D8DF027-558E-4BA1-97B4-C3C7DAFBCC72}"/>
    <cellStyle name="Input 18 2 2 2 10" xfId="14368" xr:uid="{DCB2C1ED-2FB5-4356-9F2D-025E26C8B9FF}"/>
    <cellStyle name="Input 18 2 2 2 2" xfId="8889" xr:uid="{8AEA0A97-C15E-452E-AC3B-C6A2F47F467D}"/>
    <cellStyle name="Input 18 2 2 2 2 2" xfId="13540" xr:uid="{4EA65A05-05EB-471E-91CC-D5A291493CEE}"/>
    <cellStyle name="Input 18 2 2 2 2 3" xfId="14544" xr:uid="{C293B3A7-A32C-46A1-A112-5E751E6C0BEC}"/>
    <cellStyle name="Input 18 2 2 2 2 4" xfId="15502" xr:uid="{307D7D2A-A4A1-44B5-8E77-60A4CF9A963D}"/>
    <cellStyle name="Input 18 2 2 2 2 5" xfId="16427" xr:uid="{6B32114E-B3C2-4A96-B7C2-2D373F11F5AF}"/>
    <cellStyle name="Input 18 2 2 2 2 6" xfId="17298" xr:uid="{2A075F9E-8A0B-4B49-A794-CE32C5A0054D}"/>
    <cellStyle name="Input 18 2 2 2 2 7" xfId="18144" xr:uid="{FB0FBF07-95B3-4D01-834B-EF0B0E607315}"/>
    <cellStyle name="Input 18 2 2 2 2 8" xfId="18904" xr:uid="{178FC08C-0BF4-4E7F-9A9B-89A0836A9CC9}"/>
    <cellStyle name="Input 18 2 2 2 3" xfId="9731" xr:uid="{8695EF37-86E5-44CB-96CE-9CB7F4C749EB}"/>
    <cellStyle name="Input 18 2 2 2 3 2" xfId="14135" xr:uid="{5370C531-163B-4AEA-9797-577E0FEDBD7E}"/>
    <cellStyle name="Input 18 2 2 2 3 3" xfId="15095" xr:uid="{DD8C00C7-0225-42A4-8EF2-E9650B69FD08}"/>
    <cellStyle name="Input 18 2 2 2 3 4" xfId="16047" xr:uid="{B53A88C1-5384-44A8-941D-0C0B294269C1}"/>
    <cellStyle name="Input 18 2 2 2 3 5" xfId="16921" xr:uid="{44426CC8-F8D9-4E64-A805-9E22F9B472FE}"/>
    <cellStyle name="Input 18 2 2 2 3 6" xfId="17786" xr:uid="{5A622F40-0DF9-4B2E-93D5-33C968525FB0}"/>
    <cellStyle name="Input 18 2 2 2 3 7" xfId="18562" xr:uid="{50BED88B-1272-4291-847E-7D071C24E0A0}"/>
    <cellStyle name="Input 18 2 2 2 3 8" xfId="19319" xr:uid="{D02C0374-278C-448F-B30F-A4958F2E68AE}"/>
    <cellStyle name="Input 18 2 2 2 4" xfId="12512" xr:uid="{C860C0B9-13BE-46BD-AF2F-73EE391B12FD}"/>
    <cellStyle name="Input 18 2 2 2 5" xfId="10369" xr:uid="{A7EEF37F-3421-4CD5-8B8B-78A9AA14A685}"/>
    <cellStyle name="Input 18 2 2 2 6" xfId="13150" xr:uid="{9FC0DC3D-97B5-4000-A220-6A2001D21B6D}"/>
    <cellStyle name="Input 18 2 2 2 7" xfId="9880" xr:uid="{2D55D1D3-6222-4963-9A02-F055D1A4E5E6}"/>
    <cellStyle name="Input 18 2 2 2 8" xfId="12747" xr:uid="{5D3053DD-182B-4029-8C81-57763D2968A6}"/>
    <cellStyle name="Input 18 2 2 2 9" xfId="13354" xr:uid="{D3CF2DDB-486E-427C-828D-9E7D959381CC}"/>
    <cellStyle name="Input 18 2 2 3" xfId="8493" xr:uid="{E16FA879-51B3-4703-8015-954DB3A00017}"/>
    <cellStyle name="Input 18 2 2 3 2" xfId="13233" xr:uid="{A2A642B1-D0A1-4AD8-BDC1-C992B2ECC1C1}"/>
    <cellStyle name="Input 18 2 2 3 3" xfId="14253" xr:uid="{56E24909-24CE-4579-8FFC-4E9C3BD823A9}"/>
    <cellStyle name="Input 18 2 2 3 4" xfId="15213" xr:uid="{DD1638BE-3CD1-4D39-A9D7-42CDF4D2663B}"/>
    <cellStyle name="Input 18 2 2 3 5" xfId="16162" xr:uid="{B8552071-DBBF-4976-911C-279EDC9E9642}"/>
    <cellStyle name="Input 18 2 2 3 6" xfId="17035" xr:uid="{BD7D7388-BDF7-4E06-8B2E-DF8444B78C72}"/>
    <cellStyle name="Input 18 2 2 3 7" xfId="17900" xr:uid="{5F4FAA83-EBD2-4722-A14D-1E8A0C385B85}"/>
    <cellStyle name="Input 18 2 2 3 8" xfId="18676" xr:uid="{43FAF5FF-89DB-472F-AD29-5FD8E41F99E3}"/>
    <cellStyle name="Input 18 2 2 4" xfId="9503" xr:uid="{61BF30D3-EDAE-4A53-A659-70693238A7FF}"/>
    <cellStyle name="Input 18 2 2 4 2" xfId="13907" xr:uid="{863EB72A-57AC-40EF-96A8-55965F2C372A}"/>
    <cellStyle name="Input 18 2 2 4 3" xfId="14867" xr:uid="{676E6123-CE02-407D-8BEE-901BE2976B4A}"/>
    <cellStyle name="Input 18 2 2 4 4" xfId="15819" xr:uid="{21638F3A-0A1B-477F-B835-7219BD44858C}"/>
    <cellStyle name="Input 18 2 2 4 5" xfId="16693" xr:uid="{6F7D8AF2-EA6B-462C-A6ED-E1D5BDD214EA}"/>
    <cellStyle name="Input 18 2 2 4 6" xfId="17558" xr:uid="{C728E012-D3C7-4D46-9E8A-4F191CD495A1}"/>
    <cellStyle name="Input 18 2 2 4 7" xfId="18334" xr:uid="{94E191C5-C7FA-4D56-9525-03007737CF6B}"/>
    <cellStyle name="Input 18 2 2 4 8" xfId="19091" xr:uid="{50CD6E16-82D2-4FE4-994D-AFCEF65FF6D6}"/>
    <cellStyle name="Input 18 2 2 5" xfId="12204" xr:uid="{EAE6DAF1-9716-411E-A188-656328C46350}"/>
    <cellStyle name="Input 18 2 2 6" xfId="10661" xr:uid="{AD45A8C0-ECA7-4F10-8C1E-F8B4416131B4}"/>
    <cellStyle name="Input 18 2 2 7" xfId="12081" xr:uid="{0CA6FE65-20D7-44E0-BA9D-F1C51DE32C96}"/>
    <cellStyle name="Input 18 2 2 8" xfId="10769" xr:uid="{A52EF3C9-26A7-4376-BB89-7DB3AAF683B8}"/>
    <cellStyle name="Input 18 2 2 9" xfId="11645" xr:uid="{D9729D25-FA28-4282-8F0E-4395231DBC21}"/>
    <cellStyle name="Input 18 2 3" xfId="7009" xr:uid="{0E984C17-FB37-4B37-844E-EB19FC2C5345}"/>
    <cellStyle name="Input 18 2 3 10" xfId="12370" xr:uid="{30E5240F-6C74-4E20-8AC4-0A1C22072BA2}"/>
    <cellStyle name="Input 18 2 3 2" xfId="8649" xr:uid="{B8DA8A92-6564-4AA3-9CE5-3D45A8AE12E0}"/>
    <cellStyle name="Input 18 2 3 2 2" xfId="13369" xr:uid="{CB6891CE-4C61-4F30-80B5-840865E41566}"/>
    <cellStyle name="Input 18 2 3 2 3" xfId="14383" xr:uid="{EC376936-C2F7-4DE6-9A96-B8942345FC8B}"/>
    <cellStyle name="Input 18 2 3 2 4" xfId="15341" xr:uid="{805535A8-1FE5-45D3-AEA2-489B8F53DA82}"/>
    <cellStyle name="Input 18 2 3 2 5" xfId="16285" xr:uid="{0BD43CAB-5683-4843-894D-73DFC123D23C}"/>
    <cellStyle name="Input 18 2 3 2 6" xfId="17158" xr:uid="{6CF16BF0-8848-4B50-8E46-D340F089EED8}"/>
    <cellStyle name="Input 18 2 3 2 7" xfId="18023" xr:uid="{F467F13F-FC9A-4388-9A7A-3E8A747D4D6D}"/>
    <cellStyle name="Input 18 2 3 2 8" xfId="18791" xr:uid="{24F9D060-5D2F-4476-9454-B40519BE0A19}"/>
    <cellStyle name="Input 18 2 3 3" xfId="9618" xr:uid="{12089BEE-5B1C-4077-8B39-16367AE492AB}"/>
    <cellStyle name="Input 18 2 3 3 2" xfId="14022" xr:uid="{8676A858-56D1-4671-95FE-4FDAE268CACB}"/>
    <cellStyle name="Input 18 2 3 3 3" xfId="14982" xr:uid="{08EE4420-A1BE-4802-B32E-6B3C42EEAA86}"/>
    <cellStyle name="Input 18 2 3 3 4" xfId="15934" xr:uid="{8023CCB7-2FD1-48A9-9EA8-745D95A6BBB7}"/>
    <cellStyle name="Input 18 2 3 3 5" xfId="16808" xr:uid="{2DD2383C-7773-407E-9350-B778EBA85689}"/>
    <cellStyle name="Input 18 2 3 3 6" xfId="17673" xr:uid="{67CD889E-82C0-4935-AD18-275F41184F0A}"/>
    <cellStyle name="Input 18 2 3 3 7" xfId="18449" xr:uid="{4B2FF37A-9198-46A5-A781-7F7E4882628B}"/>
    <cellStyle name="Input 18 2 3 3 8" xfId="19206" xr:uid="{21E6CEF9-426C-4977-9722-22FD8DC385E9}"/>
    <cellStyle name="Input 18 2 3 4" xfId="12340" xr:uid="{AC4D1BCD-4481-4425-B2F6-F6470D9499B8}"/>
    <cellStyle name="Input 18 2 3 5" xfId="10530" xr:uid="{76B42451-5D40-4A41-9782-7BFFF9D92FDF}"/>
    <cellStyle name="Input 18 2 3 6" xfId="13039" xr:uid="{3396BFD4-9078-4D2A-AD4D-D26EAA19D6E2}"/>
    <cellStyle name="Input 18 2 3 7" xfId="9962" xr:uid="{9686931A-A13C-4660-9D0A-CF4CFECDAFE0}"/>
    <cellStyle name="Input 18 2 3 8" xfId="12395" xr:uid="{DE495315-A577-4B6A-8C66-C415ABEC5C41}"/>
    <cellStyle name="Input 18 2 3 9" xfId="10483" xr:uid="{F4D25A37-2A4F-4E38-9530-00A184A5DED0}"/>
    <cellStyle name="Input 18 2 4" xfId="7832" xr:uid="{AB56E342-EE40-4F1C-A723-9E2BF4DFF960}"/>
    <cellStyle name="Input 18 2 4 2" xfId="12854" xr:uid="{73C33222-DC52-4358-A957-A0892C33C037}"/>
    <cellStyle name="Input 18 2 4 3" xfId="10121" xr:uid="{4DDC7CC2-DAA9-4978-8BE5-94D6DE27054A}"/>
    <cellStyle name="Input 18 2 4 4" xfId="13011" xr:uid="{7EED2F0C-EEB5-481F-BF34-4928BA4CC56C}"/>
    <cellStyle name="Input 18 2 4 5" xfId="9981" xr:uid="{31FAA7E7-F9B1-415C-BB44-3B1318520EF5}"/>
    <cellStyle name="Input 18 2 4 6" xfId="11825" xr:uid="{56A6B9EB-5DD1-444F-9B20-271E689C2741}"/>
    <cellStyle name="Input 18 2 4 7" xfId="10980" xr:uid="{54CECD61-4226-4FA6-8325-45AB740E57BD}"/>
    <cellStyle name="Input 18 2 4 8" xfId="12067" xr:uid="{1558B03F-06F8-4AFF-A2CD-74A27A52CB26}"/>
    <cellStyle name="Input 18 2 5" xfId="7813" xr:uid="{BD52495C-FA87-4E60-94B3-EF04FA2A2ED8}"/>
    <cellStyle name="Input 18 2 5 2" xfId="12835" xr:uid="{3683B9C7-22AF-4247-BE50-2E388584C056}"/>
    <cellStyle name="Input 18 2 5 3" xfId="10139" xr:uid="{BA649575-2821-4CA4-B9A5-B70D75E8523E}"/>
    <cellStyle name="Input 18 2 5 4" xfId="13503" xr:uid="{A3DFDD29-826B-4035-9B56-548E9A11CB30}"/>
    <cellStyle name="Input 18 2 5 5" xfId="14509" xr:uid="{8FB0B74B-EA5C-4C65-A82B-A4A3FC04EEFF}"/>
    <cellStyle name="Input 18 2 5 6" xfId="15467" xr:uid="{6D3F6942-8CCE-488D-B5F8-B671155D88DD}"/>
    <cellStyle name="Input 18 2 5 7" xfId="16393" xr:uid="{305017FB-5DBC-41DC-8778-34C93D1D9721}"/>
    <cellStyle name="Input 18 2 5 8" xfId="17264" xr:uid="{EE2F95C5-36E6-4831-A2F0-9BE26CD708C1}"/>
    <cellStyle name="Input 18 2 6" xfId="11365" xr:uid="{7153D402-A7E1-4897-80A2-5F9F774A9B7A}"/>
    <cellStyle name="Input 18 2 7" xfId="11346" xr:uid="{73B07CF6-4B76-4066-AB29-B2A225D010DF}"/>
    <cellStyle name="Input 18 2 8" xfId="11384" xr:uid="{381F320D-1954-4C58-8415-8D32B07A29FB}"/>
    <cellStyle name="Input 18 2 9" xfId="11327" xr:uid="{5D0B9EFE-6BA7-4A57-8D2C-19EE094BEFCA}"/>
    <cellStyle name="Input 18 3" xfId="6854" xr:uid="{153EC9E2-9DDF-42E0-8294-8D478F56C1AE}"/>
    <cellStyle name="Input 18 3 10" xfId="11046" xr:uid="{9FECAB25-A238-4178-96EE-76C6A80DFB10}"/>
    <cellStyle name="Input 18 3 11" xfId="13589" xr:uid="{C181081F-418D-49E5-AE99-F5B3224279D0}"/>
    <cellStyle name="Input 18 3 2" xfId="7250" xr:uid="{294711FA-C9D1-459B-BA24-3333DE7BD6CA}"/>
    <cellStyle name="Input 18 3 2 10" xfId="13084" xr:uid="{9E03EFE8-5ECB-4F92-9A1A-74D37CC7728D}"/>
    <cellStyle name="Input 18 3 2 2" xfId="8890" xr:uid="{F759A6B9-E620-48F7-AFFA-7B11F513BB70}"/>
    <cellStyle name="Input 18 3 2 2 2" xfId="13541" xr:uid="{7E51FC56-1B12-4B52-8BF0-DE74A287ED33}"/>
    <cellStyle name="Input 18 3 2 2 3" xfId="14545" xr:uid="{1E55BA29-F416-4E19-8458-F94963BAEBE9}"/>
    <cellStyle name="Input 18 3 2 2 4" xfId="15503" xr:uid="{DFFB3A2E-571D-4B5F-9359-DA08837E5001}"/>
    <cellStyle name="Input 18 3 2 2 5" xfId="16428" xr:uid="{AD071E2B-34BA-4CDE-84D7-AE148F969606}"/>
    <cellStyle name="Input 18 3 2 2 6" xfId="17299" xr:uid="{40D43D9D-B3F1-4B77-AEF2-36A073CC6B74}"/>
    <cellStyle name="Input 18 3 2 2 7" xfId="18145" xr:uid="{6CA9440C-64C7-4121-A5FA-9F0F7D970CE8}"/>
    <cellStyle name="Input 18 3 2 2 8" xfId="18905" xr:uid="{7289BE26-373A-4A3B-A235-583E0847FF99}"/>
    <cellStyle name="Input 18 3 2 3" xfId="9732" xr:uid="{7F4831B2-6FEB-482C-B637-2E4EE78DE3B5}"/>
    <cellStyle name="Input 18 3 2 3 2" xfId="14136" xr:uid="{F568C795-1929-4A28-A1FF-4E4EFA25CAA5}"/>
    <cellStyle name="Input 18 3 2 3 3" xfId="15096" xr:uid="{DB288450-2779-45AE-B973-B76047BA115E}"/>
    <cellStyle name="Input 18 3 2 3 4" xfId="16048" xr:uid="{212EA885-0639-4BFC-94DE-68D45AFEF316}"/>
    <cellStyle name="Input 18 3 2 3 5" xfId="16922" xr:uid="{C3272369-B910-4BAE-8D9B-4CEE0C0D1A70}"/>
    <cellStyle name="Input 18 3 2 3 6" xfId="17787" xr:uid="{E9B8B077-3920-4199-841E-379D016120ED}"/>
    <cellStyle name="Input 18 3 2 3 7" xfId="18563" xr:uid="{0EE30E7F-A163-47E6-8D5A-E914D2E79AB5}"/>
    <cellStyle name="Input 18 3 2 3 8" xfId="19320" xr:uid="{CD8D19AB-D003-4AF5-A15C-C9034FCDCAC7}"/>
    <cellStyle name="Input 18 3 2 4" xfId="12513" xr:uid="{D31C89C3-8D79-4072-98A2-1DDC841094A5}"/>
    <cellStyle name="Input 18 3 2 5" xfId="10368" xr:uid="{CDEF67AA-75AC-4DD2-9DEB-440B0BBB3E74}"/>
    <cellStyle name="Input 18 3 2 6" xfId="11989" xr:uid="{E884AB0B-24DD-4185-B988-76E1727EDA64}"/>
    <cellStyle name="Input 18 3 2 7" xfId="10840" xr:uid="{8D022936-6585-43D3-8EDF-2C530E9B476A}"/>
    <cellStyle name="Input 18 3 2 8" xfId="11582" xr:uid="{B348A641-D888-44C6-8D65-C8F203FAB80F}"/>
    <cellStyle name="Input 18 3 2 9" xfId="11172" xr:uid="{2E23CC1B-F6A3-4335-A1E5-24CBDF18CA07}"/>
    <cellStyle name="Input 18 3 3" xfId="8494" xr:uid="{64455DB7-0316-4FFD-88C8-EBEFB93E804F}"/>
    <cellStyle name="Input 18 3 3 2" xfId="13234" xr:uid="{FA0C6384-E9E5-4E4A-97C3-179585F53DB1}"/>
    <cellStyle name="Input 18 3 3 3" xfId="14254" xr:uid="{48917827-B0F3-4C86-8CDF-6FE8E0B36B11}"/>
    <cellStyle name="Input 18 3 3 4" xfId="15214" xr:uid="{057A3678-73A4-4EE4-8768-00EA8266B439}"/>
    <cellStyle name="Input 18 3 3 5" xfId="16163" xr:uid="{7FC355A8-05F5-49C7-84FA-1734FD8AE416}"/>
    <cellStyle name="Input 18 3 3 6" xfId="17036" xr:uid="{672DB9EB-200C-45AF-83D1-C496D7DD08AF}"/>
    <cellStyle name="Input 18 3 3 7" xfId="17901" xr:uid="{0D0D02F1-E03A-4B40-88D9-3F0C7074B05A}"/>
    <cellStyle name="Input 18 3 3 8" xfId="18677" xr:uid="{C37A7A67-F728-4851-85A8-EE20EBC1C008}"/>
    <cellStyle name="Input 18 3 4" xfId="9504" xr:uid="{A70C96A4-29F1-44FB-ACF2-E6164226295A}"/>
    <cellStyle name="Input 18 3 4 2" xfId="13908" xr:uid="{C580158B-DE0D-4ACA-BEE9-052D59D8988E}"/>
    <cellStyle name="Input 18 3 4 3" xfId="14868" xr:uid="{A035A61E-08DA-447D-A2BE-11FB31305861}"/>
    <cellStyle name="Input 18 3 4 4" xfId="15820" xr:uid="{74DDB975-676F-4C17-B532-BBD919208276}"/>
    <cellStyle name="Input 18 3 4 5" xfId="16694" xr:uid="{EAD5B514-581C-469D-AFF7-E6AEAE03C130}"/>
    <cellStyle name="Input 18 3 4 6" xfId="17559" xr:uid="{CB59FDB1-B7C3-4BCC-838C-8230E01947DD}"/>
    <cellStyle name="Input 18 3 4 7" xfId="18335" xr:uid="{65D912BB-E4F3-48BE-BF8E-0D1D817CBB95}"/>
    <cellStyle name="Input 18 3 4 8" xfId="19092" xr:uid="{144B93F5-6756-4566-B1BB-032D71258985}"/>
    <cellStyle name="Input 18 3 5" xfId="12205" xr:uid="{B0A820AD-E036-492E-9008-0E81D273EA6F}"/>
    <cellStyle name="Input 18 3 6" xfId="10660" xr:uid="{17CE1CE3-0279-4D0E-9C9C-AE1FE7384032}"/>
    <cellStyle name="Input 18 3 7" xfId="12593" xr:uid="{2594E53A-6744-4AEB-977C-0131F4EFFA17}"/>
    <cellStyle name="Input 18 3 8" xfId="10311" xr:uid="{0244483C-29D7-426A-B115-4C023A379886}"/>
    <cellStyle name="Input 18 3 9" xfId="11751" xr:uid="{DE76564A-A24D-4BDB-B46E-C9605DC3133B}"/>
    <cellStyle name="Input 18 4" xfId="7008" xr:uid="{21130B8D-DA8D-4E9C-8295-B2801ED9E30C}"/>
    <cellStyle name="Input 18 4 10" xfId="17337" xr:uid="{21FC21A3-10B7-43C3-8A1B-A916B0A88AEB}"/>
    <cellStyle name="Input 18 4 2" xfId="8648" xr:uid="{DB9109DB-414E-4006-9831-CF3EFA58AD2E}"/>
    <cellStyle name="Input 18 4 2 2" xfId="13368" xr:uid="{B9DBABDE-21EA-42E6-8485-F19A968BDE95}"/>
    <cellStyle name="Input 18 4 2 3" xfId="14382" xr:uid="{F341F1C1-9412-4016-8B32-940FE84197E7}"/>
    <cellStyle name="Input 18 4 2 4" xfId="15340" xr:uid="{A732A09C-75F7-4763-AEFC-CA7D5B06A703}"/>
    <cellStyle name="Input 18 4 2 5" xfId="16284" xr:uid="{5F756BD8-A193-4390-9655-EE7A832D8F59}"/>
    <cellStyle name="Input 18 4 2 6" xfId="17157" xr:uid="{8C5372B0-78DA-46A4-98DA-B9A3342F6B40}"/>
    <cellStyle name="Input 18 4 2 7" xfId="18022" xr:uid="{DC1CE14D-A8E4-41D4-BD65-5DCA3906B897}"/>
    <cellStyle name="Input 18 4 2 8" xfId="18790" xr:uid="{0092581F-ADEB-4642-8525-694D74FEAFB2}"/>
    <cellStyle name="Input 18 4 3" xfId="9617" xr:uid="{311405F6-6F3E-4B09-A32F-BF24FB30D07D}"/>
    <cellStyle name="Input 18 4 3 2" xfId="14021" xr:uid="{271BF2F3-D70A-4868-9190-F756ABE7BEDF}"/>
    <cellStyle name="Input 18 4 3 3" xfId="14981" xr:uid="{D6CAE73F-8B55-4E5C-BE60-47F7E3AC997A}"/>
    <cellStyle name="Input 18 4 3 4" xfId="15933" xr:uid="{65FB7C98-F906-46C7-A5C3-0F4C8F56D3B7}"/>
    <cellStyle name="Input 18 4 3 5" xfId="16807" xr:uid="{C014E508-F50A-4B04-94C4-C9EFE1F22745}"/>
    <cellStyle name="Input 18 4 3 6" xfId="17672" xr:uid="{67802054-900E-4D6C-98A8-7127E68DA1EC}"/>
    <cellStyle name="Input 18 4 3 7" xfId="18448" xr:uid="{E8A84FAE-1578-4107-8140-39E0654C4E3D}"/>
    <cellStyle name="Input 18 4 3 8" xfId="19205" xr:uid="{06547F0A-9552-458A-9DD1-36B502DA3F50}"/>
    <cellStyle name="Input 18 4 4" xfId="12339" xr:uid="{EA64CBB5-C13F-4ECF-8850-9998029AE876}"/>
    <cellStyle name="Input 18 4 5" xfId="10531" xr:uid="{477F1C64-41F8-411C-9C47-59132BE45688}"/>
    <cellStyle name="Input 18 4 6" xfId="13638" xr:uid="{1B062570-CF4A-46F7-A758-484FD9DD6A54}"/>
    <cellStyle name="Input 18 4 7" xfId="14616" xr:uid="{F5FF9BC3-B5D0-498E-9DE0-12386ED03E20}"/>
    <cellStyle name="Input 18 4 8" xfId="15569" xr:uid="{29D24A60-5513-4FB7-B5D2-A7D8D1BEE6D2}"/>
    <cellStyle name="Input 18 4 9" xfId="16468" xr:uid="{B045BE5F-9F31-4CE4-9A42-13E8E88F113D}"/>
    <cellStyle name="Input 18 5" xfId="7831" xr:uid="{E9EFA651-A5CF-417B-B6B1-243F065F17E5}"/>
    <cellStyle name="Input 18 5 2" xfId="12853" xr:uid="{42C8FC7D-0BDF-4214-81AA-5CD6744242EA}"/>
    <cellStyle name="Input 18 5 3" xfId="10122" xr:uid="{050DED5B-DF5D-46E7-9C97-924FA8A8AA8B}"/>
    <cellStyle name="Input 18 5 4" xfId="13691" xr:uid="{873847F6-F1E3-4106-A665-50234BAB86B6}"/>
    <cellStyle name="Input 18 5 5" xfId="14659" xr:uid="{9D1CBAA4-9C06-433A-946F-45B1DF87A2B9}"/>
    <cellStyle name="Input 18 5 6" xfId="15611" xr:uid="{C65354E7-F1A3-46F3-82A6-9B553D1FFE6D}"/>
    <cellStyle name="Input 18 5 7" xfId="16496" xr:uid="{CF08C901-6E70-445A-B7A6-07F1F13C038E}"/>
    <cellStyle name="Input 18 5 8" xfId="17364" xr:uid="{2FD70C96-BC88-4B4E-BB69-4EE6E74D5C7D}"/>
    <cellStyle name="Input 18 6" xfId="7814" xr:uid="{BEB43AAB-CBCE-47FA-BF6B-6040902B6043}"/>
    <cellStyle name="Input 18 6 2" xfId="12836" xr:uid="{D57AF7B3-1C7A-4340-A4DF-E642154CE5A0}"/>
    <cellStyle name="Input 18 6 3" xfId="10138" xr:uid="{36C10BB4-6A6C-49EA-BC32-3E1E8391DB1B}"/>
    <cellStyle name="Input 18 6 4" xfId="13068" xr:uid="{9E3672A0-D078-4ECB-9DC0-B9CA82E7E213}"/>
    <cellStyle name="Input 18 6 5" xfId="9938" xr:uid="{CB89DFA1-6CDA-4104-B2B0-1406FF9D3A69}"/>
    <cellStyle name="Input 18 6 6" xfId="9829" xr:uid="{653E489A-1E30-45C1-92C1-7BD9778C4BFE}"/>
    <cellStyle name="Input 18 6 7" xfId="11939" xr:uid="{2207FCD1-9C42-4C99-8C9B-478A5261C629}"/>
    <cellStyle name="Input 18 6 8" xfId="10878" xr:uid="{18184253-D667-4E1D-8E1F-04217B6087CB}"/>
    <cellStyle name="Input 18 7" xfId="11364" xr:uid="{0ECFA099-940D-4672-8DD8-53865C0CA6F2}"/>
    <cellStyle name="Input 18 8" xfId="11347" xr:uid="{ED5422DD-E0AD-4B87-8335-6FA9C23F1EC6}"/>
    <cellStyle name="Input 18 9" xfId="11383" xr:uid="{856E33A3-1542-47DE-87AD-1D18B63D9E6F}"/>
    <cellStyle name="Input 19" xfId="5138" xr:uid="{BC0B9D5B-33B5-4EE0-A6E9-90ACD53A5E99}"/>
    <cellStyle name="Input 19 10" xfId="11326" xr:uid="{AD23DCFF-9EB6-4A15-BBBE-B08F45EFFAE6}"/>
    <cellStyle name="Input 19 11" xfId="11404" xr:uid="{58C8F52E-7326-41F2-972C-4D9A7187194F}"/>
    <cellStyle name="Input 19 12" xfId="11307" xr:uid="{6D55E0FC-1CE3-4C40-9AF8-B238FBF62A0A}"/>
    <cellStyle name="Input 19 13" xfId="11421" xr:uid="{08AF8443-33DE-4090-8E21-628D13A051C2}"/>
    <cellStyle name="Input 19 2" xfId="5139" xr:uid="{E115A20E-BF97-4929-BBC7-81DFD1B94BB6}"/>
    <cellStyle name="Input 19 2 10" xfId="11405" xr:uid="{80327D32-AB44-43B8-973C-3CCD76E0D691}"/>
    <cellStyle name="Input 19 2 11" xfId="11306" xr:uid="{622C28B8-B473-46AC-BE1C-459941F71A7A}"/>
    <cellStyle name="Input 19 2 12" xfId="11422" xr:uid="{2DFEE030-4C0E-4DBE-AA09-20D465FCA1B0}"/>
    <cellStyle name="Input 19 2 2" xfId="6851" xr:uid="{83653208-1844-4924-9294-998A7A3DFE08}"/>
    <cellStyle name="Input 19 2 2 10" xfId="16444" xr:uid="{98AB4391-7F3D-483A-B074-DD743CEB476B}"/>
    <cellStyle name="Input 19 2 2 11" xfId="17315" xr:uid="{8668CE47-65C1-40B2-A68F-C4BBBBB85A63}"/>
    <cellStyle name="Input 19 2 2 2" xfId="7251" xr:uid="{6AEADFFC-5DB9-47E9-BE07-AC20B6015988}"/>
    <cellStyle name="Input 19 2 2 2 10" xfId="12655" xr:uid="{F97CD574-9994-47D2-9CEB-BD0CD193D1CA}"/>
    <cellStyle name="Input 19 2 2 2 2" xfId="8891" xr:uid="{04CCC7D3-527E-45BC-B04C-A7C566C706C8}"/>
    <cellStyle name="Input 19 2 2 2 2 2" xfId="13542" xr:uid="{2BD7B965-9AF0-455B-B9CA-F933F0C5E4E8}"/>
    <cellStyle name="Input 19 2 2 2 2 3" xfId="14546" xr:uid="{C8A7D119-F6CA-4FF3-A37D-EE2B1BB2DA89}"/>
    <cellStyle name="Input 19 2 2 2 2 4" xfId="15504" xr:uid="{08518805-8FD2-41DA-91FE-1EF387971672}"/>
    <cellStyle name="Input 19 2 2 2 2 5" xfId="16429" xr:uid="{7BD3D0CD-87FC-4929-B40C-3A6955441F1D}"/>
    <cellStyle name="Input 19 2 2 2 2 6" xfId="17300" xr:uid="{78A86C57-EA9A-4CBA-A981-2265345EEDDF}"/>
    <cellStyle name="Input 19 2 2 2 2 7" xfId="18146" xr:uid="{79266674-BD66-4468-BF76-A80426633E18}"/>
    <cellStyle name="Input 19 2 2 2 2 8" xfId="18906" xr:uid="{6A74F9CB-A7D3-4FF5-A197-D9A885B78977}"/>
    <cellStyle name="Input 19 2 2 2 3" xfId="9733" xr:uid="{9C4128E9-A5FC-4859-8EF9-EE9B80638B9F}"/>
    <cellStyle name="Input 19 2 2 2 3 2" xfId="14137" xr:uid="{C1671A1B-1C99-4D54-BF24-E9C3DE1F4A01}"/>
    <cellStyle name="Input 19 2 2 2 3 3" xfId="15097" xr:uid="{7AE24F69-5809-4598-95C4-F3F5D3D144C7}"/>
    <cellStyle name="Input 19 2 2 2 3 4" xfId="16049" xr:uid="{2D5F0AFD-9C12-4F2C-A1BE-67D1258EE266}"/>
    <cellStyle name="Input 19 2 2 2 3 5" xfId="16923" xr:uid="{274B5ED6-5717-4633-B6EC-9808D7850E1B}"/>
    <cellStyle name="Input 19 2 2 2 3 6" xfId="17788" xr:uid="{77D3993B-854E-4448-A011-737075AC0012}"/>
    <cellStyle name="Input 19 2 2 2 3 7" xfId="18564" xr:uid="{4A62448A-3970-471A-B295-FB8CBBC583BC}"/>
    <cellStyle name="Input 19 2 2 2 3 8" xfId="19321" xr:uid="{66E79106-FB79-4B6D-A116-5D9FFDA5D00B}"/>
    <cellStyle name="Input 19 2 2 2 4" xfId="12514" xr:uid="{04835381-B212-4087-8EFA-7A7EC08FE6C9}"/>
    <cellStyle name="Input 19 2 2 2 5" xfId="10367" xr:uid="{B4A79EAF-F2E3-461B-8103-21F70CB97AE8}"/>
    <cellStyle name="Input 19 2 2 2 6" xfId="12643" xr:uid="{4954ECFD-4E91-4395-BD92-60805DB1AD57}"/>
    <cellStyle name="Input 19 2 2 2 7" xfId="10268" xr:uid="{2D815D1B-9CDF-427E-AE3F-3748B475C1E1}"/>
    <cellStyle name="Input 19 2 2 2 8" xfId="12653" xr:uid="{D9B09524-D57B-4303-BF7F-654F44E2A401}"/>
    <cellStyle name="Input 19 2 2 2 9" xfId="10261" xr:uid="{97A61F6F-62AB-49B7-869E-2D19B8B85974}"/>
    <cellStyle name="Input 19 2 2 3" xfId="8491" xr:uid="{117A05AD-5803-443A-929D-92697CEC9DF5}"/>
    <cellStyle name="Input 19 2 2 3 2" xfId="13231" xr:uid="{AA9B90B2-78E8-4B33-B3EE-904EFB42F7DF}"/>
    <cellStyle name="Input 19 2 2 3 3" xfId="14251" xr:uid="{3ABB3721-7D83-41E3-8D77-5A5D7FAEA9CC}"/>
    <cellStyle name="Input 19 2 2 3 4" xfId="15211" xr:uid="{2F70C8CD-837C-4F82-A85A-D0AA1A41D846}"/>
    <cellStyle name="Input 19 2 2 3 5" xfId="16160" xr:uid="{329028DF-04C8-4345-9383-CA61FB3D3C0A}"/>
    <cellStyle name="Input 19 2 2 3 6" xfId="17033" xr:uid="{4B276815-CFCC-4812-A595-D7F15A688CDD}"/>
    <cellStyle name="Input 19 2 2 3 7" xfId="17898" xr:uid="{2EE9BAC7-174A-4F9E-A82A-16B8896F6260}"/>
    <cellStyle name="Input 19 2 2 3 8" xfId="18674" xr:uid="{70EF90FA-5D5A-4956-8911-0252FD6E7248}"/>
    <cellStyle name="Input 19 2 2 4" xfId="9501" xr:uid="{C1A34A57-608E-4014-82FC-3C4847A519C4}"/>
    <cellStyle name="Input 19 2 2 4 2" xfId="13905" xr:uid="{43104240-E4A2-40FC-8C45-CF37B3E64F8A}"/>
    <cellStyle name="Input 19 2 2 4 3" xfId="14865" xr:uid="{E3F57580-10D1-4FF0-ADC5-96894172BE52}"/>
    <cellStyle name="Input 19 2 2 4 4" xfId="15817" xr:uid="{5661A12D-C391-456F-B3D6-F8F34D5A3F1E}"/>
    <cellStyle name="Input 19 2 2 4 5" xfId="16691" xr:uid="{806E48F3-D805-4B97-954D-CFAA522E55F1}"/>
    <cellStyle name="Input 19 2 2 4 6" xfId="17556" xr:uid="{FC297975-8465-4A78-BD79-4E3E4BDE81E4}"/>
    <cellStyle name="Input 19 2 2 4 7" xfId="18332" xr:uid="{A689AC17-10E2-4C67-94CC-CE20C43A8400}"/>
    <cellStyle name="Input 19 2 2 4 8" xfId="19089" xr:uid="{B12E4BE9-2D63-4A49-A08F-D95617017939}"/>
    <cellStyle name="Input 19 2 2 5" xfId="12202" xr:uid="{37DD0762-739C-4E30-8599-13E2C720DD66}"/>
    <cellStyle name="Input 19 2 2 6" xfId="10663" xr:uid="{45E23DD6-ACFE-4865-A9F6-DEB2A99BEEF3}"/>
    <cellStyle name="Input 19 2 2 7" xfId="13614" xr:uid="{FEA09181-77D4-4DDD-87DE-35CFE5533031}"/>
    <cellStyle name="Input 19 2 2 8" xfId="14592" xr:uid="{733EAB37-3926-4FCB-9EB3-572E37676F6E}"/>
    <cellStyle name="Input 19 2 2 9" xfId="15545" xr:uid="{30D7DE8C-90A4-461D-9A01-8AA2F8F81F30}"/>
    <cellStyle name="Input 19 2 3" xfId="7011" xr:uid="{37EEEE14-7D95-4EE3-8AB3-20A84F70B355}"/>
    <cellStyle name="Input 19 2 3 10" xfId="17177" xr:uid="{16FCCB6D-FB48-47A1-8E63-92D469CA4B2F}"/>
    <cellStyle name="Input 19 2 3 2" xfId="8651" xr:uid="{6B8668C3-6F88-432E-B65E-5A7B7D9C5B42}"/>
    <cellStyle name="Input 19 2 3 2 2" xfId="13371" xr:uid="{D7C6263C-2EC1-4C13-941B-48E12AF83FB7}"/>
    <cellStyle name="Input 19 2 3 2 3" xfId="14385" xr:uid="{3B48023E-0C0A-4C98-BE34-9DB2FF429172}"/>
    <cellStyle name="Input 19 2 3 2 4" xfId="15343" xr:uid="{0B345241-70B9-4848-87D5-4596A029FC90}"/>
    <cellStyle name="Input 19 2 3 2 5" xfId="16287" xr:uid="{08D433DF-C57B-4650-BC01-5759995F9FE8}"/>
    <cellStyle name="Input 19 2 3 2 6" xfId="17160" xr:uid="{C93230A3-39A6-473E-B132-AB75C77B9265}"/>
    <cellStyle name="Input 19 2 3 2 7" xfId="18025" xr:uid="{7C6E843C-D5B3-4ED4-B1A7-104FB8726A75}"/>
    <cellStyle name="Input 19 2 3 2 8" xfId="18793" xr:uid="{CB12B02D-54AF-44E2-8771-071D4A105439}"/>
    <cellStyle name="Input 19 2 3 3" xfId="9620" xr:uid="{0E4D5E9A-D1D5-49AC-9FF2-3A3073ACB5D8}"/>
    <cellStyle name="Input 19 2 3 3 2" xfId="14024" xr:uid="{4782DF76-9C5E-4076-A09A-654247CF12C6}"/>
    <cellStyle name="Input 19 2 3 3 3" xfId="14984" xr:uid="{01D66D6F-CFE4-4189-BD8F-ACEDFAB4A123}"/>
    <cellStyle name="Input 19 2 3 3 4" xfId="15936" xr:uid="{CC22F433-C53C-467B-8928-99BF9226CDF6}"/>
    <cellStyle name="Input 19 2 3 3 5" xfId="16810" xr:uid="{12B4BE19-FF22-4FF0-86C7-D8EF6E707EB3}"/>
    <cellStyle name="Input 19 2 3 3 6" xfId="17675" xr:uid="{25039C91-B82C-4173-8A55-F67092985354}"/>
    <cellStyle name="Input 19 2 3 3 7" xfId="18451" xr:uid="{CCABE4C0-A28D-44C1-A71C-C1A3BEEB8CBD}"/>
    <cellStyle name="Input 19 2 3 3 8" xfId="19208" xr:uid="{F4BB571D-F4AC-4198-A520-4E0A98AD3A31}"/>
    <cellStyle name="Input 19 2 3 4" xfId="12342" xr:uid="{9EEF4EC5-0637-42F8-9E10-F5148C8A6FAE}"/>
    <cellStyle name="Input 19 2 3 5" xfId="10528" xr:uid="{9DEB1A8A-E09E-4875-9460-E73ECF43C6B9}"/>
    <cellStyle name="Input 19 2 3 6" xfId="13407" xr:uid="{77A95556-AADD-462C-AB06-4D026D84F16E}"/>
    <cellStyle name="Input 19 2 3 7" xfId="14416" xr:uid="{F083764D-C504-4CE2-A29E-82D104DA735F}"/>
    <cellStyle name="Input 19 2 3 8" xfId="15374" xr:uid="{CFAB5B9D-015A-4A18-8978-2D18C2DE12AC}"/>
    <cellStyle name="Input 19 2 3 9" xfId="16305" xr:uid="{88C4C5FD-6F5E-420D-BD0F-42AE8CB465B7}"/>
    <cellStyle name="Input 19 2 4" xfId="7834" xr:uid="{1D6E7ABD-3E1E-4B4F-A87D-7FCEF95C9178}"/>
    <cellStyle name="Input 19 2 4 2" xfId="12856" xr:uid="{F2AAF6AB-7F2A-49D9-A59A-B954C3458217}"/>
    <cellStyle name="Input 19 2 4 3" xfId="10119" xr:uid="{E6A26023-8AA8-4145-BE97-B9F660937567}"/>
    <cellStyle name="Input 19 2 4 4" xfId="12029" xr:uid="{E24FC8CA-26CF-458E-B5F5-49CE9BC800B1}"/>
    <cellStyle name="Input 19 2 4 5" xfId="10805" xr:uid="{D680FEF0-BF99-4192-96C9-BA2E8E8DE55B}"/>
    <cellStyle name="Input 19 2 4 6" xfId="11614" xr:uid="{04A0B684-A59E-455E-9029-95CF674AFEBB}"/>
    <cellStyle name="Input 19 2 4 7" xfId="11145" xr:uid="{47BAE278-DACA-4A72-A8E5-C788BF11E985}"/>
    <cellStyle name="Input 19 2 4 8" xfId="13086" xr:uid="{5AAEA4C1-3834-40C4-86D3-A69FE96E675A}"/>
    <cellStyle name="Input 19 2 5" xfId="7811" xr:uid="{765ABDAF-043B-4388-B03A-350C0143188C}"/>
    <cellStyle name="Input 19 2 5 2" xfId="12833" xr:uid="{006EED35-C58E-43A2-BA7A-CFA1A356BFA7}"/>
    <cellStyle name="Input 19 2 5 3" xfId="10141" xr:uid="{1E32CA65-D7EE-44BB-9D52-99704A9689A1}"/>
    <cellStyle name="Input 19 2 5 4" xfId="13166" xr:uid="{F5AB48B3-C00F-4EAF-BCA6-25651CFC0D23}"/>
    <cellStyle name="Input 19 2 5 5" xfId="9869" xr:uid="{3D9ADF4A-3F64-4294-A515-5424359660E8}"/>
    <cellStyle name="Input 19 2 5 6" xfId="12477" xr:uid="{EB5DCAD5-ABCE-47E2-AEBB-3260AF98735E}"/>
    <cellStyle name="Input 19 2 5 7" xfId="10403" xr:uid="{C0B56412-8627-466B-8983-4D1FDA96C705}"/>
    <cellStyle name="Input 19 2 5 8" xfId="12636" xr:uid="{A332268A-FDAD-40F8-8170-25A87BF21825}"/>
    <cellStyle name="Input 19 2 6" xfId="11367" xr:uid="{EB72780A-EE20-4EDE-9E01-C110D38B148F}"/>
    <cellStyle name="Input 19 2 7" xfId="11344" xr:uid="{A739E5CA-885C-48F4-B83B-9FA669F058B0}"/>
    <cellStyle name="Input 19 2 8" xfId="11386" xr:uid="{AA590D36-E7FC-495A-A899-7E0142034BBF}"/>
    <cellStyle name="Input 19 2 9" xfId="11325" xr:uid="{35A09602-166E-4508-8950-A635087DCA68}"/>
    <cellStyle name="Input 19 3" xfId="6852" xr:uid="{86FACD02-33B5-4637-B567-EBF986306CFB}"/>
    <cellStyle name="Input 19 3 10" xfId="10976" xr:uid="{775B4824-C84D-49CD-95B4-0EADB03599A1}"/>
    <cellStyle name="Input 19 3 11" xfId="12068" xr:uid="{B9D26B36-926E-4538-9FF5-EF345BC0CC51}"/>
    <cellStyle name="Input 19 3 2" xfId="7252" xr:uid="{4CBE86E5-CB19-4B36-B289-A5992998493C}"/>
    <cellStyle name="Input 19 3 2 10" xfId="17354" xr:uid="{B9587F4E-4D3E-4ABF-988C-DF55D6CDE52C}"/>
    <cellStyle name="Input 19 3 2 2" xfId="8892" xr:uid="{10E5166B-DA4A-49B2-AE4D-B96073D1611E}"/>
    <cellStyle name="Input 19 3 2 2 2" xfId="13543" xr:uid="{ADA23436-8468-4463-8A77-5EE8DE5D5C3F}"/>
    <cellStyle name="Input 19 3 2 2 3" xfId="14547" xr:uid="{200CA7F7-9CC5-42C6-8FA0-D11CC035B91A}"/>
    <cellStyle name="Input 19 3 2 2 4" xfId="15505" xr:uid="{FC528E43-D7E3-4F5D-A63B-F9F1EE37BD3D}"/>
    <cellStyle name="Input 19 3 2 2 5" xfId="16430" xr:uid="{2FFFE09E-19D0-4227-865E-3B3A8E388FB6}"/>
    <cellStyle name="Input 19 3 2 2 6" xfId="17301" xr:uid="{7F2973AF-EE06-41EC-B1A3-55B09EE2CE84}"/>
    <cellStyle name="Input 19 3 2 2 7" xfId="18147" xr:uid="{57F3D633-3DD4-40B9-AD37-A31D75720823}"/>
    <cellStyle name="Input 19 3 2 2 8" xfId="18907" xr:uid="{FF1CAAE0-71BC-48A5-8CD9-A8A26DEBCD76}"/>
    <cellStyle name="Input 19 3 2 3" xfId="9734" xr:uid="{DB600C4F-4E67-411F-994A-7ED95F072319}"/>
    <cellStyle name="Input 19 3 2 3 2" xfId="14138" xr:uid="{B6CCFEEF-2207-4B3B-B6E2-96CCDFD09F14}"/>
    <cellStyle name="Input 19 3 2 3 3" xfId="15098" xr:uid="{B513B119-F902-4287-839B-76FE1F8692E6}"/>
    <cellStyle name="Input 19 3 2 3 4" xfId="16050" xr:uid="{F60AD1DC-2418-482E-B6D6-00B5C85784E7}"/>
    <cellStyle name="Input 19 3 2 3 5" xfId="16924" xr:uid="{3982C4BC-C565-44B0-9D1F-8F444230A2F9}"/>
    <cellStyle name="Input 19 3 2 3 6" xfId="17789" xr:uid="{AA20E8FE-9AEC-4449-BB99-90F5214A5CFF}"/>
    <cellStyle name="Input 19 3 2 3 7" xfId="18565" xr:uid="{2721F8D2-A368-4030-B7A2-CDA765BB8D37}"/>
    <cellStyle name="Input 19 3 2 3 8" xfId="19322" xr:uid="{32417522-2024-4101-B330-234FEB8BEA18}"/>
    <cellStyle name="Input 19 3 2 4" xfId="12515" xr:uid="{B2CD65F6-E338-43E1-BE4A-0F78E9C59AE1}"/>
    <cellStyle name="Input 19 3 2 5" xfId="10366" xr:uid="{D61220BA-45EF-4A2C-A8C5-0BBE6DB4129F}"/>
    <cellStyle name="Input 19 3 2 6" xfId="13662" xr:uid="{19246EB3-7351-497D-9565-404E05FF95C8}"/>
    <cellStyle name="Input 19 3 2 7" xfId="14638" xr:uid="{B24BC9C0-B40D-4735-AFC6-6E57355E951E}"/>
    <cellStyle name="Input 19 3 2 8" xfId="15590" xr:uid="{B814E84F-F9F8-44B9-AF9A-CEB3C5582D3E}"/>
    <cellStyle name="Input 19 3 2 9" xfId="16485" xr:uid="{CA6C06B9-8934-418D-8B37-8AF32CBD06B4}"/>
    <cellStyle name="Input 19 3 3" xfId="8492" xr:uid="{ACB78B8E-1F5D-4CD3-97CB-006B942D571A}"/>
    <cellStyle name="Input 19 3 3 2" xfId="13232" xr:uid="{56B53821-453E-44F6-9EDD-34CE395A5C01}"/>
    <cellStyle name="Input 19 3 3 3" xfId="14252" xr:uid="{CE66E0E7-B40C-4E75-9037-FEDD2641895B}"/>
    <cellStyle name="Input 19 3 3 4" xfId="15212" xr:uid="{F9162A6C-CD67-4F77-BD57-D9F0F7EF9E69}"/>
    <cellStyle name="Input 19 3 3 5" xfId="16161" xr:uid="{F6D9222D-BAD5-4EEC-92A7-471A58B5C02A}"/>
    <cellStyle name="Input 19 3 3 6" xfId="17034" xr:uid="{956B40BA-C83E-476C-9F4E-87FF06463775}"/>
    <cellStyle name="Input 19 3 3 7" xfId="17899" xr:uid="{6037286C-6A41-4E45-9D98-423D8146EB1E}"/>
    <cellStyle name="Input 19 3 3 8" xfId="18675" xr:uid="{E9DB6ED8-8FA2-4C87-84B4-21A960A6A745}"/>
    <cellStyle name="Input 19 3 4" xfId="9502" xr:uid="{88E2186B-DF76-4969-A2C0-7F7C48CD3D28}"/>
    <cellStyle name="Input 19 3 4 2" xfId="13906" xr:uid="{28E41B06-51F6-4A67-A147-BE6E8AB6309F}"/>
    <cellStyle name="Input 19 3 4 3" xfId="14866" xr:uid="{43242674-BC34-4A95-A1F4-AD632A3B2ADD}"/>
    <cellStyle name="Input 19 3 4 4" xfId="15818" xr:uid="{C29A13C4-F1E9-4AE3-9DA3-F8D147C2E1A0}"/>
    <cellStyle name="Input 19 3 4 5" xfId="16692" xr:uid="{12DBB09F-9B4E-40A8-8DE5-97D2A10FEE46}"/>
    <cellStyle name="Input 19 3 4 6" xfId="17557" xr:uid="{7B196336-12B1-4439-960F-C4DC49164FEC}"/>
    <cellStyle name="Input 19 3 4 7" xfId="18333" xr:uid="{54E2E71E-F38B-4988-ABCA-DCBB7B679C16}"/>
    <cellStyle name="Input 19 3 4 8" xfId="19090" xr:uid="{D550A899-6B22-4AAA-8BE0-4E8C555326AB}"/>
    <cellStyle name="Input 19 3 5" xfId="12203" xr:uid="{A933F048-A9C9-473D-83EF-5C0485C520EA}"/>
    <cellStyle name="Input 19 3 6" xfId="10662" xr:uid="{8969F327-2B6E-4630-B466-8AB30C7A7B14}"/>
    <cellStyle name="Input 19 3 7" xfId="13113" xr:uid="{F0A4EC8F-4D58-4679-8D22-8FEB27D05F99}"/>
    <cellStyle name="Input 19 3 8" xfId="9913" xr:uid="{7B0D881E-C9B8-46F6-AF64-9A626C5DAC08}"/>
    <cellStyle name="Input 19 3 9" xfId="11836" xr:uid="{F503E52E-22F9-43BF-A642-C56B4353F5AE}"/>
    <cellStyle name="Input 19 4" xfId="7010" xr:uid="{84BEFEDF-21F3-4D03-9DEA-20D5805ED48F}"/>
    <cellStyle name="Input 19 4 10" xfId="13643" xr:uid="{51C059FC-E237-4D18-A7C0-CAE9D12618AB}"/>
    <cellStyle name="Input 19 4 2" xfId="8650" xr:uid="{C037C1EB-A995-4238-8B72-2065E9A07623}"/>
    <cellStyle name="Input 19 4 2 2" xfId="13370" xr:uid="{B82B0A10-3D5D-4972-BB32-28297D3E5C02}"/>
    <cellStyle name="Input 19 4 2 3" xfId="14384" xr:uid="{1E71B07E-FF64-4053-BECE-8B248ACA0B46}"/>
    <cellStyle name="Input 19 4 2 4" xfId="15342" xr:uid="{F907A442-534F-4DBB-B8D7-55668F93F9D1}"/>
    <cellStyle name="Input 19 4 2 5" xfId="16286" xr:uid="{646375C1-6F09-4C28-983A-C95BACD5B734}"/>
    <cellStyle name="Input 19 4 2 6" xfId="17159" xr:uid="{046B6B17-A802-4611-BD39-6612994EB254}"/>
    <cellStyle name="Input 19 4 2 7" xfId="18024" xr:uid="{223BFABB-4A66-4C85-8AA1-4382BA52891A}"/>
    <cellStyle name="Input 19 4 2 8" xfId="18792" xr:uid="{984220E0-0AC3-48CC-8785-6666C1F4FF1C}"/>
    <cellStyle name="Input 19 4 3" xfId="9619" xr:uid="{61314EAF-8FE5-4CEF-96AD-EFB9EDDD213E}"/>
    <cellStyle name="Input 19 4 3 2" xfId="14023" xr:uid="{F09EEB76-C34E-4180-8C06-9005CAB6CB5F}"/>
    <cellStyle name="Input 19 4 3 3" xfId="14983" xr:uid="{707F291E-655A-4E91-84F7-D5CB8718A22A}"/>
    <cellStyle name="Input 19 4 3 4" xfId="15935" xr:uid="{A6A42733-700C-4FD0-95C2-E1FECB82754B}"/>
    <cellStyle name="Input 19 4 3 5" xfId="16809" xr:uid="{EFE8D963-BFB3-4DFA-A968-ED6211F034C0}"/>
    <cellStyle name="Input 19 4 3 6" xfId="17674" xr:uid="{AC900C1D-8A61-4CED-9088-6FAAF061F988}"/>
    <cellStyle name="Input 19 4 3 7" xfId="18450" xr:uid="{8AB43115-9303-43B0-A45A-D3D37EA769A0}"/>
    <cellStyle name="Input 19 4 3 8" xfId="19207" xr:uid="{D986C1FF-C1A2-4FE1-A4BC-E172A0C84C47}"/>
    <cellStyle name="Input 19 4 4" xfId="12341" xr:uid="{3C4BDB90-F0F7-437C-9F49-ADADF9065C10}"/>
    <cellStyle name="Input 19 4 5" xfId="10529" xr:uid="{75EFFA53-CDB3-4C3C-AAB2-6AC2B5055178}"/>
    <cellStyle name="Input 19 4 6" xfId="12376" xr:uid="{2C9A42BD-2A71-4789-866C-2CC456BB8FA1}"/>
    <cellStyle name="Input 19 4 7" xfId="10499" xr:uid="{2A043470-606A-446B-8637-D2FC637BC4AB}"/>
    <cellStyle name="Input 19 4 8" xfId="12371" xr:uid="{0BF835B1-2129-44DF-B1F6-62B2B1098EC2}"/>
    <cellStyle name="Input 19 4 9" xfId="10504" xr:uid="{E5CF4EA6-81ED-40F7-BF57-FF4DBA947AE2}"/>
    <cellStyle name="Input 19 5" xfId="7833" xr:uid="{53776AE1-20C5-4DB8-AE2C-010019B3921F}"/>
    <cellStyle name="Input 19 5 2" xfId="12855" xr:uid="{92FB01B5-B127-4077-BEF5-907DAA226F3C}"/>
    <cellStyle name="Input 19 5 3" xfId="10120" xr:uid="{06FDC45B-EAA2-4DEC-9E7D-3572395ECFE5}"/>
    <cellStyle name="Input 19 5 4" xfId="9835" xr:uid="{82FD938E-9E62-4ACC-8C08-A736AB21A08B}"/>
    <cellStyle name="Input 19 5 5" xfId="11901" xr:uid="{62042292-D627-43E0-AA9A-15B6A4D541BF}"/>
    <cellStyle name="Input 19 5 6" xfId="10916" xr:uid="{1751A21A-7A0F-44BE-8315-FB61B0B393C3}"/>
    <cellStyle name="Input 19 5 7" xfId="11512" xr:uid="{922EB2C2-D2B2-406A-9E59-70DDC1F65536}"/>
    <cellStyle name="Input 19 5 8" xfId="11227" xr:uid="{F04B5C25-CA40-4D5E-8D30-53E4167AB801}"/>
    <cellStyle name="Input 19 6" xfId="7812" xr:uid="{533F5712-314F-4C89-8EDC-723B01909DA9}"/>
    <cellStyle name="Input 19 6 2" xfId="12834" xr:uid="{B57B5892-108E-4027-A41A-F6AD8D0D7917}"/>
    <cellStyle name="Input 19 6 3" xfId="10140" xr:uid="{7CC3DF8C-4460-4524-9B36-9274F0868326}"/>
    <cellStyle name="Input 19 6 4" xfId="12475" xr:uid="{68A5E87C-1D7C-4360-BE0E-9F124660518B}"/>
    <cellStyle name="Input 19 6 5" xfId="10405" xr:uid="{5AC12316-5B04-48F0-861E-056D693CA3D4}"/>
    <cellStyle name="Input 19 6 6" xfId="11729" xr:uid="{257CBE1F-37B5-4877-8B86-8322C35FBCC1}"/>
    <cellStyle name="Input 19 6 7" xfId="11057" xr:uid="{A29ABD85-CDA3-402D-9960-3348DDF2615C}"/>
    <cellStyle name="Input 19 6 8" xfId="13587" xr:uid="{F8431BB0-BE5F-458D-BEBD-CDBE3F2D82DA}"/>
    <cellStyle name="Input 19 7" xfId="11366" xr:uid="{7E23C337-1F00-4DF7-A959-9081B29820A4}"/>
    <cellStyle name="Input 19 8" xfId="11345" xr:uid="{8844B103-2742-4FE8-9285-A6ABD4F5823D}"/>
    <cellStyle name="Input 19 9" xfId="11385" xr:uid="{189A5CE6-6562-44C3-B7D6-441841EE5F7E}"/>
    <cellStyle name="Input 2" xfId="5140" xr:uid="{8971AEE3-D07C-4455-BE29-220982788521}"/>
    <cellStyle name="Input 2 10" xfId="11324" xr:uid="{BFDE4E54-22CF-4BE2-991C-C323944A0DF1}"/>
    <cellStyle name="Input 2 11" xfId="11406" xr:uid="{676F10B8-5C2D-4175-8F27-C75D3AD92583}"/>
    <cellStyle name="Input 2 12" xfId="11305" xr:uid="{F6021CC2-6C6F-455F-B77D-6A21BA4B1C91}"/>
    <cellStyle name="Input 2 13" xfId="12038" xr:uid="{EDA4739F-DEE7-4BCA-99F9-E1CCD6764FFF}"/>
    <cellStyle name="Input 2 2" xfId="5141" xr:uid="{1A6349DF-6E3A-4A2F-A671-1F9FE1199F01}"/>
    <cellStyle name="Input 2 3" xfId="6850" xr:uid="{7BCD8ED8-B8AE-445B-B243-8A274F9B8734}"/>
    <cellStyle name="Input 2 3 10" xfId="11047" xr:uid="{8D2B9F68-F48D-4724-8882-073D72D81E32}"/>
    <cellStyle name="Input 2 3 11" xfId="12563" xr:uid="{8162DEE7-F4DE-4CA5-A7F6-9F917E106C92}"/>
    <cellStyle name="Input 2 3 2" xfId="7253" xr:uid="{B59A4133-7837-40C9-BB2C-BFCD241F9FFC}"/>
    <cellStyle name="Input 2 3 2 10" xfId="13417" xr:uid="{65A35195-1A18-4A9E-8119-5344175E1442}"/>
    <cellStyle name="Input 2 3 2 2" xfId="8893" xr:uid="{ADA3D3BC-B39D-4DBC-A1AA-B15DC7ECD1DF}"/>
    <cellStyle name="Input 2 3 2 2 2" xfId="13544" xr:uid="{0C6D6053-4B0A-4E11-B2F6-2803BDDB96F2}"/>
    <cellStyle name="Input 2 3 2 2 3" xfId="14548" xr:uid="{A826306E-1F15-4197-B13F-50C876D9C222}"/>
    <cellStyle name="Input 2 3 2 2 4" xfId="15506" xr:uid="{3802EB92-31E4-407E-8614-C8DA5C74C629}"/>
    <cellStyle name="Input 2 3 2 2 5" xfId="16431" xr:uid="{46D8966D-D400-459E-B065-3E7540F71DDF}"/>
    <cellStyle name="Input 2 3 2 2 6" xfId="17302" xr:uid="{C9B0FCC5-8D05-4A37-BCB8-9C3661062A14}"/>
    <cellStyle name="Input 2 3 2 2 7" xfId="18148" xr:uid="{951F4F9F-7FC9-4C41-8332-6926CA30D54C}"/>
    <cellStyle name="Input 2 3 2 2 8" xfId="18908" xr:uid="{E416BE8D-673A-4731-A9E9-905F5C65A369}"/>
    <cellStyle name="Input 2 3 2 3" xfId="9735" xr:uid="{0A6D3B65-809E-46D3-9B2F-90B5982612AF}"/>
    <cellStyle name="Input 2 3 2 3 2" xfId="14139" xr:uid="{5944FF7D-0C56-4018-9C16-4575798C14AA}"/>
    <cellStyle name="Input 2 3 2 3 3" xfId="15099" xr:uid="{B4BED2E7-1F8D-4C86-9ADE-82C122C039B5}"/>
    <cellStyle name="Input 2 3 2 3 4" xfId="16051" xr:uid="{3F2BD5A9-BF94-4DC7-AD0C-581D7CC24A6A}"/>
    <cellStyle name="Input 2 3 2 3 5" xfId="16925" xr:uid="{748D4B0F-927D-4313-A6D7-946E22B8C9D2}"/>
    <cellStyle name="Input 2 3 2 3 6" xfId="17790" xr:uid="{CD106238-639A-4BEC-B2CE-922C45E9A95D}"/>
    <cellStyle name="Input 2 3 2 3 7" xfId="18566" xr:uid="{44352E7E-74A9-4005-9269-8835AA8A6A02}"/>
    <cellStyle name="Input 2 3 2 3 8" xfId="19323" xr:uid="{B80E6FF8-3261-4F76-90B6-D4263DADBB3B}"/>
    <cellStyle name="Input 2 3 2 4" xfId="12516" xr:uid="{E205EE0D-89F6-472A-AF53-5AC72FD246CB}"/>
    <cellStyle name="Input 2 3 2 5" xfId="10365" xr:uid="{158F4A52-FEF8-4963-BA3F-816652CFC063}"/>
    <cellStyle name="Input 2 3 2 6" xfId="13046" xr:uid="{EB3D25D4-43FC-4C5F-8E74-7DEDB0A28139}"/>
    <cellStyle name="Input 2 3 2 7" xfId="9956" xr:uid="{5E590A22-F488-4641-B3B7-A26E614C2394}"/>
    <cellStyle name="Input 2 3 2 8" xfId="12700" xr:uid="{B78D794E-BEEC-4115-ADC1-34F2AC757BED}"/>
    <cellStyle name="Input 2 3 2 9" xfId="10223" xr:uid="{5D9EFE99-60AA-4894-9510-1D00EB345831}"/>
    <cellStyle name="Input 2 3 3" xfId="8490" xr:uid="{CD954429-A618-4661-8522-8C052A3F89AB}"/>
    <cellStyle name="Input 2 3 3 2" xfId="13230" xr:uid="{A96EF712-60A9-4F6F-A491-73A4FE5944A1}"/>
    <cellStyle name="Input 2 3 3 3" xfId="14250" xr:uid="{D7B9914E-719D-4A41-B50E-84138848F1A0}"/>
    <cellStyle name="Input 2 3 3 4" xfId="15210" xr:uid="{0D77C8A5-FEE5-46B8-996C-2B3439200A40}"/>
    <cellStyle name="Input 2 3 3 5" xfId="16159" xr:uid="{969E6C59-63C1-4C77-B249-9985567BC763}"/>
    <cellStyle name="Input 2 3 3 6" xfId="17032" xr:uid="{0785AF16-90D6-406C-A142-7DB8D3E3A189}"/>
    <cellStyle name="Input 2 3 3 7" xfId="17897" xr:uid="{EABB5CFE-A955-488E-9863-3DB683901938}"/>
    <cellStyle name="Input 2 3 3 8" xfId="18673" xr:uid="{50B223CC-2691-42AC-BB69-ABA9E1C6D10C}"/>
    <cellStyle name="Input 2 3 4" xfId="9500" xr:uid="{1DBC3165-4471-4644-A320-9457E39BCB1C}"/>
    <cellStyle name="Input 2 3 4 2" xfId="13904" xr:uid="{B1460315-EB77-4838-B74E-8B1E0F2FEFBD}"/>
    <cellStyle name="Input 2 3 4 3" xfId="14864" xr:uid="{02F1A2E2-45C5-4FA3-BFB8-A143EA7FE994}"/>
    <cellStyle name="Input 2 3 4 4" xfId="15816" xr:uid="{C2F6CF08-3D90-4538-BC4F-1B3B1BD72C9B}"/>
    <cellStyle name="Input 2 3 4 5" xfId="16690" xr:uid="{CBE4F31A-402E-4049-85BF-E13FE48F6B43}"/>
    <cellStyle name="Input 2 3 4 6" xfId="17555" xr:uid="{5F699739-C8F5-479E-B9A0-8B8101AA6710}"/>
    <cellStyle name="Input 2 3 4 7" xfId="18331" xr:uid="{4F80ACEC-B958-4AA1-A156-44CA6B034F18}"/>
    <cellStyle name="Input 2 3 4 8" xfId="19088" xr:uid="{B385E4E1-22B1-4B16-A761-C4D394895569}"/>
    <cellStyle name="Input 2 3 5" xfId="12201" xr:uid="{7B6F43AC-E8E0-40C8-8AB1-797B93BFFCA2}"/>
    <cellStyle name="Input 2 3 6" xfId="10664" xr:uid="{E594E063-F668-4F06-A29E-F6D518F31D4C}"/>
    <cellStyle name="Input 2 3 7" xfId="12592" xr:uid="{86742B4E-751E-44E5-9EF2-33F07AFE214D}"/>
    <cellStyle name="Input 2 3 8" xfId="10312" xr:uid="{1F6180BC-3097-4AEC-B701-85F57FBE2B43}"/>
    <cellStyle name="Input 2 3 9" xfId="11750" xr:uid="{9BB7C10B-4921-42C7-A70F-0542FDB0EE64}"/>
    <cellStyle name="Input 2 4" xfId="7012" xr:uid="{A83BA30D-568A-4790-8ECE-585CBC4CBEBF}"/>
    <cellStyle name="Input 2 4 10" xfId="13608" xr:uid="{8B230488-3C33-4EA6-817B-A633E84DD050}"/>
    <cellStyle name="Input 2 4 2" xfId="8652" xr:uid="{0C0DD8FC-D457-45B1-A056-DAD5D61D7AFF}"/>
    <cellStyle name="Input 2 4 2 2" xfId="13372" xr:uid="{CBEF74DA-AA8B-4EBB-B6A0-9994B8076A79}"/>
    <cellStyle name="Input 2 4 2 3" xfId="14386" xr:uid="{7AC49DE7-1A49-470F-BAAE-A617FE5CD8ED}"/>
    <cellStyle name="Input 2 4 2 4" xfId="15344" xr:uid="{EC459135-305E-4382-84D8-7251242140B0}"/>
    <cellStyle name="Input 2 4 2 5" xfId="16288" xr:uid="{CADF6708-BC26-4E9A-B340-19D43D5C7280}"/>
    <cellStyle name="Input 2 4 2 6" xfId="17161" xr:uid="{882143DA-FA67-479B-BC10-D2D8BF2890FE}"/>
    <cellStyle name="Input 2 4 2 7" xfId="18026" xr:uid="{57E19CB3-E643-47A4-8CD1-E7AAB4F10248}"/>
    <cellStyle name="Input 2 4 2 8" xfId="18794" xr:uid="{01D75A70-EBD9-4A09-8163-9907C11B0D80}"/>
    <cellStyle name="Input 2 4 3" xfId="9621" xr:uid="{CE36CF15-7C32-4C6F-8CB1-C6457B38E41D}"/>
    <cellStyle name="Input 2 4 3 2" xfId="14025" xr:uid="{85AC8F3D-1D2D-4ACA-A485-72EF1022C11A}"/>
    <cellStyle name="Input 2 4 3 3" xfId="14985" xr:uid="{E8441C13-E16E-4D39-BEE0-7F9F78E5D55A}"/>
    <cellStyle name="Input 2 4 3 4" xfId="15937" xr:uid="{6B25709B-D410-4E0F-9000-A7AB12047ED5}"/>
    <cellStyle name="Input 2 4 3 5" xfId="16811" xr:uid="{FA76073D-3B70-4603-97AD-200116653FD9}"/>
    <cellStyle name="Input 2 4 3 6" xfId="17676" xr:uid="{0E9304CE-D876-4A90-8162-0DE5CDC37A23}"/>
    <cellStyle name="Input 2 4 3 7" xfId="18452" xr:uid="{647F84B6-DEE0-40E3-8D6E-668DD34B4458}"/>
    <cellStyle name="Input 2 4 3 8" xfId="19209" xr:uid="{05482295-174B-4687-99E0-A77D77D44A93}"/>
    <cellStyle name="Input 2 4 4" xfId="12343" xr:uid="{E0AB4833-C4A0-4885-A4A5-EBBD3723CE33}"/>
    <cellStyle name="Input 2 4 5" xfId="10527" xr:uid="{7970C3F3-4005-4A74-9CC3-7A9DAA8A4EC6}"/>
    <cellStyle name="Input 2 4 6" xfId="12918" xr:uid="{4B31F20A-0CB9-44C7-A29D-D196792677DA}"/>
    <cellStyle name="Input 2 4 7" xfId="10066" xr:uid="{A60AFC78-81C9-428A-9C37-AC7F72FD153C}"/>
    <cellStyle name="Input 2 4 8" xfId="12150" xr:uid="{A0365D4C-A503-482D-9572-6D1D21DB3E81}"/>
    <cellStyle name="Input 2 4 9" xfId="10709" xr:uid="{01594928-CC17-4004-84B1-21C21DF8BC0C}"/>
    <cellStyle name="Input 2 5" xfId="7835" xr:uid="{E6497339-A425-4501-9E55-0137CE67417E}"/>
    <cellStyle name="Input 2 5 2" xfId="12857" xr:uid="{9C6AC136-BA49-451C-9CDD-B6BC08D36A88}"/>
    <cellStyle name="Input 2 5 3" xfId="10118" xr:uid="{44CB476B-DA66-4AAA-865D-44DCC2025AE6}"/>
    <cellStyle name="Input 2 5 4" xfId="9836" xr:uid="{872B23DA-663B-4051-9F2E-5D184924119B}"/>
    <cellStyle name="Input 2 5 5" xfId="11900" xr:uid="{6DB3BD81-C7F6-46DD-9BBC-F8129BA29946}"/>
    <cellStyle name="Input 2 5 6" xfId="10917" xr:uid="{B931D505-2966-493B-9939-8329D594C303}"/>
    <cellStyle name="Input 2 5 7" xfId="11511" xr:uid="{D0DA9F29-DD84-4ABD-9D86-5F8ABE7CDFD6}"/>
    <cellStyle name="Input 2 5 8" xfId="11228" xr:uid="{30340A42-F8FE-4CDD-90FB-BE19D221AB64}"/>
    <cellStyle name="Input 2 6" xfId="7810" xr:uid="{E342F2E3-82C1-4332-8C5A-FAF23BFE8155}"/>
    <cellStyle name="Input 2 6 2" xfId="12832" xr:uid="{7CC960CD-F3E4-4ED2-9BA7-8AD8F1390A6B}"/>
    <cellStyle name="Input 2 6 3" xfId="10142" xr:uid="{52CF389C-CDF7-4B7A-AD9C-B76D268CFC82}"/>
    <cellStyle name="Input 2 6 4" xfId="13689" xr:uid="{77A27089-0825-4E45-876C-CFC4DA8B50F3}"/>
    <cellStyle name="Input 2 6 5" xfId="14657" xr:uid="{41654661-96D9-460E-99C5-7ACF0EC7EA88}"/>
    <cellStyle name="Input 2 6 6" xfId="15609" xr:uid="{7409C07D-8691-45D0-A1C4-EA3AD9ED18A0}"/>
    <cellStyle name="Input 2 6 7" xfId="16494" xr:uid="{FA5BE873-FCAB-4066-8362-BA4202453B76}"/>
    <cellStyle name="Input 2 6 8" xfId="17362" xr:uid="{96E4D191-54DC-4C5F-A662-EF9CC51CBAAD}"/>
    <cellStyle name="Input 2 7" xfId="11368" xr:uid="{D86614F0-41A0-464B-B532-7118C09EAC8D}"/>
    <cellStyle name="Input 2 8" xfId="11343" xr:uid="{E60ABD59-45D5-444C-9C8D-7005CC673538}"/>
    <cellStyle name="Input 2 9" xfId="11387" xr:uid="{961EEBF8-B3FE-4490-89C7-1BA9D507E43E}"/>
    <cellStyle name="Input 3" xfId="5142" xr:uid="{5DACD4BD-D5D6-4C27-B2C2-64BC17025486}"/>
    <cellStyle name="Input 3 10" xfId="11408" xr:uid="{44E22F1A-1060-4ED1-9321-CA9A868DAC51}"/>
    <cellStyle name="Input 3 11" xfId="11304" xr:uid="{7AF5A03D-5700-4F8C-8073-9182096B9EBA}"/>
    <cellStyle name="Input 3 12" xfId="13506" xr:uid="{C08EA941-DC46-415D-935C-FFAD6C127810}"/>
    <cellStyle name="Input 3 2" xfId="6849" xr:uid="{0F84CA02-C86F-4130-B695-36C3DFFB4250}"/>
    <cellStyle name="Input 3 2 10" xfId="11133" xr:uid="{0FFCACCA-4E2F-4A91-B4EE-66ACFE49F529}"/>
    <cellStyle name="Input 3 2 11" xfId="12051" xr:uid="{08169A2A-CFF4-4101-A375-CAA5E54BCEB0}"/>
    <cellStyle name="Input 3 2 2" xfId="7254" xr:uid="{868342BC-2D68-412F-9AFE-9529F78F9F5F}"/>
    <cellStyle name="Input 3 2 2 10" xfId="9827" xr:uid="{5E3A9A0F-3B92-4160-904D-1C72D0839D4C}"/>
    <cellStyle name="Input 3 2 2 2" xfId="8894" xr:uid="{8591DD05-A1D5-4344-A8CF-552FC37C4A40}"/>
    <cellStyle name="Input 3 2 2 2 2" xfId="13545" xr:uid="{4D455E9C-2E26-4AA9-ADE5-837A509983E6}"/>
    <cellStyle name="Input 3 2 2 2 3" xfId="14549" xr:uid="{9821BB17-F6D6-4C8F-8669-2DB3498504C3}"/>
    <cellStyle name="Input 3 2 2 2 4" xfId="15507" xr:uid="{8020E8C2-C59D-4BDF-A9DF-8CA3511DC2E7}"/>
    <cellStyle name="Input 3 2 2 2 5" xfId="16432" xr:uid="{B8037100-18AC-4B18-8EBC-E6D02C244D7D}"/>
    <cellStyle name="Input 3 2 2 2 6" xfId="17303" xr:uid="{80CF4C55-4A4C-47FB-A611-FDA6A6621167}"/>
    <cellStyle name="Input 3 2 2 2 7" xfId="18149" xr:uid="{CE3E9792-C4C0-4D8E-9955-F921636D2FFD}"/>
    <cellStyle name="Input 3 2 2 2 8" xfId="18909" xr:uid="{5D88226A-FE05-469E-9829-DE733852A6F6}"/>
    <cellStyle name="Input 3 2 2 3" xfId="9736" xr:uid="{48F735D0-133C-458B-8AA7-B5FB997EAAD7}"/>
    <cellStyle name="Input 3 2 2 3 2" xfId="14140" xr:uid="{65D1EEBA-A471-4151-8504-B2F8111F814E}"/>
    <cellStyle name="Input 3 2 2 3 3" xfId="15100" xr:uid="{D3D64CA5-C700-421C-98EF-51D10AEE3AA7}"/>
    <cellStyle name="Input 3 2 2 3 4" xfId="16052" xr:uid="{AA736E6B-4DA7-4A1A-B6D3-A5A484C0FBCA}"/>
    <cellStyle name="Input 3 2 2 3 5" xfId="16926" xr:uid="{F4077D3F-C557-4145-ABD6-683AA7E89686}"/>
    <cellStyle name="Input 3 2 2 3 6" xfId="17791" xr:uid="{1BA5DFC2-8E1E-4FB3-A136-037AD12BE750}"/>
    <cellStyle name="Input 3 2 2 3 7" xfId="18567" xr:uid="{B5342501-6663-44DB-B8D6-A9076A14C814}"/>
    <cellStyle name="Input 3 2 2 3 8" xfId="19324" xr:uid="{1F433B45-1C07-4335-A247-7B038F633D9F}"/>
    <cellStyle name="Input 3 2 2 4" xfId="12517" xr:uid="{4FFE2375-CBEA-4169-A5D7-C1917706591B}"/>
    <cellStyle name="Input 3 2 2 5" xfId="10364" xr:uid="{250ABDEF-958B-4458-B90C-B11815C2AFB3}"/>
    <cellStyle name="Input 3 2 2 6" xfId="12382" xr:uid="{D33DF80E-01CB-4F29-85C6-DE86CC1DFAF9}"/>
    <cellStyle name="Input 3 2 2 7" xfId="10493" xr:uid="{363D3F23-234F-4DF4-B262-1069F006FAA8}"/>
    <cellStyle name="Input 3 2 2 8" xfId="13139" xr:uid="{4D4A2DA7-DE48-4FFA-8A25-92D326598F3C}"/>
    <cellStyle name="Input 3 2 2 9" xfId="9891" xr:uid="{45680867-1642-436B-9A20-E31136B7E75A}"/>
    <cellStyle name="Input 3 2 3" xfId="8489" xr:uid="{28A70268-3D6C-4108-BFD6-710230C315EA}"/>
    <cellStyle name="Input 3 2 3 2" xfId="13229" xr:uid="{FA193320-C47C-4DEB-AA31-789E9778EE8E}"/>
    <cellStyle name="Input 3 2 3 3" xfId="14249" xr:uid="{81125EC6-026A-4912-ACB7-12534EEE8C83}"/>
    <cellStyle name="Input 3 2 3 4" xfId="15209" xr:uid="{D08CA385-2841-4B75-AB30-0A75741094EF}"/>
    <cellStyle name="Input 3 2 3 5" xfId="16158" xr:uid="{EA16B023-DBF4-4723-A4DB-804985B1DE0D}"/>
    <cellStyle name="Input 3 2 3 6" xfId="17031" xr:uid="{B9B07E74-733E-416E-BF99-0C864E9B4630}"/>
    <cellStyle name="Input 3 2 3 7" xfId="17896" xr:uid="{C39E1B78-8ABB-4499-87EB-1E60656F6F0D}"/>
    <cellStyle name="Input 3 2 3 8" xfId="18672" xr:uid="{176FFA28-D37C-4891-BB85-9FF8054A5A1C}"/>
    <cellStyle name="Input 3 2 4" xfId="9499" xr:uid="{2BCB0459-9126-489C-80F5-6515CBBC263D}"/>
    <cellStyle name="Input 3 2 4 2" xfId="13903" xr:uid="{34768090-98EF-4773-A19F-974756A4FD87}"/>
    <cellStyle name="Input 3 2 4 3" xfId="14863" xr:uid="{EEDA3FE0-BC69-4A54-954C-1CED49EFA5C4}"/>
    <cellStyle name="Input 3 2 4 4" xfId="15815" xr:uid="{0664F66B-155E-48E4-8687-091DA4D446A4}"/>
    <cellStyle name="Input 3 2 4 5" xfId="16689" xr:uid="{F59B224E-72E6-4928-992A-6B1C0068BB6E}"/>
    <cellStyle name="Input 3 2 4 6" xfId="17554" xr:uid="{78DA1A38-A87F-45AC-8959-CC1792F2EF1C}"/>
    <cellStyle name="Input 3 2 4 7" xfId="18330" xr:uid="{A4D22260-EB43-4583-B06C-B27532D1852C}"/>
    <cellStyle name="Input 3 2 4 8" xfId="19087" xr:uid="{06BE42FB-18E8-45D8-A559-ED2FA6B3BBE3}"/>
    <cellStyle name="Input 3 2 5" xfId="12200" xr:uid="{4DEB7996-9EBF-4F7A-A688-64462826AA1E}"/>
    <cellStyle name="Input 3 2 6" xfId="10665" xr:uid="{839832B2-E7D4-4929-9CBD-4A931CBBD3A5}"/>
    <cellStyle name="Input 3 2 7" xfId="12080" xr:uid="{8FC833AD-57C0-4C17-A36B-3FFC6770D481}"/>
    <cellStyle name="Input 3 2 8" xfId="10770" xr:uid="{99824B3A-985E-48E5-A4EF-768C903A3ADB}"/>
    <cellStyle name="Input 3 2 9" xfId="11644" xr:uid="{0B3926FA-6496-4B58-B4F0-DE91EEFBE7BB}"/>
    <cellStyle name="Input 3 3" xfId="7013" xr:uid="{B4CD0D65-A2A2-43E2-A162-1B44984DC91C}"/>
    <cellStyle name="Input 3 3 10" xfId="13320" xr:uid="{C95E8B9D-5A75-4C4A-ACBF-5496164378EC}"/>
    <cellStyle name="Input 3 3 2" xfId="8653" xr:uid="{949CAC2E-F145-4ABD-AF87-50B568700EB3}"/>
    <cellStyle name="Input 3 3 2 2" xfId="13373" xr:uid="{7FE4CFDF-A4BA-4606-98F9-0E3913BDDCC3}"/>
    <cellStyle name="Input 3 3 2 3" xfId="14387" xr:uid="{6A51798C-BE02-49F7-85B8-834EABCAB629}"/>
    <cellStyle name="Input 3 3 2 4" xfId="15345" xr:uid="{F5060F60-C209-43A5-8641-E134BBE8F083}"/>
    <cellStyle name="Input 3 3 2 5" xfId="16289" xr:uid="{00874B46-FCC8-4039-B19C-A650D3759E2A}"/>
    <cellStyle name="Input 3 3 2 6" xfId="17162" xr:uid="{C8E78273-30DA-4796-9937-EB773906C096}"/>
    <cellStyle name="Input 3 3 2 7" xfId="18027" xr:uid="{11E7F12F-1FC3-40BD-94C6-BC480F71B9E1}"/>
    <cellStyle name="Input 3 3 2 8" xfId="18795" xr:uid="{548B56A1-4A68-40C6-83D1-51F2614F76CA}"/>
    <cellStyle name="Input 3 3 3" xfId="9622" xr:uid="{6C2CB243-CFA4-46D3-884F-E64ED6399421}"/>
    <cellStyle name="Input 3 3 3 2" xfId="14026" xr:uid="{EEF557DC-8744-464C-9963-7549E0933ED0}"/>
    <cellStyle name="Input 3 3 3 3" xfId="14986" xr:uid="{677E42E8-B015-46E2-91AC-0F3A2EECF718}"/>
    <cellStyle name="Input 3 3 3 4" xfId="15938" xr:uid="{BDC01D3B-48E0-4976-BB63-76AACE72B105}"/>
    <cellStyle name="Input 3 3 3 5" xfId="16812" xr:uid="{3D638B69-94F9-4AEB-89C6-753407B68B7E}"/>
    <cellStyle name="Input 3 3 3 6" xfId="17677" xr:uid="{D9F8EB95-CC36-40EB-A05A-D0FF192A407B}"/>
    <cellStyle name="Input 3 3 3 7" xfId="18453" xr:uid="{2BA4945E-EE54-4F2D-976C-9E0F8AE24B5F}"/>
    <cellStyle name="Input 3 3 3 8" xfId="19210" xr:uid="{041659CC-07EF-4279-90F7-962AE203601A}"/>
    <cellStyle name="Input 3 3 4" xfId="12344" xr:uid="{13F59E9F-35CE-4307-B7F1-5841E666C300}"/>
    <cellStyle name="Input 3 3 5" xfId="10526" xr:uid="{00E4B5D1-6908-4D39-980E-DAF4371DF4E5}"/>
    <cellStyle name="Input 3 3 6" xfId="12102" xr:uid="{2CF015E2-D4BB-48C5-8E6D-0053A7B60891}"/>
    <cellStyle name="Input 3 3 7" xfId="10750" xr:uid="{7680DE0C-1120-483D-A170-766196D15D0F}"/>
    <cellStyle name="Input 3 3 8" xfId="13105" xr:uid="{A96A7A50-A583-410B-B60A-7BB1F3190DF4}"/>
    <cellStyle name="Input 3 3 9" xfId="9918" xr:uid="{97938C11-F53F-4469-9E93-4E9F170C99BF}"/>
    <cellStyle name="Input 3 4" xfId="7836" xr:uid="{8EF34007-688B-442C-9A1A-40731FEA900F}"/>
    <cellStyle name="Input 3 4 2" xfId="12858" xr:uid="{5B6FC304-B7C1-4B74-B095-066BFAE011A5}"/>
    <cellStyle name="Input 3 4 3" xfId="10117" xr:uid="{1B7E8B35-BCDB-4D4A-9119-B46A127070B5}"/>
    <cellStyle name="Input 3 4 4" xfId="12030" xr:uid="{74B84652-4198-47B0-BB10-4FA8DA94B269}"/>
    <cellStyle name="Input 3 4 5" xfId="10804" xr:uid="{3E9AAA84-0749-464E-8126-DDD9EC95E1EF}"/>
    <cellStyle name="Input 3 4 6" xfId="11615" xr:uid="{44EA2AE9-2E44-4D33-863D-E086A8BE26FD}"/>
    <cellStyle name="Input 3 4 7" xfId="11144" xr:uid="{9CBFA36B-0F42-4747-8DF1-AAF9A25C4047}"/>
    <cellStyle name="Input 3 4 8" xfId="11962" xr:uid="{2E9B39CA-D6BF-4559-85AC-01D57E19D940}"/>
    <cellStyle name="Input 3 5" xfId="7809" xr:uid="{4D8E98A2-9418-4AD9-9293-E7E33A4C5B8E}"/>
    <cellStyle name="Input 3 5 2" xfId="12831" xr:uid="{83E08D09-3106-4CBC-BE4F-CBF0D16857EA}"/>
    <cellStyle name="Input 3 5 3" xfId="10143" xr:uid="{AA347161-AB03-41E0-A936-D3FE0A10BC3F}"/>
    <cellStyle name="Input 3 5 4" xfId="12669" xr:uid="{2D4E0F99-E438-4830-9E49-9E9B4F4AAACF}"/>
    <cellStyle name="Input 3 5 5" xfId="10248" xr:uid="{E71925B2-2CE4-46C1-AB92-F3B811779ECD}"/>
    <cellStyle name="Input 3 5 6" xfId="12658" xr:uid="{07BC0378-DEF3-489E-A3CB-27264B710F25}"/>
    <cellStyle name="Input 3 5 7" xfId="10258" xr:uid="{87336AFE-80B8-4281-ADDD-CAA3A443FD57}"/>
    <cellStyle name="Input 3 5 8" xfId="12385" xr:uid="{E8CAB5E8-6E51-4E65-9542-F7DFB1D0C4AC}"/>
    <cellStyle name="Input 3 6" xfId="11370" xr:uid="{A2EB92E8-408E-4A94-B182-0DE9C762F3B4}"/>
    <cellStyle name="Input 3 7" xfId="11341" xr:uid="{67AE3807-3706-4ABA-B2BC-71B3C07E13FF}"/>
    <cellStyle name="Input 3 8" xfId="11389" xr:uid="{E73E7571-143E-49C3-B3FE-EA6F434C83ED}"/>
    <cellStyle name="Input 3 9" xfId="11322" xr:uid="{CF56F740-C1BB-4E03-A4FD-EA3F82382C8E}"/>
    <cellStyle name="Input 4" xfId="5143" xr:uid="{22C9D6FE-7501-43A8-8BDB-5D55F9B7E860}"/>
    <cellStyle name="Input 4 10" xfId="11409" xr:uid="{1EF4A5C5-EFEE-45F6-83B4-E1CB8CFFEC52}"/>
    <cellStyle name="Input 4 11" xfId="11303" xr:uid="{30C96BB5-830B-4B10-92C1-65FEEA652191}"/>
    <cellStyle name="Input 4 12" xfId="13074" xr:uid="{5D7BFC45-7F4F-4B4E-BD35-76E653640303}"/>
    <cellStyle name="Input 4 2" xfId="6848" xr:uid="{C504EA26-278A-43FE-AA42-04764627CB53}"/>
    <cellStyle name="Input 4 2 10" xfId="10106" xr:uid="{3FFD7BBF-CF41-4ECC-BD1A-19313F17B5B9}"/>
    <cellStyle name="Input 4 2 11" xfId="12140" xr:uid="{65F42CA2-97D2-4DC6-92D8-FFE3CDB4C3F4}"/>
    <cellStyle name="Input 4 2 2" xfId="7255" xr:uid="{075518E4-E508-409D-9B2B-B6948AF28D41}"/>
    <cellStyle name="Input 4 2 2 10" xfId="17182" xr:uid="{F6FF7E09-9B45-43DD-A6C9-253B0092E064}"/>
    <cellStyle name="Input 4 2 2 2" xfId="8895" xr:uid="{0D2FDAA1-29E3-4417-90D1-16D2E31C871A}"/>
    <cellStyle name="Input 4 2 2 2 2" xfId="13546" xr:uid="{4849333A-AB11-407F-A55D-0A0AA63331DF}"/>
    <cellStyle name="Input 4 2 2 2 3" xfId="14550" xr:uid="{288E3D87-4660-4608-B9BF-91FB701C0E02}"/>
    <cellStyle name="Input 4 2 2 2 4" xfId="15508" xr:uid="{8B918B08-EE0A-4193-88A5-02C73C12660F}"/>
    <cellStyle name="Input 4 2 2 2 5" xfId="16433" xr:uid="{6497EF3F-A240-4DB5-B2AF-53F6370C3A5C}"/>
    <cellStyle name="Input 4 2 2 2 6" xfId="17304" xr:uid="{E87947E4-6589-4E20-B323-48F4F8179D5F}"/>
    <cellStyle name="Input 4 2 2 2 7" xfId="18150" xr:uid="{B19CA0E6-50EB-4857-A0E5-41FAE5C79B19}"/>
    <cellStyle name="Input 4 2 2 2 8" xfId="18910" xr:uid="{BCC4E8BE-1461-44AF-8357-C212F87E9644}"/>
    <cellStyle name="Input 4 2 2 3" xfId="9737" xr:uid="{21C55A5D-75E9-4A61-BD34-7E3982E635CC}"/>
    <cellStyle name="Input 4 2 2 3 2" xfId="14141" xr:uid="{E1352E03-398F-4350-85E7-FC17FD363F24}"/>
    <cellStyle name="Input 4 2 2 3 3" xfId="15101" xr:uid="{97CC9AAC-9A93-45E3-B163-FF58E1273185}"/>
    <cellStyle name="Input 4 2 2 3 4" xfId="16053" xr:uid="{B5A0D0FD-860D-45E5-AF62-8A238DC9E624}"/>
    <cellStyle name="Input 4 2 2 3 5" xfId="16927" xr:uid="{0394739E-6DB7-4FA7-9E73-321E9248D4D6}"/>
    <cellStyle name="Input 4 2 2 3 6" xfId="17792" xr:uid="{791517A8-FEF2-4036-92F5-584E164B8472}"/>
    <cellStyle name="Input 4 2 2 3 7" xfId="18568" xr:uid="{B1016B2A-6CFD-4610-8744-5B167A25A4C4}"/>
    <cellStyle name="Input 4 2 2 3 8" xfId="19325" xr:uid="{C3682F96-2611-4AAF-8275-DC19D0454A4C}"/>
    <cellStyle name="Input 4 2 2 4" xfId="12518" xr:uid="{DBB3DB52-91CC-4C8B-BA6A-E02D4845B432}"/>
    <cellStyle name="Input 4 2 2 5" xfId="10363" xr:uid="{CDA2AA6F-6DD6-4ACD-A089-B339E453B400}"/>
    <cellStyle name="Input 4 2 2 6" xfId="13413" xr:uid="{D7A204D2-71D3-4A45-BAD1-4F0F4CA0BE55}"/>
    <cellStyle name="Input 4 2 2 7" xfId="14422" xr:uid="{7EAE486A-0E70-42E9-B348-2F2913BD6D13}"/>
    <cellStyle name="Input 4 2 2 8" xfId="15380" xr:uid="{D89C724C-A335-4D89-BEF3-04BE93BCA259}"/>
    <cellStyle name="Input 4 2 2 9" xfId="16311" xr:uid="{7A8E3897-959A-4FD1-AE30-A44B275BC746}"/>
    <cellStyle name="Input 4 2 3" xfId="8488" xr:uid="{5497597A-EFFF-483A-85BC-0FA22C9F6EC4}"/>
    <cellStyle name="Input 4 2 3 2" xfId="13228" xr:uid="{0FC50A5C-A8C8-4245-8417-65672F4BB6C0}"/>
    <cellStyle name="Input 4 2 3 3" xfId="14248" xr:uid="{834EE63F-0DBE-4D60-9E12-4119556F4FF2}"/>
    <cellStyle name="Input 4 2 3 4" xfId="15208" xr:uid="{EE6418B8-556B-4327-A7D6-CFC64EEF34D3}"/>
    <cellStyle name="Input 4 2 3 5" xfId="16157" xr:uid="{F7F63FE0-257F-4CB1-9ACB-4CC28EED4FB3}"/>
    <cellStyle name="Input 4 2 3 6" xfId="17030" xr:uid="{540EF491-FBC2-4DBB-8327-CDE887EC4F19}"/>
    <cellStyle name="Input 4 2 3 7" xfId="17895" xr:uid="{13240A64-F482-40F8-9357-72CA61F42ED6}"/>
    <cellStyle name="Input 4 2 3 8" xfId="18671" xr:uid="{079016BB-3FA4-4436-BEF0-45C2F16FA115}"/>
    <cellStyle name="Input 4 2 4" xfId="9498" xr:uid="{C1C1267B-41A5-4931-9B8C-0B20C8AD074A}"/>
    <cellStyle name="Input 4 2 4 2" xfId="13902" xr:uid="{9CF2C03E-D252-4F9B-ACE7-6B6A93E944C1}"/>
    <cellStyle name="Input 4 2 4 3" xfId="14862" xr:uid="{2133B2DB-32DD-458F-926E-8F05F8987EFB}"/>
    <cellStyle name="Input 4 2 4 4" xfId="15814" xr:uid="{32E8AD3F-8B30-448A-BB78-F640EDF8C960}"/>
    <cellStyle name="Input 4 2 4 5" xfId="16688" xr:uid="{CFAB9FC8-F9D6-4253-AA73-D3DF435399C7}"/>
    <cellStyle name="Input 4 2 4 6" xfId="17553" xr:uid="{CD1F2354-C5A2-4AB8-951C-BCF35CEEEC14}"/>
    <cellStyle name="Input 4 2 4 7" xfId="18329" xr:uid="{DF45EA99-854B-40E1-8C7B-E5CC8DDBC4E7}"/>
    <cellStyle name="Input 4 2 4 8" xfId="19086" xr:uid="{CD41BD46-4FCB-455D-A243-78BF836E988C}"/>
    <cellStyle name="Input 4 2 5" xfId="12199" xr:uid="{EBBF63AE-72C3-4314-9493-967BA11BC75C}"/>
    <cellStyle name="Input 4 2 6" xfId="10666" xr:uid="{832AD3F6-F52E-4E62-94D8-43BC618F3DD7}"/>
    <cellStyle name="Input 4 2 7" xfId="11674" xr:uid="{8D6D5865-2B7B-47D3-B469-D0F1A40E958A}"/>
    <cellStyle name="Input 4 2 8" xfId="11107" xr:uid="{A53DFB03-66B6-4482-B968-9B19F35322A9}"/>
    <cellStyle name="Input 4 2 9" xfId="12873" xr:uid="{F2796E16-4D8F-4B40-B932-2860DD24FD06}"/>
    <cellStyle name="Input 4 3" xfId="7014" xr:uid="{EF7C23AC-59E9-4382-8698-BB91F8A4B580}"/>
    <cellStyle name="Input 4 3 10" xfId="11637" xr:uid="{5995EF9F-618F-4AF1-A3F9-B42A7867AC57}"/>
    <cellStyle name="Input 4 3 2" xfId="8654" xr:uid="{C40EAD91-96C9-4124-91FB-15CCF7FA8C49}"/>
    <cellStyle name="Input 4 3 2 2" xfId="13374" xr:uid="{87AB134F-4159-43B6-A6E1-73A7EB3E5615}"/>
    <cellStyle name="Input 4 3 2 3" xfId="14388" xr:uid="{72C65661-29FA-482F-8211-E9B01A01AB2E}"/>
    <cellStyle name="Input 4 3 2 4" xfId="15346" xr:uid="{57605976-55BF-4DD4-A502-DC263F7970B2}"/>
    <cellStyle name="Input 4 3 2 5" xfId="16290" xr:uid="{D1C23259-379D-444A-B610-A3C0CC2B7F16}"/>
    <cellStyle name="Input 4 3 2 6" xfId="17163" xr:uid="{C0EEA71D-14F1-4031-8C96-4C72AB945261}"/>
    <cellStyle name="Input 4 3 2 7" xfId="18028" xr:uid="{54F2AB57-B4A9-4C04-9DF0-0555B7F84E38}"/>
    <cellStyle name="Input 4 3 2 8" xfId="18796" xr:uid="{71ECEFA5-E70F-4FCC-98BE-DB91B1CB2DF1}"/>
    <cellStyle name="Input 4 3 3" xfId="9623" xr:uid="{6818C459-E413-4A2E-B7FD-E756A4143B8D}"/>
    <cellStyle name="Input 4 3 3 2" xfId="14027" xr:uid="{494CC139-4E68-4517-AAE0-ABDF4C6B7255}"/>
    <cellStyle name="Input 4 3 3 3" xfId="14987" xr:uid="{CCFFEC56-323E-44EB-ABD8-E21FBAA8391D}"/>
    <cellStyle name="Input 4 3 3 4" xfId="15939" xr:uid="{27086D46-F4C4-4039-B050-7EDFE6E1E839}"/>
    <cellStyle name="Input 4 3 3 5" xfId="16813" xr:uid="{10BE2967-D13D-4AB9-96D0-156D6C8F2551}"/>
    <cellStyle name="Input 4 3 3 6" xfId="17678" xr:uid="{8F7516D7-04BC-4045-9E5E-186445245E5D}"/>
    <cellStyle name="Input 4 3 3 7" xfId="18454" xr:uid="{05BFAAE9-9BBB-41B0-B04A-92E81DB0F086}"/>
    <cellStyle name="Input 4 3 3 8" xfId="19211" xr:uid="{CC359D4E-B84C-4599-AB03-8FA4585228BD}"/>
    <cellStyle name="Input 4 3 4" xfId="12345" xr:uid="{498C02A2-A51B-493F-810F-BC429DA88657}"/>
    <cellStyle name="Input 4 3 5" xfId="10525" xr:uid="{93D684DE-4803-49FC-9795-FFA16AB32080}"/>
    <cellStyle name="Input 4 3 6" xfId="12103" xr:uid="{34D8622B-5388-435B-97F9-2172C697AE85}"/>
    <cellStyle name="Input 4 3 7" xfId="10749" xr:uid="{7D25CA5E-8CC0-4803-A5E6-5CFECF94DF5E}"/>
    <cellStyle name="Input 4 3 8" xfId="12071" xr:uid="{9A69E3F2-BDF6-4790-ACDD-6323D3277A90}"/>
    <cellStyle name="Input 4 3 9" xfId="10777" xr:uid="{7C116B6A-648B-4C2C-97DF-D849DD878470}"/>
    <cellStyle name="Input 4 4" xfId="7837" xr:uid="{0DBEB9CF-6BF9-4D75-877A-895A718F09FD}"/>
    <cellStyle name="Input 4 4 2" xfId="12859" xr:uid="{85D915D6-5E5A-4DE8-8420-159B29B65CA7}"/>
    <cellStyle name="Input 4 4 3" xfId="10116" xr:uid="{B4CA0045-632C-4783-AE10-723BC13CDCDE}"/>
    <cellStyle name="Input 4 4 4" xfId="11799" xr:uid="{9DF8129E-C038-438E-98A7-AC78EC3B1781}"/>
    <cellStyle name="Input 4 4 5" xfId="11005" xr:uid="{7EC708C1-6055-4AF4-9DE1-8C4E8E5AADED}"/>
    <cellStyle name="Input 4 4 6" xfId="12571" xr:uid="{29C81598-B2FF-48AC-AA70-C281A2E8794F}"/>
    <cellStyle name="Input 4 4 7" xfId="10328" xr:uid="{1D687268-3187-4CD3-8E44-8893F7EAF6A3}"/>
    <cellStyle name="Input 4 4 8" xfId="11738" xr:uid="{F727B65D-41CA-4B15-88A9-1101ED2F78F9}"/>
    <cellStyle name="Input 4 5" xfId="7808" xr:uid="{F0F02E1F-1083-4CD5-86CE-40BD0AA5D615}"/>
    <cellStyle name="Input 4 5 2" xfId="12830" xr:uid="{5B55F594-ABB2-4FF4-AC72-D721591A93A6}"/>
    <cellStyle name="Input 4 5 3" xfId="10144" xr:uid="{94581C2B-60EE-46B1-8705-7489EA6D4064}"/>
    <cellStyle name="Input 4 5 4" xfId="12134" xr:uid="{991EC6C7-9717-4398-AD09-B23EC518105F}"/>
    <cellStyle name="Input 4 5 5" xfId="10721" xr:uid="{19D2F0FF-6495-419A-A4EC-55A2B58A6EA9}"/>
    <cellStyle name="Input 4 5 6" xfId="12074" xr:uid="{C8F5BC2F-153A-4007-AF07-AE70852D8F06}"/>
    <cellStyle name="Input 4 5 7" xfId="10774" xr:uid="{82D8A771-8B36-4CF8-B125-200499BF6D59}"/>
    <cellStyle name="Input 4 5 8" xfId="11640" xr:uid="{5026DF9F-9B21-418E-93FA-AC831D89E796}"/>
    <cellStyle name="Input 4 6" xfId="11371" xr:uid="{27F162C5-B8E0-46EC-A912-2C3CF872A356}"/>
    <cellStyle name="Input 4 7" xfId="11340" xr:uid="{FEAA4EBC-D5BD-4DAA-A80A-B571CB2B9FA9}"/>
    <cellStyle name="Input 4 8" xfId="11390" xr:uid="{65DEC2C9-5F33-4F45-8B24-D886A8346D9E}"/>
    <cellStyle name="Input 4 9" xfId="11321" xr:uid="{5F3CF2AF-A7D5-4FAB-A1D6-7225DE07369F}"/>
    <cellStyle name="Input 5" xfId="5144" xr:uid="{A870A7DE-A253-4DB0-95F8-16D6E28B0F09}"/>
    <cellStyle name="Input 5 10" xfId="11410" xr:uid="{616F2FC0-972A-4186-B948-3C31B8587473}"/>
    <cellStyle name="Input 5 11" xfId="11302" xr:uid="{AF823891-DFB9-4D1D-9BC2-FB0598F8C0B5}"/>
    <cellStyle name="Input 5 12" xfId="12039" xr:uid="{A0B8B7AB-F319-46A9-AF7E-CD7E100DDFBF}"/>
    <cellStyle name="Input 5 2" xfId="6847" xr:uid="{62897D54-BFFB-4398-B76E-EE33264C2DB9}"/>
    <cellStyle name="Input 5 2 10" xfId="10238" xr:uid="{3395E821-A1BD-4071-89D3-2C46BCF9398D}"/>
    <cellStyle name="Input 5 2 11" xfId="12930" xr:uid="{BF29E666-616D-4F36-8DDF-1447ECA74E76}"/>
    <cellStyle name="Input 5 2 2" xfId="7256" xr:uid="{F2739643-2B1D-4142-A689-2A092D91506E}"/>
    <cellStyle name="Input 5 2 2 10" xfId="12077" xr:uid="{8CC105FF-A7F8-4863-BB8E-12F155B8AA12}"/>
    <cellStyle name="Input 5 2 2 2" xfId="8896" xr:uid="{77B07F18-C373-4EAC-9604-E6B414BED462}"/>
    <cellStyle name="Input 5 2 2 2 2" xfId="13547" xr:uid="{1E629C98-F27F-420F-8637-FD8002EA55B4}"/>
    <cellStyle name="Input 5 2 2 2 3" xfId="14551" xr:uid="{F37F65FE-4E45-42AF-B6DB-35E4C41BECE6}"/>
    <cellStyle name="Input 5 2 2 2 4" xfId="15509" xr:uid="{434546CE-50E8-4985-8F7D-B3E2D458D253}"/>
    <cellStyle name="Input 5 2 2 2 5" xfId="16434" xr:uid="{2C612824-0844-4EA2-88C7-8406551020B4}"/>
    <cellStyle name="Input 5 2 2 2 6" xfId="17305" xr:uid="{78320EAE-349F-42E0-86CD-DCF6DA142E02}"/>
    <cellStyle name="Input 5 2 2 2 7" xfId="18151" xr:uid="{94123ED8-E8B1-4047-83E7-36988C227055}"/>
    <cellStyle name="Input 5 2 2 2 8" xfId="18911" xr:uid="{5B4D259B-F14B-499C-BA65-0CE0C9309255}"/>
    <cellStyle name="Input 5 2 2 3" xfId="9738" xr:uid="{7E4396F4-049D-4F45-B606-B5B522B5A6AD}"/>
    <cellStyle name="Input 5 2 2 3 2" xfId="14142" xr:uid="{058ABBFD-C11F-4E74-9921-E619357BF0FD}"/>
    <cellStyle name="Input 5 2 2 3 3" xfId="15102" xr:uid="{9873F5B7-70F5-4A54-B88F-A7F0ABBEB8D1}"/>
    <cellStyle name="Input 5 2 2 3 4" xfId="16054" xr:uid="{0026639F-4F10-482E-860D-F8F44F6B1DF5}"/>
    <cellStyle name="Input 5 2 2 3 5" xfId="16928" xr:uid="{21D6569C-49A5-46D9-B7F1-EDEFBF3BC32C}"/>
    <cellStyle name="Input 5 2 2 3 6" xfId="17793" xr:uid="{DDC68D48-A7C8-42A7-A369-6413E89E7068}"/>
    <cellStyle name="Input 5 2 2 3 7" xfId="18569" xr:uid="{DEA3AF75-217F-41DD-83EF-1624DB62A5FD}"/>
    <cellStyle name="Input 5 2 2 3 8" xfId="19326" xr:uid="{06CDEAAF-1D30-49DC-8708-BD849097B542}"/>
    <cellStyle name="Input 5 2 2 4" xfId="12519" xr:uid="{30C59966-35EE-43FD-93B4-64010CFB5B48}"/>
    <cellStyle name="Input 5 2 2 5" xfId="10362" xr:uid="{7CB09C84-229B-4F39-A6BC-4D0BE09668C6}"/>
    <cellStyle name="Input 5 2 2 6" xfId="12924" xr:uid="{2AA870BD-5875-41E3-96B2-E816382D5C8F}"/>
    <cellStyle name="Input 5 2 2 7" xfId="10060" xr:uid="{91843B4C-8D74-4ABB-BFB7-60F0E9EDAD5C}"/>
    <cellStyle name="Input 5 2 2 8" xfId="12151" xr:uid="{9B8A1E1E-FB20-491B-B13F-4B2EFFB8272E}"/>
    <cellStyle name="Input 5 2 2 9" xfId="10708" xr:uid="{B1066627-2B37-4561-89C2-DEB9B693F5A8}"/>
    <cellStyle name="Input 5 2 3" xfId="8487" xr:uid="{CEE8A952-A408-4497-B0DD-76B32E254827}"/>
    <cellStyle name="Input 5 2 3 2" xfId="13227" xr:uid="{888249FC-585C-425D-8787-D2DFE53C54C5}"/>
    <cellStyle name="Input 5 2 3 3" xfId="14247" xr:uid="{55CBC4C0-4F3C-4EAB-9852-FA784361337A}"/>
    <cellStyle name="Input 5 2 3 4" xfId="15207" xr:uid="{23F2C65A-A5E9-4EFC-AEF5-3A2B56B5AFBA}"/>
    <cellStyle name="Input 5 2 3 5" xfId="16156" xr:uid="{8F532732-5C7B-4C35-BED6-53F2BDC714FB}"/>
    <cellStyle name="Input 5 2 3 6" xfId="17029" xr:uid="{0B2B28F4-F1F4-47D4-93D0-CBAF71B085E5}"/>
    <cellStyle name="Input 5 2 3 7" xfId="17894" xr:uid="{45C13659-A480-49C0-9B93-27DF3A4A30A1}"/>
    <cellStyle name="Input 5 2 3 8" xfId="18670" xr:uid="{4D9C4EA0-456C-451F-B93D-8797265A6722}"/>
    <cellStyle name="Input 5 2 4" xfId="9497" xr:uid="{05050537-83A8-4F2D-8E91-E24E6175F953}"/>
    <cellStyle name="Input 5 2 4 2" xfId="13901" xr:uid="{C47913E3-C65F-42DD-91DB-CE3DA3A47391}"/>
    <cellStyle name="Input 5 2 4 3" xfId="14861" xr:uid="{3FADD006-355A-478D-90A7-4D3C8C0FCEB5}"/>
    <cellStyle name="Input 5 2 4 4" xfId="15813" xr:uid="{0B39035C-81F4-4F93-AD1A-CBEFFEBE8D92}"/>
    <cellStyle name="Input 5 2 4 5" xfId="16687" xr:uid="{CC11B174-D786-4773-B1A5-604F4620308A}"/>
    <cellStyle name="Input 5 2 4 6" xfId="17552" xr:uid="{AD61A96D-4054-42C7-BF0D-8FF647920B4E}"/>
    <cellStyle name="Input 5 2 4 7" xfId="18328" xr:uid="{39A505ED-06BE-459C-9B85-609466942596}"/>
    <cellStyle name="Input 5 2 4 8" xfId="19085" xr:uid="{648CC86C-1915-4F4C-B8DC-FCA572B2E085}"/>
    <cellStyle name="Input 5 2 5" xfId="12198" xr:uid="{51ACB8A5-F710-4FA6-98EC-B89DE6794663}"/>
    <cellStyle name="Input 5 2 6" xfId="10667" xr:uid="{FAA2D755-8686-453E-AA0A-059685AF10DF}"/>
    <cellStyle name="Input 5 2 7" xfId="12913" xr:uid="{4E6B9260-D4C3-4AB8-9D29-DECAC1477E12}"/>
    <cellStyle name="Input 5 2 8" xfId="10071" xr:uid="{4A039C06-6853-44B9-8B40-28CEA50E6BE5}"/>
    <cellStyle name="Input 5 2 9" xfId="12683" xr:uid="{52B4F6CC-A178-4084-A5C3-9ECFECAD9B19}"/>
    <cellStyle name="Input 5 3" xfId="7015" xr:uid="{2CF91C01-865D-4585-A942-259AFA2D7FA0}"/>
    <cellStyle name="Input 5 3 10" xfId="11972" xr:uid="{D49D0F35-47BF-493D-B7BC-8E84203ED7AF}"/>
    <cellStyle name="Input 5 3 2" xfId="8655" xr:uid="{22FABBC5-9224-475D-AB53-DC6301574327}"/>
    <cellStyle name="Input 5 3 2 2" xfId="13375" xr:uid="{57AEBD70-D859-4D32-A6D8-A9843552B522}"/>
    <cellStyle name="Input 5 3 2 3" xfId="14389" xr:uid="{ED117A60-E351-4396-93B0-8D39529CC1DA}"/>
    <cellStyle name="Input 5 3 2 4" xfId="15347" xr:uid="{6E53044A-8FB6-491F-A36C-2414D03AE981}"/>
    <cellStyle name="Input 5 3 2 5" xfId="16291" xr:uid="{18451B21-9184-462E-9268-FE6D885417B7}"/>
    <cellStyle name="Input 5 3 2 6" xfId="17164" xr:uid="{B56EEBD0-AA74-4899-A237-EE1A2E15921D}"/>
    <cellStyle name="Input 5 3 2 7" xfId="18029" xr:uid="{C126BF34-7EE5-4A6B-836E-8F8FCEB45B32}"/>
    <cellStyle name="Input 5 3 2 8" xfId="18797" xr:uid="{3B9977ED-DCAE-423D-A751-FC42185D92BC}"/>
    <cellStyle name="Input 5 3 3" xfId="9624" xr:uid="{4607F2A0-CD98-4E10-9F57-19B094DD631A}"/>
    <cellStyle name="Input 5 3 3 2" xfId="14028" xr:uid="{CB0AAA72-3EF1-4FB7-BDDE-3A33898E0C2D}"/>
    <cellStyle name="Input 5 3 3 3" xfId="14988" xr:uid="{36C2BE07-6746-41A0-9C60-E5BEF45043C0}"/>
    <cellStyle name="Input 5 3 3 4" xfId="15940" xr:uid="{0FA1AB1B-42F8-435E-AF9D-CDC4F3F7AF6F}"/>
    <cellStyle name="Input 5 3 3 5" xfId="16814" xr:uid="{8128D01D-CCF1-4A70-8FDE-C3EC8B5D2171}"/>
    <cellStyle name="Input 5 3 3 6" xfId="17679" xr:uid="{03E27EEC-5BA1-4D7B-855B-E2D052AE1BE2}"/>
    <cellStyle name="Input 5 3 3 7" xfId="18455" xr:uid="{082955A8-F381-4F91-8841-60FA20714DD6}"/>
    <cellStyle name="Input 5 3 3 8" xfId="19212" xr:uid="{4F00718D-27FC-4655-9DB4-95D8BB060570}"/>
    <cellStyle name="Input 5 3 4" xfId="12346" xr:uid="{3AE6A625-C6E1-462A-944B-3FE18BAC11F1}"/>
    <cellStyle name="Input 5 3 5" xfId="10524" xr:uid="{3524C5B0-56B2-4D4F-A845-16B6B8D38BC7}"/>
    <cellStyle name="Input 5 3 6" xfId="12618" xr:uid="{446A8C1D-F6DC-492C-9067-D302FAFE5961}"/>
    <cellStyle name="Input 5 3 7" xfId="10287" xr:uid="{0B0030A1-CB6A-475E-91B1-C0F325F59C17}"/>
    <cellStyle name="Input 5 3 8" xfId="12124" xr:uid="{59C4C12C-4C59-4FE3-8128-271AD8A41447}"/>
    <cellStyle name="Input 5 3 9" xfId="10731" xr:uid="{7B4926AC-FA53-4E9B-95C3-8A5318474824}"/>
    <cellStyle name="Input 5 4" xfId="7838" xr:uid="{3AC4B1E2-6E20-4889-944F-252965FFC79A}"/>
    <cellStyle name="Input 5 4 2" xfId="12860" xr:uid="{05DC37E6-0181-4730-B88C-F3B64761FD0F}"/>
    <cellStyle name="Input 5 4 3" xfId="10115" xr:uid="{F017A779-597F-46F1-8288-BC5790B7DB39}"/>
    <cellStyle name="Input 5 4 4" xfId="12137" xr:uid="{73C27B16-B9E7-42E4-A2BB-E7F58409B62F}"/>
    <cellStyle name="Input 5 4 5" xfId="10718" xr:uid="{AAF2BF98-E423-4336-8167-4C19A1793AD6}"/>
    <cellStyle name="Input 5 4 6" xfId="13108" xr:uid="{86C8AEB2-CB5B-4A2C-8E77-2B7C241755C7}"/>
    <cellStyle name="Input 5 4 7" xfId="9915" xr:uid="{34F4D127-7DB2-4D3B-A62B-00D8E9AE9893}"/>
    <cellStyle name="Input 5 4 8" xfId="13321" xr:uid="{9C887EFB-2935-40CC-8D85-65DD9933D45E}"/>
    <cellStyle name="Input 5 5" xfId="7807" xr:uid="{E154C9AD-3CF0-4CA3-9194-78A06488407A}"/>
    <cellStyle name="Input 5 5 2" xfId="12829" xr:uid="{6C1A3FB7-F875-43E7-ACBD-B7421F803C3E}"/>
    <cellStyle name="Input 5 5 3" xfId="10145" xr:uid="{8A92D6AC-27DF-4857-9BF8-6D65BF7F1E8E}"/>
    <cellStyle name="Input 5 5 4" xfId="12028" xr:uid="{3B977553-FE80-4FEC-9392-8BBEF06245F1}"/>
    <cellStyle name="Input 5 5 5" xfId="10806" xr:uid="{9059203F-E2FF-415F-AFC1-7CA9C1A9A6D8}"/>
    <cellStyle name="Input 5 5 6" xfId="11613" xr:uid="{315694E8-CC1D-42F9-952D-70D772EAC4C5}"/>
    <cellStyle name="Input 5 5 7" xfId="11146" xr:uid="{EF4283F2-4CE2-4408-8FBA-14925CB7155B}"/>
    <cellStyle name="Input 5 5 8" xfId="13574" xr:uid="{A1E98800-7830-471D-B3E3-A9881BC89ACA}"/>
    <cellStyle name="Input 5 6" xfId="11372" xr:uid="{798062C1-30F6-4D02-BAA9-FC0D3A851C99}"/>
    <cellStyle name="Input 5 7" xfId="11339" xr:uid="{E83EDAFF-EBCB-415F-A525-DDE6C2FB299B}"/>
    <cellStyle name="Input 5 8" xfId="11391" xr:uid="{870682E8-67C3-4105-91A1-E50AA15B5E1D}"/>
    <cellStyle name="Input 5 9" xfId="11320" xr:uid="{302D06A0-10E7-4EFA-8B0C-A7ED36DED464}"/>
    <cellStyle name="Input 6" xfId="5145" xr:uid="{61546F9E-BE12-4587-8A59-BC6F3AF6DE78}"/>
    <cellStyle name="Input 6 10" xfId="11411" xr:uid="{390B2A1A-DFF1-4DFF-997D-08D74E4B2ACE}"/>
    <cellStyle name="Input 6 11" xfId="11301" xr:uid="{A0D95030-DEB4-4FB2-ABEC-B8A0C5C02231}"/>
    <cellStyle name="Input 6 12" xfId="12524" xr:uid="{8C578017-2D4C-4691-A66A-B04144494A21}"/>
    <cellStyle name="Input 6 2" xfId="6846" xr:uid="{4E0DDAB1-A3C1-45FB-B4DA-DD4702D6ABAE}"/>
    <cellStyle name="Input 6 2 10" xfId="16300" xr:uid="{4C8667CB-2917-4684-A8BC-41AAFB8059A8}"/>
    <cellStyle name="Input 6 2 11" xfId="17172" xr:uid="{969996FB-A3AC-49EB-84B8-27DBF9B85C05}"/>
    <cellStyle name="Input 6 2 2" xfId="7257" xr:uid="{7CFBF6FE-246C-4A83-91AF-E8CDC6141A81}"/>
    <cellStyle name="Input 6 2 2 10" xfId="11996" xr:uid="{6F924D9F-8B5B-4529-85DE-B56E47A5C14A}"/>
    <cellStyle name="Input 6 2 2 2" xfId="8897" xr:uid="{35C3890A-723C-43A0-8D0B-52D36127FB5E}"/>
    <cellStyle name="Input 6 2 2 2 2" xfId="13548" xr:uid="{4F2FD5D5-41B3-4BBC-903E-0720F1B377C8}"/>
    <cellStyle name="Input 6 2 2 2 3" xfId="14552" xr:uid="{60B77399-5C49-470E-AD37-1733DD88EA37}"/>
    <cellStyle name="Input 6 2 2 2 4" xfId="15510" xr:uid="{430188E1-2EF8-4123-9680-370E835CAAA5}"/>
    <cellStyle name="Input 6 2 2 2 5" xfId="16435" xr:uid="{5C7B5999-3AA7-481A-90C6-2BFD36B2255E}"/>
    <cellStyle name="Input 6 2 2 2 6" xfId="17306" xr:uid="{27B339B6-10FA-4C39-ACC6-7BD7E415D038}"/>
    <cellStyle name="Input 6 2 2 2 7" xfId="18152" xr:uid="{EE7D7E7B-F6C0-4F92-BE06-8B1F690923A0}"/>
    <cellStyle name="Input 6 2 2 2 8" xfId="18912" xr:uid="{EA716DB9-CAB0-40DD-961D-5FBCBBBED03F}"/>
    <cellStyle name="Input 6 2 2 3" xfId="9739" xr:uid="{B1CE505D-CD25-4A1C-B05F-DB8CA55521E1}"/>
    <cellStyle name="Input 6 2 2 3 2" xfId="14143" xr:uid="{582D58A0-29A5-4564-90BC-EDB77BE4F8A3}"/>
    <cellStyle name="Input 6 2 2 3 3" xfId="15103" xr:uid="{60125943-698B-4C96-B624-A8F9D2FF0CB7}"/>
    <cellStyle name="Input 6 2 2 3 4" xfId="16055" xr:uid="{B1EF03F6-788E-49E3-A664-9FEC3BCFE391}"/>
    <cellStyle name="Input 6 2 2 3 5" xfId="16929" xr:uid="{BF97A511-17C9-4755-8FC6-1D5AF874555F}"/>
    <cellStyle name="Input 6 2 2 3 6" xfId="17794" xr:uid="{47036F3C-C150-4F61-9EF5-C68271C28C0E}"/>
    <cellStyle name="Input 6 2 2 3 7" xfId="18570" xr:uid="{107FBD6E-7B54-413A-B163-0896D71D832D}"/>
    <cellStyle name="Input 6 2 2 3 8" xfId="19327" xr:uid="{BF3A0683-70FE-407B-84B1-33707DE1C55B}"/>
    <cellStyle name="Input 6 2 2 4" xfId="12520" xr:uid="{FBE8F643-D8E4-4046-9DC3-084FE1BFE67F}"/>
    <cellStyle name="Input 6 2 2 5" xfId="10361" xr:uid="{55D10325-62A8-4E44-92EA-AD5CB8B3D753}"/>
    <cellStyle name="Input 6 2 2 6" xfId="11733" xr:uid="{7DEDA237-A665-4623-A808-B2837546B789}"/>
    <cellStyle name="Input 6 2 2 7" xfId="11054" xr:uid="{FED0F36D-0429-499F-B87A-55210E99CA42}"/>
    <cellStyle name="Input 6 2 2 8" xfId="12876" xr:uid="{0CCE7173-7AD9-4AD3-BADE-A260723E6801}"/>
    <cellStyle name="Input 6 2 2 9" xfId="10103" xr:uid="{4766C31D-1714-48D8-B74B-DA57DDE3965F}"/>
    <cellStyle name="Input 6 2 3" xfId="8486" xr:uid="{DAFD1D1B-A17A-41B2-BAD7-79FC750349B0}"/>
    <cellStyle name="Input 6 2 3 2" xfId="13226" xr:uid="{EA3A848F-B220-46F7-866B-80FB0B09EA5E}"/>
    <cellStyle name="Input 6 2 3 3" xfId="14246" xr:uid="{194CC288-0803-4A1D-826F-269F35EBD5B9}"/>
    <cellStyle name="Input 6 2 3 4" xfId="15206" xr:uid="{47782B6E-2340-4428-ACC8-E1849FE641B6}"/>
    <cellStyle name="Input 6 2 3 5" xfId="16155" xr:uid="{317CC58D-ACA1-4D05-9B9C-8174827C19D4}"/>
    <cellStyle name="Input 6 2 3 6" xfId="17028" xr:uid="{42BB0160-A946-4FFE-AAAD-D7F2710DE171}"/>
    <cellStyle name="Input 6 2 3 7" xfId="17893" xr:uid="{545AB277-B3A7-4257-88E4-1ADCA9F3A459}"/>
    <cellStyle name="Input 6 2 3 8" xfId="18669" xr:uid="{5442598E-ADFB-4EE4-B576-AE891A37F2A2}"/>
    <cellStyle name="Input 6 2 4" xfId="9496" xr:uid="{B27CF51A-24F7-47E2-9A6C-33502DE49807}"/>
    <cellStyle name="Input 6 2 4 2" xfId="13900" xr:uid="{94ABC298-B154-460D-96F4-05563F8DFBCC}"/>
    <cellStyle name="Input 6 2 4 3" xfId="14860" xr:uid="{1A7CBCA8-457B-47F5-801D-72B42CCB9376}"/>
    <cellStyle name="Input 6 2 4 4" xfId="15812" xr:uid="{D418FE75-A6FE-40E7-B099-BE66A392E0BD}"/>
    <cellStyle name="Input 6 2 4 5" xfId="16686" xr:uid="{C20D5385-B5F2-459A-89CF-6D36B2B3BAB6}"/>
    <cellStyle name="Input 6 2 4 6" xfId="17551" xr:uid="{2BE195B9-9467-4785-B376-68790719C100}"/>
    <cellStyle name="Input 6 2 4 7" xfId="18327" xr:uid="{6A606852-6318-4E38-9FBC-6728FAC594BE}"/>
    <cellStyle name="Input 6 2 4 8" xfId="19084" xr:uid="{4A0608E5-B06E-4321-9DE3-A4115B073869}"/>
    <cellStyle name="Input 6 2 5" xfId="12197" xr:uid="{B2DB4372-FDB1-4A42-9D8A-52622200BC2C}"/>
    <cellStyle name="Input 6 2 6" xfId="10668" xr:uid="{FD817289-835E-4F2C-9474-BC1B7FB3B93C}"/>
    <cellStyle name="Input 6 2 7" xfId="13402" xr:uid="{CC99EBD2-2454-467E-98FF-81F8D4AFD5DA}"/>
    <cellStyle name="Input 6 2 8" xfId="14411" xr:uid="{2C594BEE-3256-4973-BC88-4FA7E1900EDB}"/>
    <cellStyle name="Input 6 2 9" xfId="15369" xr:uid="{1F8DCE26-DA1A-4241-89D2-A3A7B65D7EEB}"/>
    <cellStyle name="Input 6 3" xfId="7016" xr:uid="{8BC694E2-9432-4C90-9AE2-7C1B401DF4C8}"/>
    <cellStyle name="Input 6 3 10" xfId="17338" xr:uid="{DBC29844-8E83-43F7-AC1D-AB8E9BD56EFD}"/>
    <cellStyle name="Input 6 3 2" xfId="8656" xr:uid="{412CA135-5C7A-4313-969B-C10C5C618EDA}"/>
    <cellStyle name="Input 6 3 2 2" xfId="13376" xr:uid="{5C16F628-4D80-4702-8760-4EBAF75699BF}"/>
    <cellStyle name="Input 6 3 2 3" xfId="14390" xr:uid="{451B558E-EB92-47FE-92A8-0651F16B226B}"/>
    <cellStyle name="Input 6 3 2 4" xfId="15348" xr:uid="{EE0DE0FF-76E8-4E72-A098-3C0790DA45A4}"/>
    <cellStyle name="Input 6 3 2 5" xfId="16292" xr:uid="{F1C38C33-E98C-4802-B7F2-C4E76CD5A383}"/>
    <cellStyle name="Input 6 3 2 6" xfId="17165" xr:uid="{39A28A50-4815-4841-8EF0-8C2632C03880}"/>
    <cellStyle name="Input 6 3 2 7" xfId="18030" xr:uid="{49E45903-E1E7-4E24-B4CF-B2715076CB8C}"/>
    <cellStyle name="Input 6 3 2 8" xfId="18798" xr:uid="{D1126F9A-9D22-4FAC-B41D-F403C8F76FCC}"/>
    <cellStyle name="Input 6 3 3" xfId="9625" xr:uid="{18045222-1868-46EF-9781-348A81B42114}"/>
    <cellStyle name="Input 6 3 3 2" xfId="14029" xr:uid="{2F771A47-21D3-4216-BCAE-ADF3ADEDE1EE}"/>
    <cellStyle name="Input 6 3 3 3" xfId="14989" xr:uid="{18F04E70-2367-47A4-9AF3-E673EA40F943}"/>
    <cellStyle name="Input 6 3 3 4" xfId="15941" xr:uid="{E2716817-625C-4543-922E-2BD7FDCC6A9C}"/>
    <cellStyle name="Input 6 3 3 5" xfId="16815" xr:uid="{6180FBFD-BBFB-4F43-B2E2-1AF1394A19DF}"/>
    <cellStyle name="Input 6 3 3 6" xfId="17680" xr:uid="{A72C5D0F-2E36-4B2C-AEFF-0A66A7A9A564}"/>
    <cellStyle name="Input 6 3 3 7" xfId="18456" xr:uid="{81FBFB2E-5DCC-4F5A-A3CA-0DBDA247C7E3}"/>
    <cellStyle name="Input 6 3 3 8" xfId="19213" xr:uid="{705BCB32-683B-4651-A9CD-CAAA8D1D6CBB}"/>
    <cellStyle name="Input 6 3 4" xfId="12347" xr:uid="{EBD2F8EB-B47F-4091-A4E5-8F4883149C2F}"/>
    <cellStyle name="Input 6 3 5" xfId="10523" xr:uid="{BAE2BDA0-63F0-4FD1-BFC7-8BD0748F7148}"/>
    <cellStyle name="Input 6 3 6" xfId="13639" xr:uid="{3C8AB56E-43B9-4965-B71A-0B03CCA54684}"/>
    <cellStyle name="Input 6 3 7" xfId="14617" xr:uid="{DA6A996C-6429-4ED7-8D84-424630F66697}"/>
    <cellStyle name="Input 6 3 8" xfId="15570" xr:uid="{57B5C37C-1C11-42E2-8659-2278933A1CC5}"/>
    <cellStyle name="Input 6 3 9" xfId="16469" xr:uid="{D16B757D-3CB7-449A-93D4-834738E3342B}"/>
    <cellStyle name="Input 6 4" xfId="7839" xr:uid="{60579BB7-ACBF-4561-9A82-0D6F88A7319F}"/>
    <cellStyle name="Input 6 4 2" xfId="12861" xr:uid="{15533A50-1169-4DCC-88B0-E976F31697D1}"/>
    <cellStyle name="Input 6 4 3" xfId="10114" xr:uid="{48EBB3E0-EB4D-4A94-9A4C-9C16C664FFED}"/>
    <cellStyle name="Input 6 4 4" xfId="12674" xr:uid="{770FA1CF-9475-4001-A64D-66F7AFDB3AC7}"/>
    <cellStyle name="Input 6 4 5" xfId="10243" xr:uid="{707A38EC-86E3-4071-A0EA-4DC25813F87A}"/>
    <cellStyle name="Input 6 4 6" xfId="12929" xr:uid="{D32130BE-8A5D-4556-B3A9-EA31E0DA80ED}"/>
    <cellStyle name="Input 6 4 7" xfId="10057" xr:uid="{631DD4A4-4653-4CBD-97FF-142BBE07CD2C}"/>
    <cellStyle name="Input 6 4 8" xfId="12152" xr:uid="{A60AF854-4F7F-436B-B00D-CB28B3FED45F}"/>
    <cellStyle name="Input 6 5" xfId="7806" xr:uid="{6D07B195-E538-4E76-8B9D-B49818511AF1}"/>
    <cellStyle name="Input 6 5 2" xfId="12828" xr:uid="{D802E457-D82D-4EFF-9092-12ACD9C51CAB}"/>
    <cellStyle name="Input 6 5 3" xfId="10146" xr:uid="{691EB3BB-093A-4649-B7F7-6E99B858A826}"/>
    <cellStyle name="Input 6 5 4" xfId="12004" xr:uid="{84688F73-D703-4470-A07E-E63A159E3AF8}"/>
    <cellStyle name="Input 6 5 5" xfId="10828" xr:uid="{1F4AD3A8-1B6D-454D-A3C8-BAB6FEB1D2BE}"/>
    <cellStyle name="Input 6 5 6" xfId="11594" xr:uid="{730218ED-232B-4624-8F1B-C6FF6CE127F1}"/>
    <cellStyle name="Input 6 5 7" xfId="11164" xr:uid="{D55415F9-C32D-4307-92C1-A49DBCCB304A}"/>
    <cellStyle name="Input 6 5 8" xfId="12544" xr:uid="{E6F76523-1149-417F-AD1B-FD28B7593D39}"/>
    <cellStyle name="Input 6 6" xfId="11373" xr:uid="{C2C855E5-0D60-49AF-9821-D7D1F389594A}"/>
    <cellStyle name="Input 6 7" xfId="11338" xr:uid="{4E2E2925-28A7-4F0B-BC9B-58014290D294}"/>
    <cellStyle name="Input 6 8" xfId="11392" xr:uid="{C938A449-8C1D-4A3C-AD85-6BE68A1E9A65}"/>
    <cellStyle name="Input 6 9" xfId="11319" xr:uid="{6831558C-EFCB-401F-B076-31E39E585956}"/>
    <cellStyle name="Input 7" xfId="5146" xr:uid="{ADB22E76-D174-4D0C-AC02-E3E47D64CEE7}"/>
    <cellStyle name="Input 7 10" xfId="11412" xr:uid="{771BB498-8C09-4075-B678-0500392A1F84}"/>
    <cellStyle name="Input 7 11" xfId="11300" xr:uid="{49292CAC-77DF-493E-B28D-BAE4B9379F40}"/>
    <cellStyle name="Input 7 12" xfId="13552" xr:uid="{22D65709-3A44-42D0-9EE8-3B1C19CBB8B3}"/>
    <cellStyle name="Input 7 2" xfId="6845" xr:uid="{E45D18A9-A8EE-4B5E-BF25-E985ED7C41B1}"/>
    <cellStyle name="Input 7 2 10" xfId="10746" xr:uid="{F274B02E-4C0A-481B-8F28-876611EC980F}"/>
    <cellStyle name="Input 7 2 11" xfId="11661" xr:uid="{4A431A1B-DFB3-4806-BFB3-8A7397037DB1}"/>
    <cellStyle name="Input 7 2 2" xfId="7258" xr:uid="{EA35E3A6-AA6D-48B1-90F5-B326183F4ED7}"/>
    <cellStyle name="Input 7 2 2 10" xfId="11956" xr:uid="{0AF60E2D-AFFE-4C45-B049-65B178F561BE}"/>
    <cellStyle name="Input 7 2 2 2" xfId="8898" xr:uid="{332C5419-AE0E-4779-BA75-45B07B45F62E}"/>
    <cellStyle name="Input 7 2 2 2 2" xfId="13549" xr:uid="{02E53040-51AD-47A3-9D95-3621F23F978B}"/>
    <cellStyle name="Input 7 2 2 2 3" xfId="14553" xr:uid="{80EECA30-2AA4-4CAF-ABB0-606DE5F7611B}"/>
    <cellStyle name="Input 7 2 2 2 4" xfId="15511" xr:uid="{E3FCBB89-1997-4A0A-9B8A-4029682EC67C}"/>
    <cellStyle name="Input 7 2 2 2 5" xfId="16436" xr:uid="{5F2620F0-E7BF-4A0B-9D84-39FCCB8989D5}"/>
    <cellStyle name="Input 7 2 2 2 6" xfId="17307" xr:uid="{BF0A819F-197D-4E5E-8577-EF62CD4956C9}"/>
    <cellStyle name="Input 7 2 2 2 7" xfId="18153" xr:uid="{0CC0CF9C-D684-4481-A7FE-D17592851F89}"/>
    <cellStyle name="Input 7 2 2 2 8" xfId="18913" xr:uid="{E373DD0C-40EB-417E-97B2-37A6ED12BF59}"/>
    <cellStyle name="Input 7 2 2 3" xfId="9740" xr:uid="{7CD3B9CC-E6A4-45DE-88E4-049DC38BF186}"/>
    <cellStyle name="Input 7 2 2 3 2" xfId="14144" xr:uid="{263111A4-15E6-4295-8FB0-1745C0DC4FF5}"/>
    <cellStyle name="Input 7 2 2 3 3" xfId="15104" xr:uid="{C0D594D6-C8FB-4E40-AF7C-25AEA65FA946}"/>
    <cellStyle name="Input 7 2 2 3 4" xfId="16056" xr:uid="{CD29F79B-D7D0-4DCD-82DF-EEC31A5C2AB1}"/>
    <cellStyle name="Input 7 2 2 3 5" xfId="16930" xr:uid="{E7B28164-D355-4366-B2AA-7FDD89851C9C}"/>
    <cellStyle name="Input 7 2 2 3 6" xfId="17795" xr:uid="{95FCF8D0-DC3F-4CA2-8479-EC766D439B88}"/>
    <cellStyle name="Input 7 2 2 3 7" xfId="18571" xr:uid="{877301F8-CE1B-4174-A0F0-04695DC4D956}"/>
    <cellStyle name="Input 7 2 2 3 8" xfId="19328" xr:uid="{2E50D5E3-9700-43FF-A948-34BD38D5B2BD}"/>
    <cellStyle name="Input 7 2 2 4" xfId="12521" xr:uid="{7918ED86-55F5-454E-BD8B-27B829B82171}"/>
    <cellStyle name="Input 7 2 2 5" xfId="10360" xr:uid="{26357191-FE41-47CB-830B-A721D64FBBEF}"/>
    <cellStyle name="Input 7 2 2 6" xfId="11734" xr:uid="{98BC7075-EE48-4F29-A054-496985E96251}"/>
    <cellStyle name="Input 7 2 2 7" xfId="11053" xr:uid="{21CDF0D9-1695-4FB2-8FBE-CA0B3BF3C177}"/>
    <cellStyle name="Input 7 2 2 8" xfId="11453" xr:uid="{49780340-A63E-42B6-A874-824727A21436}"/>
    <cellStyle name="Input 7 2 2 9" xfId="11275" xr:uid="{1EE82DE4-C47E-4AF3-81C3-56C9179634F4}"/>
    <cellStyle name="Input 7 2 3" xfId="8485" xr:uid="{721F7F1A-28C4-4262-86B4-DAB8A8D740FE}"/>
    <cellStyle name="Input 7 2 3 2" xfId="13225" xr:uid="{1522E175-F2BC-4AF8-886A-0DDA7C10BB30}"/>
    <cellStyle name="Input 7 2 3 3" xfId="14245" xr:uid="{B8DC5375-2F14-4A29-82AA-1DD8720CE79A}"/>
    <cellStyle name="Input 7 2 3 4" xfId="15205" xr:uid="{2A75B395-E726-48FC-8C99-BF63188E6FC3}"/>
    <cellStyle name="Input 7 2 3 5" xfId="16154" xr:uid="{55DB7255-6263-4ABB-875C-489A677065F4}"/>
    <cellStyle name="Input 7 2 3 6" xfId="17027" xr:uid="{1847FF53-FC20-4DAC-B6BC-3ED442E02A87}"/>
    <cellStyle name="Input 7 2 3 7" xfId="17892" xr:uid="{B320FD17-F2C4-4D69-BD68-478A7380B5F1}"/>
    <cellStyle name="Input 7 2 3 8" xfId="18668" xr:uid="{780CCDC2-3AEF-4E3A-B8D2-7503F467C251}"/>
    <cellStyle name="Input 7 2 4" xfId="9495" xr:uid="{CEC1DB0E-A984-4C8A-BB50-CB1DAEAAC86C}"/>
    <cellStyle name="Input 7 2 4 2" xfId="13899" xr:uid="{98622310-DEEB-4BD1-9232-8DD21A21D400}"/>
    <cellStyle name="Input 7 2 4 3" xfId="14859" xr:uid="{7211F6D6-D6AB-455A-995C-CB0832ED0A3C}"/>
    <cellStyle name="Input 7 2 4 4" xfId="15811" xr:uid="{C024904F-1F88-4E9E-B0EB-57D1EDBCF79B}"/>
    <cellStyle name="Input 7 2 4 5" xfId="16685" xr:uid="{03AFEDB3-8705-4462-BD10-C2C6DC75C56C}"/>
    <cellStyle name="Input 7 2 4 6" xfId="17550" xr:uid="{42E3A261-20B9-4B75-AE30-005750E78EDF}"/>
    <cellStyle name="Input 7 2 4 7" xfId="18326" xr:uid="{D61DD2FD-3DAD-4539-A61A-62846C8BBDF6}"/>
    <cellStyle name="Input 7 2 4 8" xfId="19083" xr:uid="{4E283441-ABF0-4D67-8D8A-4F9E6772DC5B}"/>
    <cellStyle name="Input 7 2 5" xfId="12196" xr:uid="{3E74127C-6E80-47C7-9445-95DBACC77857}"/>
    <cellStyle name="Input 7 2 6" xfId="10669" xr:uid="{321F2A83-27E5-479F-95F8-F3D2673A4716}"/>
    <cellStyle name="Input 7 2 7" xfId="12369" xr:uid="{325E015F-05C8-42D5-AE00-CB8F25B1A532}"/>
    <cellStyle name="Input 7 2 8" xfId="10505" xr:uid="{D5067E89-3B83-4C4C-99DA-E722C4EC726F}"/>
    <cellStyle name="Input 7 2 9" xfId="12106" xr:uid="{09340414-D09C-4DCF-9AE2-D10C3C62539B}"/>
    <cellStyle name="Input 7 3" xfId="7017" xr:uid="{A4A4F7AE-8F37-49A0-8EC5-66549C9F9BCB}"/>
    <cellStyle name="Input 7 3 10" xfId="11896" xr:uid="{FC01ED69-911F-4552-97D6-71ACAED3D352}"/>
    <cellStyle name="Input 7 3 2" xfId="8657" xr:uid="{CE17919E-81C7-4330-8EE6-10C275BE7515}"/>
    <cellStyle name="Input 7 3 2 2" xfId="13377" xr:uid="{535AFDC5-AF74-4617-BC82-E8AAF3E56ABD}"/>
    <cellStyle name="Input 7 3 2 3" xfId="14391" xr:uid="{3A0E9041-D050-485C-AC11-28DD5380AB46}"/>
    <cellStyle name="Input 7 3 2 4" xfId="15349" xr:uid="{F986868B-9B09-47D8-A5ED-3AFC5640EBF1}"/>
    <cellStyle name="Input 7 3 2 5" xfId="16293" xr:uid="{089E4E15-33F6-4425-B4D2-F66579E81678}"/>
    <cellStyle name="Input 7 3 2 6" xfId="17166" xr:uid="{0583EAA1-4B0D-4AA7-8AD1-7F8F51643D84}"/>
    <cellStyle name="Input 7 3 2 7" xfId="18031" xr:uid="{1278FE32-30EE-4E1A-9F31-05F7304367A3}"/>
    <cellStyle name="Input 7 3 2 8" xfId="18799" xr:uid="{C8F9F005-A399-47E7-9358-853324BE1BED}"/>
    <cellStyle name="Input 7 3 3" xfId="9626" xr:uid="{994D4F42-BA47-42E7-8387-FA8ADAFE9406}"/>
    <cellStyle name="Input 7 3 3 2" xfId="14030" xr:uid="{1C7423F9-1BD7-470F-8EF0-ECB21F39D592}"/>
    <cellStyle name="Input 7 3 3 3" xfId="14990" xr:uid="{9DC46E0D-9BBC-44F6-96F4-CC1084B91245}"/>
    <cellStyle name="Input 7 3 3 4" xfId="15942" xr:uid="{3D7924FE-4824-4884-A069-F75FB4F50193}"/>
    <cellStyle name="Input 7 3 3 5" xfId="16816" xr:uid="{A5FD26EC-6108-477D-8AED-ACB6B478A237}"/>
    <cellStyle name="Input 7 3 3 6" xfId="17681" xr:uid="{6952EBB9-8905-4E9D-802C-300147DD986E}"/>
    <cellStyle name="Input 7 3 3 7" xfId="18457" xr:uid="{4364CD6E-94DB-4F61-BAC9-D1CAE4CB7A76}"/>
    <cellStyle name="Input 7 3 3 8" xfId="19214" xr:uid="{AE172795-8533-4922-BC3A-736B766C1564}"/>
    <cellStyle name="Input 7 3 4" xfId="12348" xr:uid="{E5966D2E-2E22-48ED-9CAA-895E756D7966}"/>
    <cellStyle name="Input 7 3 5" xfId="10522" xr:uid="{819D14EF-DC6D-4CD1-8993-005E6415D954}"/>
    <cellStyle name="Input 7 3 6" xfId="13134" xr:uid="{F713ACFB-7E27-4688-BE73-1CFE478BDD2B}"/>
    <cellStyle name="Input 7 3 7" xfId="9893" xr:uid="{BA353A78-D311-4277-8F1C-43ADE3B58E57}"/>
    <cellStyle name="Input 7 3 8" xfId="13200" xr:uid="{69364EB0-8FEB-4ACF-B361-348CF628A943}"/>
    <cellStyle name="Input 7 3 9" xfId="9842" xr:uid="{693F047B-BF00-4A4E-9AE1-F635DBEC2086}"/>
    <cellStyle name="Input 7 4" xfId="7840" xr:uid="{3CCFD533-F985-4A76-879D-1D19AA155305}"/>
    <cellStyle name="Input 7 4 2" xfId="12862" xr:uid="{6CE62F9E-A266-47EB-8525-E52CD291663E}"/>
    <cellStyle name="Input 7 4 3" xfId="10113" xr:uid="{2B78FD81-0F99-48EE-B2C9-6FCFA9C726E6}"/>
    <cellStyle name="Input 7 4 4" xfId="13694" xr:uid="{BB4BC48B-0F44-495C-B17D-A6FD818263FF}"/>
    <cellStyle name="Input 7 4 5" xfId="14662" xr:uid="{EDF7C4AA-ECC6-49A5-9A82-01498E3E925B}"/>
    <cellStyle name="Input 7 4 6" xfId="15614" xr:uid="{86F620AA-BCEA-4465-9C77-D760C15B1C7F}"/>
    <cellStyle name="Input 7 4 7" xfId="16499" xr:uid="{1138E135-481F-47CE-B472-CACB46E0670F}"/>
    <cellStyle name="Input 7 4 8" xfId="17367" xr:uid="{BD994525-E27C-4FFE-93FB-012C746800ED}"/>
    <cellStyle name="Input 7 5" xfId="7805" xr:uid="{0282C00D-7053-462B-84F7-AD3E0D0B910D}"/>
    <cellStyle name="Input 7 5 2" xfId="12827" xr:uid="{D6BCD6FF-58E2-48B4-B041-2DF043B02F6B}"/>
    <cellStyle name="Input 7 5 3" xfId="10147" xr:uid="{51CBEC4B-0551-49A5-BFF0-4C2C569D86BD}"/>
    <cellStyle name="Input 7 5 4" xfId="11798" xr:uid="{5B2C21B7-A6EA-4E61-9DF4-22DCA7703A57}"/>
    <cellStyle name="Input 7 5 5" xfId="11006" xr:uid="{043E4B22-EB13-43D5-9CA6-C408A11BE1F8}"/>
    <cellStyle name="Input 7 5 6" xfId="11969" xr:uid="{F60A93A7-F9F3-4CB8-AE12-463EFD4DDB55}"/>
    <cellStyle name="Input 7 5 7" xfId="10857" xr:uid="{8D919A47-A7C4-4F8C-A2D7-139B59FA1AF6}"/>
    <cellStyle name="Input 7 5 8" xfId="11565" xr:uid="{B20878FB-64DD-4A84-8DA6-7C44C6B8A5D5}"/>
    <cellStyle name="Input 7 6" xfId="11374" xr:uid="{5538F596-566F-4CAF-AC2E-80F959E27590}"/>
    <cellStyle name="Input 7 7" xfId="11337" xr:uid="{DB0A106A-DA9D-443F-BFBC-D3402FE46D19}"/>
    <cellStyle name="Input 7 8" xfId="11393" xr:uid="{BED05083-013F-47F1-91B1-7534DBA43C6A}"/>
    <cellStyle name="Input 7 9" xfId="11318" xr:uid="{AE9B7BFF-D381-4B50-BF18-9049594282E6}"/>
    <cellStyle name="Input 8" xfId="5147" xr:uid="{A812F3AE-E51F-4812-AB1F-788D8E7AD1E0}"/>
    <cellStyle name="Input 8 10" xfId="11413" xr:uid="{3A214AF4-F87E-483C-A47F-DE22CDA43205}"/>
    <cellStyle name="Input 8 11" xfId="11299" xr:uid="{0367FBCE-B3C5-4D9C-9A87-DFA3779374F5}"/>
    <cellStyle name="Input 8 12" xfId="13075" xr:uid="{EDCDF29E-4C41-49E9-BAAE-232F8C09CA21}"/>
    <cellStyle name="Input 8 2" xfId="6844" xr:uid="{C42BBC46-3B6A-4F5E-8147-D0F306F00D54}"/>
    <cellStyle name="Input 8 2 10" xfId="10225" xr:uid="{0805A4A6-FB91-458A-A596-E712E7097EFC}"/>
    <cellStyle name="Input 8 2 11" xfId="13681" xr:uid="{5DA23B7A-FD98-4465-A9C3-6B0EF4A8BF33}"/>
    <cellStyle name="Input 8 2 2" xfId="7259" xr:uid="{44E247D8-F8F2-4BD8-A44F-AD5898A0B681}"/>
    <cellStyle name="Input 8 2 2 10" xfId="11744" xr:uid="{5D6FA398-6344-4ACE-9012-A328BB822C7B}"/>
    <cellStyle name="Input 8 2 2 2" xfId="8899" xr:uid="{B7E1CFB5-F255-4867-A14C-1D3E24A97B9D}"/>
    <cellStyle name="Input 8 2 2 2 2" xfId="13550" xr:uid="{CA71D3A9-4ACB-4157-9142-78ABBEC97FFC}"/>
    <cellStyle name="Input 8 2 2 2 3" xfId="14554" xr:uid="{19212B5E-8FCF-4787-BC3B-3EA7E0FCC75C}"/>
    <cellStyle name="Input 8 2 2 2 4" xfId="15512" xr:uid="{ED89DBCC-BB0C-4512-93FA-744A2AE8DFA9}"/>
    <cellStyle name="Input 8 2 2 2 5" xfId="16437" xr:uid="{2427EE04-ADD9-45CC-AAC8-B9DD63BCB34D}"/>
    <cellStyle name="Input 8 2 2 2 6" xfId="17308" xr:uid="{4E1F8156-3A3F-43F7-9256-1BEDC0F32D11}"/>
    <cellStyle name="Input 8 2 2 2 7" xfId="18154" xr:uid="{65806241-0EFB-4209-9610-0B2FC125F4FB}"/>
    <cellStyle name="Input 8 2 2 2 8" xfId="18914" xr:uid="{CD6BAC26-C418-4DB7-B9DE-E4A808987582}"/>
    <cellStyle name="Input 8 2 2 3" xfId="9741" xr:uid="{11728F8B-FAF6-40BB-B231-2B9777E03ED4}"/>
    <cellStyle name="Input 8 2 2 3 2" xfId="14145" xr:uid="{14DA15CC-9FFA-4A73-8A02-C43869476410}"/>
    <cellStyle name="Input 8 2 2 3 3" xfId="15105" xr:uid="{31777B1B-3DD8-44D9-9123-E86A5F254E04}"/>
    <cellStyle name="Input 8 2 2 3 4" xfId="16057" xr:uid="{1715F9CC-D85D-4C1B-8958-BDBBF0F079C4}"/>
    <cellStyle name="Input 8 2 2 3 5" xfId="16931" xr:uid="{186C05F0-6DA3-455F-888C-B3B7D115724B}"/>
    <cellStyle name="Input 8 2 2 3 6" xfId="17796" xr:uid="{98BB9D96-BA31-4BF9-859E-F0C7C92E4787}"/>
    <cellStyle name="Input 8 2 2 3 7" xfId="18572" xr:uid="{55D60DB4-545F-47A8-A67E-9DCCD3A661CD}"/>
    <cellStyle name="Input 8 2 2 3 8" xfId="19329" xr:uid="{EBA3FB4F-EC23-43DC-91C4-2A10E7182EE8}"/>
    <cellStyle name="Input 8 2 2 4" xfId="12522" xr:uid="{924050DC-100E-4623-9F60-FAEA493EAEEA}"/>
    <cellStyle name="Input 8 2 2 5" xfId="10359" xr:uid="{BD0FF994-9270-4918-AFAA-CAD6A9130AFF}"/>
    <cellStyle name="Input 8 2 2 6" xfId="12119" xr:uid="{A6DBF6A6-A3D8-4528-A9F5-D6F71937828F}"/>
    <cellStyle name="Input 8 2 2 7" xfId="10733" xr:uid="{5875FB22-38DC-4273-A98C-058C51935F19}"/>
    <cellStyle name="Input 8 2 2 8" xfId="12582" xr:uid="{7FFE5DED-4071-411E-BD25-645711A1E8EE}"/>
    <cellStyle name="Input 8 2 2 9" xfId="10319" xr:uid="{5037C0F2-EBCD-46ED-B6EF-233019D8195A}"/>
    <cellStyle name="Input 8 2 3" xfId="8484" xr:uid="{A67F8197-D333-44DA-BA38-EA45E2E91029}"/>
    <cellStyle name="Input 8 2 3 2" xfId="13224" xr:uid="{434ECAF0-5FF8-48AC-B552-56B6ECEFB5A5}"/>
    <cellStyle name="Input 8 2 3 3" xfId="14244" xr:uid="{B07086D8-3DB8-475D-ADFB-C442C139A1E1}"/>
    <cellStyle name="Input 8 2 3 4" xfId="15204" xr:uid="{46EA9877-7DBC-4284-B8FE-C99DF8C2E213}"/>
    <cellStyle name="Input 8 2 3 5" xfId="16153" xr:uid="{FBB6C170-7BB6-411A-A26C-8A67228E4EA0}"/>
    <cellStyle name="Input 8 2 3 6" xfId="17026" xr:uid="{297E15A9-32EE-42AD-9939-BB49F751BB68}"/>
    <cellStyle name="Input 8 2 3 7" xfId="17891" xr:uid="{1B34B0AC-6F05-41BD-ABAC-59828161C9D7}"/>
    <cellStyle name="Input 8 2 3 8" xfId="18667" xr:uid="{ED266CD4-6218-4906-81D3-E1A74D0AD9EA}"/>
    <cellStyle name="Input 8 2 4" xfId="9494" xr:uid="{AF971212-86E6-4AD9-966B-25FEA7F3DD07}"/>
    <cellStyle name="Input 8 2 4 2" xfId="13898" xr:uid="{5456C087-D2B8-4870-8A97-3821A3587E4B}"/>
    <cellStyle name="Input 8 2 4 3" xfId="14858" xr:uid="{0013DF15-862B-4B00-B6DB-22C2990B098A}"/>
    <cellStyle name="Input 8 2 4 4" xfId="15810" xr:uid="{83126280-E547-464D-9D57-8C54E8C980D7}"/>
    <cellStyle name="Input 8 2 4 5" xfId="16684" xr:uid="{83E50D2A-E311-4860-ADB8-BD179629D26D}"/>
    <cellStyle name="Input 8 2 4 6" xfId="17549" xr:uid="{685D154B-0E7D-42AC-8B03-2D16F28198D2}"/>
    <cellStyle name="Input 8 2 4 7" xfId="18325" xr:uid="{702EFB93-225F-42CC-A7B0-0D77E970A7AE}"/>
    <cellStyle name="Input 8 2 4 8" xfId="19082" xr:uid="{D436E4E3-053C-4E24-BB62-97ED95E1D702}"/>
    <cellStyle name="Input 8 2 5" xfId="12195" xr:uid="{A7C97566-46C5-415E-922B-36CEF393C6E6}"/>
    <cellStyle name="Input 8 2 6" xfId="10670" xr:uid="{5349D257-4720-41B3-AB83-DA86563781BF}"/>
    <cellStyle name="Input 8 2 7" xfId="13034" xr:uid="{389F9FBE-D814-4318-996E-6A7134873609}"/>
    <cellStyle name="Input 8 2 8" xfId="9966" xr:uid="{DD3167F5-7092-455C-AEA7-D945525707F4}"/>
    <cellStyle name="Input 8 2 9" xfId="12698" xr:uid="{EEB5C2BA-AAD9-4247-B22B-4AEA1520A844}"/>
    <cellStyle name="Input 8 3" xfId="7018" xr:uid="{3BF49ABE-642A-4626-B1B3-53356343C222}"/>
    <cellStyle name="Input 8 3 10" xfId="13070" xr:uid="{56037C74-A724-493D-B1CC-3999F929FDF1}"/>
    <cellStyle name="Input 8 3 2" xfId="8658" xr:uid="{2B15C6C9-DADE-48D5-B964-2764A617191A}"/>
    <cellStyle name="Input 8 3 2 2" xfId="13378" xr:uid="{3B0E0E34-A863-4638-A47C-F09FDA72AA48}"/>
    <cellStyle name="Input 8 3 2 3" xfId="14392" xr:uid="{50F8205D-A8BC-47D6-A85D-2DB70383E887}"/>
    <cellStyle name="Input 8 3 2 4" xfId="15350" xr:uid="{E5A02B7A-C4C7-45FF-A54C-1D4689F1DBB2}"/>
    <cellStyle name="Input 8 3 2 5" xfId="16294" xr:uid="{84925530-5019-4948-855B-DC249E494A0D}"/>
    <cellStyle name="Input 8 3 2 6" xfId="17167" xr:uid="{095531BB-6CD3-418C-BB87-20455DAFE4A3}"/>
    <cellStyle name="Input 8 3 2 7" xfId="18032" xr:uid="{8EBF54DE-1E1F-4351-A952-A4797AC10690}"/>
    <cellStyle name="Input 8 3 2 8" xfId="18800" xr:uid="{2BB6EFFB-6F2C-4D34-8CA8-6E2780F1F2AD}"/>
    <cellStyle name="Input 8 3 3" xfId="9627" xr:uid="{5E8052A9-AFA9-4782-A8F1-4EFC7D97BF3B}"/>
    <cellStyle name="Input 8 3 3 2" xfId="14031" xr:uid="{16531B7D-04CB-4CBC-B798-06EE5809BD01}"/>
    <cellStyle name="Input 8 3 3 3" xfId="14991" xr:uid="{6A6E32C1-20BB-4035-B5B9-DDE3611AB9E9}"/>
    <cellStyle name="Input 8 3 3 4" xfId="15943" xr:uid="{EC926EC2-B5F3-4C07-9112-3B4E29BC620A}"/>
    <cellStyle name="Input 8 3 3 5" xfId="16817" xr:uid="{B781CC0D-0E6F-45B6-ADE4-3ED31F51D026}"/>
    <cellStyle name="Input 8 3 3 6" xfId="17682" xr:uid="{CD783A2D-0B85-4238-B1F7-CC1D79F3A598}"/>
    <cellStyle name="Input 8 3 3 7" xfId="18458" xr:uid="{E275FF32-57BC-413B-BDCA-2350898AB3B4}"/>
    <cellStyle name="Input 8 3 3 8" xfId="19215" xr:uid="{B6D2357F-4684-492B-9CDD-45AC1988F369}"/>
    <cellStyle name="Input 8 3 4" xfId="12349" xr:uid="{8FEB33B8-7E2D-4D44-98D9-F5B5C4259714}"/>
    <cellStyle name="Input 8 3 5" xfId="10521" xr:uid="{910B76D0-474F-4C59-9A1B-5B48DAB999C7}"/>
    <cellStyle name="Input 8 3 6" xfId="12104" xr:uid="{58DB4BFC-3A72-46CF-A210-4BE9A4064D16}"/>
    <cellStyle name="Input 8 3 7" xfId="10748" xr:uid="{F6008833-65C9-4BEA-8129-B58D3F99FF0D}"/>
    <cellStyle name="Input 8 3 8" xfId="12579" xr:uid="{875CA4C2-B05A-4C26-9B4D-EB78E9321474}"/>
    <cellStyle name="Input 8 3 9" xfId="10322" xr:uid="{4C020134-79B2-42C1-A6D5-926FAA7FC23B}"/>
    <cellStyle name="Input 8 4" xfId="7841" xr:uid="{64C63AC6-2FF5-4505-B2F1-E5698EB35D6F}"/>
    <cellStyle name="Input 8 4 2" xfId="12863" xr:uid="{64C86B21-13E9-49CA-A5C0-532D55385B82}"/>
    <cellStyle name="Input 8 4 3" xfId="10112" xr:uid="{8FC028EF-BACB-4649-85F6-015520553FAE}"/>
    <cellStyle name="Input 8 4 4" xfId="13169" xr:uid="{DD4C52AF-0E24-48F9-9193-A33645357DDB}"/>
    <cellStyle name="Input 8 4 5" xfId="9866" xr:uid="{2542AE62-3990-48FC-A396-435E7B961617}"/>
    <cellStyle name="Input 8 4 6" xfId="12173" xr:uid="{4007FE10-35CB-407F-8064-CFBAD82D9003}"/>
    <cellStyle name="Input 8 4 7" xfId="10692" xr:uid="{7F7543E2-8954-4706-929D-333F64F88BA8}"/>
    <cellStyle name="Input 8 4 8" xfId="11671" xr:uid="{5992CF36-5434-48B2-B4E0-506A247B6F6E}"/>
    <cellStyle name="Input 8 5" xfId="7804" xr:uid="{F078C52C-CB34-4694-A6E4-2FD65ACB9AC7}"/>
    <cellStyle name="Input 8 5 2" xfId="12826" xr:uid="{70608A61-0E9B-40DA-B37B-8B3C9D49D25A}"/>
    <cellStyle name="Input 8 5 3" xfId="10148" xr:uid="{DB741BF1-DDFE-4278-AEDE-842AF33107F8}"/>
    <cellStyle name="Input 8 5 4" xfId="12027" xr:uid="{9DE96799-2CB0-4C07-BBFE-CA58DF33A950}"/>
    <cellStyle name="Input 8 5 5" xfId="10807" xr:uid="{8B81A53A-3B36-4D6F-9E8F-684A3F9BF802}"/>
    <cellStyle name="Input 8 5 6" xfId="11612" xr:uid="{BA9698F1-E089-4B94-8788-92ECC8828480}"/>
    <cellStyle name="Input 8 5 7" xfId="11147" xr:uid="{8D7F6B9F-1AC2-4846-A0CF-ACA9D47C54E2}"/>
    <cellStyle name="Input 8 5 8" xfId="12549" xr:uid="{362242E3-399F-4A75-B90A-81380C255858}"/>
    <cellStyle name="Input 8 6" xfId="11375" xr:uid="{0C98B1FA-B09F-45D5-A032-0220EA6B9C3E}"/>
    <cellStyle name="Input 8 7" xfId="11336" xr:uid="{ADE613C5-518D-4892-AC63-9426A2C06515}"/>
    <cellStyle name="Input 8 8" xfId="11394" xr:uid="{AAF1C6AD-E3F1-4CEF-8864-4C670FDCAD94}"/>
    <cellStyle name="Input 8 9" xfId="11317" xr:uid="{588A2B29-4BFF-42D0-87AA-60C0129D8D6A}"/>
    <cellStyle name="Input 9" xfId="5148" xr:uid="{98ECA895-0B10-485A-AA1E-F74869A25118}"/>
    <cellStyle name="Input 9 10" xfId="11414" xr:uid="{F7025E0E-88A6-4AB1-BDF1-8FC6ABC3D83D}"/>
    <cellStyle name="Input 9 11" xfId="11298" xr:uid="{74C6C6BD-9DB1-48FF-8321-B95293DF1684}"/>
    <cellStyle name="Input 9 12" xfId="11954" xr:uid="{939FEC1A-2BC9-455B-9494-AA0677A82206}"/>
    <cellStyle name="Input 9 2" xfId="6843" xr:uid="{4587C84C-41EA-4B87-9128-44114857B00D}"/>
    <cellStyle name="Input 9 2 10" xfId="16443" xr:uid="{4C2CC3F9-4F01-48F6-A6DB-0CD14D6D4F44}"/>
    <cellStyle name="Input 9 2 11" xfId="17314" xr:uid="{3D4F3326-F6F3-4C74-A996-68CF64009640}"/>
    <cellStyle name="Input 9 2 2" xfId="7260" xr:uid="{3B9876B6-8E3A-4D38-892C-ED4F6AA4F74F}"/>
    <cellStyle name="Input 9 2 2 10" xfId="15595" xr:uid="{52DB41FC-4A4D-4698-836D-0B4C63104F70}"/>
    <cellStyle name="Input 9 2 2 2" xfId="8900" xr:uid="{AFF2555C-21FF-4929-90B3-83345B80E629}"/>
    <cellStyle name="Input 9 2 2 2 2" xfId="13551" xr:uid="{E3B2F620-0ACE-4C42-A9CF-1CC9C107EF72}"/>
    <cellStyle name="Input 9 2 2 2 3" xfId="14555" xr:uid="{6AE4EF09-338C-456B-B96B-7FB65D29677E}"/>
    <cellStyle name="Input 9 2 2 2 4" xfId="15513" xr:uid="{6004CAB1-9A80-4A66-B6F8-BCC9416F22C2}"/>
    <cellStyle name="Input 9 2 2 2 5" xfId="16438" xr:uid="{96F7FD6B-C2CD-4D80-8E00-5826E0B877FD}"/>
    <cellStyle name="Input 9 2 2 2 6" xfId="17309" xr:uid="{29A9B2C6-4F09-46D5-81D8-C065FE526620}"/>
    <cellStyle name="Input 9 2 2 2 7" xfId="18155" xr:uid="{BFA0280C-460A-4D1D-B6BC-8CB83A7256E0}"/>
    <cellStyle name="Input 9 2 2 2 8" xfId="18915" xr:uid="{C9A621FC-E575-48D0-9803-567BD5E0A69A}"/>
    <cellStyle name="Input 9 2 2 3" xfId="9742" xr:uid="{33E65D8D-3AA6-4A7C-9E84-86CE7AE2B6C7}"/>
    <cellStyle name="Input 9 2 2 3 2" xfId="14146" xr:uid="{AB436C99-664A-4287-A607-507052ADED79}"/>
    <cellStyle name="Input 9 2 2 3 3" xfId="15106" xr:uid="{7512D9C5-BD86-45D3-A0EB-1B37622DC261}"/>
    <cellStyle name="Input 9 2 2 3 4" xfId="16058" xr:uid="{249C9B69-A5BC-45B5-B0C5-C6C66DB1564E}"/>
    <cellStyle name="Input 9 2 2 3 5" xfId="16932" xr:uid="{F88B4FFB-69E9-4133-83FB-A2F52660008D}"/>
    <cellStyle name="Input 9 2 2 3 6" xfId="17797" xr:uid="{7B6496DC-26AB-4952-A860-AC456BE6EC67}"/>
    <cellStyle name="Input 9 2 2 3 7" xfId="18573" xr:uid="{32038C46-226E-4B13-B47D-8069E1E739EB}"/>
    <cellStyle name="Input 9 2 2 3 8" xfId="19330" xr:uid="{169C125F-116D-4449-BF8A-84D2C2840A62}"/>
    <cellStyle name="Input 9 2 2 4" xfId="12523" xr:uid="{F5CFA981-2BA8-49F3-BF8E-E3B9FB88BA0B}"/>
    <cellStyle name="Input 9 2 2 5" xfId="10358" xr:uid="{717532B3-8B86-4078-9BD2-913FD99EFADD}"/>
    <cellStyle name="Input 9 2 2 6" xfId="12644" xr:uid="{4A51B12B-8A61-4CB9-ACCA-2A775848EA12}"/>
    <cellStyle name="Input 9 2 2 7" xfId="10267" xr:uid="{327A15B9-D20E-446E-A5B7-D977947B8C22}"/>
    <cellStyle name="Input 9 2 2 8" xfId="13672" xr:uid="{B82B7499-3A38-434A-9DE7-13539632F864}"/>
    <cellStyle name="Input 9 2 2 9" xfId="14643" xr:uid="{465D651F-C903-4E3C-AFEE-5B49865F2E95}"/>
    <cellStyle name="Input 9 2 3" xfId="8483" xr:uid="{1DC94210-78FA-4E53-9DAC-9828661F2B25}"/>
    <cellStyle name="Input 9 2 3 2" xfId="13223" xr:uid="{833F14CA-6C57-4DE1-8828-26A2DAA29E1E}"/>
    <cellStyle name="Input 9 2 3 3" xfId="14243" xr:uid="{BB5319B9-BFC1-4B45-A8B3-11FE33ECFCF0}"/>
    <cellStyle name="Input 9 2 3 4" xfId="15203" xr:uid="{BD98C63E-6B59-419B-8414-D0226D203F9F}"/>
    <cellStyle name="Input 9 2 3 5" xfId="16152" xr:uid="{A7767709-C207-4887-B180-59FE2984C3B1}"/>
    <cellStyle name="Input 9 2 3 6" xfId="17025" xr:uid="{27EDBF70-19F8-4056-A49D-64C305109783}"/>
    <cellStyle name="Input 9 2 3 7" xfId="17890" xr:uid="{2C21C36F-4071-4062-8637-98AAE769FCDD}"/>
    <cellStyle name="Input 9 2 3 8" xfId="18666" xr:uid="{E2A64F09-F4D8-4820-9296-32D9AA64E29D}"/>
    <cellStyle name="Input 9 2 4" xfId="9493" xr:uid="{772E6D94-C041-4FAD-BAB4-478914ABD9A9}"/>
    <cellStyle name="Input 9 2 4 2" xfId="13897" xr:uid="{50608DC4-462B-4AB2-85F2-6BA519E04FD4}"/>
    <cellStyle name="Input 9 2 4 3" xfId="14857" xr:uid="{54387BEC-0D11-4CCB-9B81-DD9C23D33D9A}"/>
    <cellStyle name="Input 9 2 4 4" xfId="15809" xr:uid="{F3D6DAF4-19D4-456E-9158-F3C7FC412AA5}"/>
    <cellStyle name="Input 9 2 4 5" xfId="16683" xr:uid="{71D95BA4-1FED-445C-A2CD-57F518BB86E1}"/>
    <cellStyle name="Input 9 2 4 6" xfId="17548" xr:uid="{D913CCB3-EB1F-4EB3-BCBA-941CFDCD4B3C}"/>
    <cellStyle name="Input 9 2 4 7" xfId="18324" xr:uid="{2E163B4E-5607-471B-9868-F03156D0967E}"/>
    <cellStyle name="Input 9 2 4 8" xfId="19081" xr:uid="{84DAEFE1-1C17-49B8-AF0A-2F65D37B1ACF}"/>
    <cellStyle name="Input 9 2 5" xfId="12194" xr:uid="{863FA389-7750-47BF-887B-670E99EBA59B}"/>
    <cellStyle name="Input 9 2 6" xfId="10671" xr:uid="{00C42C65-680C-43D7-B6EE-22AA7C111366}"/>
    <cellStyle name="Input 9 2 7" xfId="13613" xr:uid="{60F49F40-A1ED-4919-ADA6-D3B704742E48}"/>
    <cellStyle name="Input 9 2 8" xfId="14591" xr:uid="{B54065DB-1CB3-43E9-A044-5DBFF0C6896C}"/>
    <cellStyle name="Input 9 2 9" xfId="15544" xr:uid="{5392EEF7-E7D4-4543-B4DA-AA81415AB4D0}"/>
    <cellStyle name="Input 9 3" xfId="7019" xr:uid="{624EFE97-7533-4008-A2FC-8F5823B68301}"/>
    <cellStyle name="Input 9 3 10" xfId="13049" xr:uid="{9CDE230F-F7BD-4C23-9C64-6634242299B8}"/>
    <cellStyle name="Input 9 3 2" xfId="8659" xr:uid="{222E610D-628F-4E1B-82EC-483643DF4341}"/>
    <cellStyle name="Input 9 3 2 2" xfId="13379" xr:uid="{8A57E0F1-F21B-4803-B903-8E97F83B992D}"/>
    <cellStyle name="Input 9 3 2 3" xfId="14393" xr:uid="{4CFF558C-31D9-43EE-8955-164F8C4D0097}"/>
    <cellStyle name="Input 9 3 2 4" xfId="15351" xr:uid="{012583BC-F515-4123-828E-848F5879C134}"/>
    <cellStyle name="Input 9 3 2 5" xfId="16295" xr:uid="{8E01A8EA-757C-4198-9CE7-04A9556EE16E}"/>
    <cellStyle name="Input 9 3 2 6" xfId="17168" xr:uid="{13C3A88B-6A6B-435D-96B0-0C797FAF5A8A}"/>
    <cellStyle name="Input 9 3 2 7" xfId="18033" xr:uid="{8CF20584-7705-44FD-B4EE-BD745462DF0E}"/>
    <cellStyle name="Input 9 3 2 8" xfId="18801" xr:uid="{850561B8-5DB7-4EA4-AA4D-AC69A490808F}"/>
    <cellStyle name="Input 9 3 3" xfId="9628" xr:uid="{791836AA-916C-48CB-95AF-7D361592BEE1}"/>
    <cellStyle name="Input 9 3 3 2" xfId="14032" xr:uid="{FA3C63A3-56B1-40A5-82EC-0C5E38551EAF}"/>
    <cellStyle name="Input 9 3 3 3" xfId="14992" xr:uid="{C2E77E79-3FB6-452E-A15B-4BC440436D11}"/>
    <cellStyle name="Input 9 3 3 4" xfId="15944" xr:uid="{1B222AB8-0558-416A-9CAC-F7D9458F2993}"/>
    <cellStyle name="Input 9 3 3 5" xfId="16818" xr:uid="{B819A065-8F01-4053-A7CF-DD7F417D8607}"/>
    <cellStyle name="Input 9 3 3 6" xfId="17683" xr:uid="{CCD572E1-EBD6-4759-9675-1ED26CD67EE2}"/>
    <cellStyle name="Input 9 3 3 7" xfId="18459" xr:uid="{56C2CC01-42FB-40EA-8704-5EB6CD6E98AC}"/>
    <cellStyle name="Input 9 3 3 8" xfId="19216" xr:uid="{4E822BF3-8811-42BE-92B7-E52983F4314E}"/>
    <cellStyle name="Input 9 3 4" xfId="12350" xr:uid="{61D88882-F2FE-4329-B92C-4CBA33826F7B}"/>
    <cellStyle name="Input 9 3 5" xfId="10520" xr:uid="{5B40CE2A-0014-43C6-B9DA-EE1AE4A1647C}"/>
    <cellStyle name="Input 9 3 6" xfId="12619" xr:uid="{89E7CA2F-A875-4D8C-B3A8-F15090AD3EF5}"/>
    <cellStyle name="Input 9 3 7" xfId="10286" xr:uid="{3E213EFE-3C14-4467-B656-0E36BB30826D}"/>
    <cellStyle name="Input 9 3 8" xfId="12651" xr:uid="{F4F1A2DF-36CD-465F-8030-FFE8C9A57C89}"/>
    <cellStyle name="Input 9 3 9" xfId="10263" xr:uid="{A8A06CE0-4C53-4AAF-960D-C6305AA36BEA}"/>
    <cellStyle name="Input 9 4" xfId="7842" xr:uid="{B6B1C44F-9B9D-4A9F-8095-838DF88C89FF}"/>
    <cellStyle name="Input 9 4 2" xfId="12864" xr:uid="{101093CE-8248-4125-AD34-9F4E6E00ECEE}"/>
    <cellStyle name="Input 9 4 3" xfId="10111" xr:uid="{2FDF40FB-508D-4E81-BF4A-70ED6D96B594}"/>
    <cellStyle name="Input 9 4 4" xfId="12138" xr:uid="{FA9BDD63-9E31-4147-8620-9BFF4EF0B2C5}"/>
    <cellStyle name="Input 9 4 5" xfId="10717" xr:uid="{484B2994-40CE-4C69-9DB2-5CBFAEDDAFD9}"/>
    <cellStyle name="Input 9 4 6" xfId="12075" xr:uid="{D448B1B4-69D0-4F71-B40D-1B453285D9ED}"/>
    <cellStyle name="Input 9 4 7" xfId="10773" xr:uid="{87EB4BEE-393F-4215-B61A-9BC0A5417087}"/>
    <cellStyle name="Input 9 4 8" xfId="11641" xr:uid="{3288E5E0-7234-4102-A38B-79E86E876501}"/>
    <cellStyle name="Input 9 5" xfId="7803" xr:uid="{43CD3587-DEC0-4D33-BB89-A26F04D34269}"/>
    <cellStyle name="Input 9 5 2" xfId="12825" xr:uid="{40E8E86A-D315-41F3-B1DB-AFF9CAE80214}"/>
    <cellStyle name="Input 9 5 3" xfId="10149" xr:uid="{35E1CC12-813A-4D1C-9AD9-35196BCE62C8}"/>
    <cellStyle name="Input 9 5 4" xfId="9834" xr:uid="{6410E52B-8542-4014-A260-CA4087E71B9F}"/>
    <cellStyle name="Input 9 5 5" xfId="11902" xr:uid="{EF74621F-EEA7-44E9-8CBF-0141DAA1CA78}"/>
    <cellStyle name="Input 9 5 6" xfId="10915" xr:uid="{E321F047-0291-49A5-8E6C-3355499C465A}"/>
    <cellStyle name="Input 9 5 7" xfId="11513" xr:uid="{C258FED5-58D1-42BC-91C6-9BAFE8CD0DC6}"/>
    <cellStyle name="Input 9 5 8" xfId="11226" xr:uid="{9425A4C8-0735-46A2-AC51-6613F8FA6B98}"/>
    <cellStyle name="Input 9 6" xfId="11376" xr:uid="{5342FF7B-7495-4983-8E21-F0E07DB35627}"/>
    <cellStyle name="Input 9 7" xfId="11335" xr:uid="{8CB207CA-183D-449E-AC22-286EAFC2E587}"/>
    <cellStyle name="Input 9 8" xfId="11395" xr:uid="{A6546F73-DCE6-4492-A667-9CA950215916}"/>
    <cellStyle name="Input 9 9" xfId="11316" xr:uid="{E3E1B8BE-C7F5-43A5-B249-9F1EBFA4E928}"/>
    <cellStyle name="Koefic." xfId="6530" xr:uid="{7851918C-2118-4B7D-AC12-E23AE4E49F76}"/>
    <cellStyle name="Linked Cell 10" xfId="5149" xr:uid="{093DB625-2BB3-4C69-A563-8CDF8C8CBDE9}"/>
    <cellStyle name="Linked Cell 11" xfId="5150" xr:uid="{64DC1299-D569-4B56-B5B0-94E853B72F1C}"/>
    <cellStyle name="Linked Cell 12" xfId="5151" xr:uid="{8C50E3E1-F35C-4C4A-B058-B4380FCEF6B8}"/>
    <cellStyle name="Linked Cell 13" xfId="5152" xr:uid="{3B6A180A-BF99-4F07-BB69-3E5CAB1B8412}"/>
    <cellStyle name="Linked Cell 14" xfId="5153" xr:uid="{6C48E520-5E88-4CB4-A8D1-07DA8CF8AEDD}"/>
    <cellStyle name="Linked Cell 15" xfId="5154" xr:uid="{0EB4E149-CE81-432D-8689-EA17C32C6859}"/>
    <cellStyle name="Linked Cell 16" xfId="5155" xr:uid="{A7D221A4-447F-4C12-99D4-8B1BB4672CFE}"/>
    <cellStyle name="Linked Cell 17" xfId="5156" xr:uid="{ED6209BB-118C-4717-BF6A-C1078D168EBC}"/>
    <cellStyle name="Linked Cell 18" xfId="5157" xr:uid="{07169C9B-E2D3-4BE4-8E28-86AEDBCFB487}"/>
    <cellStyle name="Linked Cell 18 2" xfId="5158" xr:uid="{5CED411B-77F8-4C9F-B2EA-4DCFDFF70874}"/>
    <cellStyle name="Linked Cell 19" xfId="5159" xr:uid="{2DAB646D-5716-4A12-8272-21B0333048F7}"/>
    <cellStyle name="Linked Cell 19 2" xfId="5160" xr:uid="{6E4E2F6C-6C81-444C-AE6A-80A8FA2BEC54}"/>
    <cellStyle name="Linked Cell 2" xfId="5161" xr:uid="{C12CC432-048B-4C03-8D9C-A4CA9B373B83}"/>
    <cellStyle name="Linked Cell 2 2" xfId="5162" xr:uid="{59F2767E-F555-4DD4-82AD-33D42C817B2B}"/>
    <cellStyle name="Linked Cell 3" xfId="5163" xr:uid="{E9DC8E0B-79C4-4F8B-A4C3-7779978DFAFE}"/>
    <cellStyle name="Linked Cell 4" xfId="5164" xr:uid="{574DF115-11B6-4430-97B1-BD531B711CE4}"/>
    <cellStyle name="Linked Cell 5" xfId="5165" xr:uid="{E19D2406-B1CE-4CDD-B53E-EBA1E10ECC61}"/>
    <cellStyle name="Linked Cell 6" xfId="5166" xr:uid="{6995BBAE-A23B-4758-8E30-CED3997AD40B}"/>
    <cellStyle name="Linked Cell 7" xfId="5167" xr:uid="{7DE7EF5C-C92D-4510-B47B-52E3D2652D7A}"/>
    <cellStyle name="Linked Cell 8" xfId="5168" xr:uid="{9235D6D1-9F55-4CA2-9D81-E86956E96F6B}"/>
    <cellStyle name="Linked Cell 9" xfId="5169" xr:uid="{FC250C7A-169E-4EC9-B254-255966ECA78D}"/>
    <cellStyle name="Neutral 10" xfId="5170" xr:uid="{AA743C9D-9FE5-4FDA-BBBE-98AB5F78D03A}"/>
    <cellStyle name="Neutral 11" xfId="5171" xr:uid="{27150598-8811-48CB-AC76-C6281D8E04B7}"/>
    <cellStyle name="Neutral 12" xfId="5172" xr:uid="{EB187D94-7528-4709-B70E-B4C23C5A6026}"/>
    <cellStyle name="Neutral 13" xfId="5173" xr:uid="{56C6ADF6-2D15-4F97-B501-8841FF59D180}"/>
    <cellStyle name="Neutral 14" xfId="5174" xr:uid="{7A563D9F-FFFF-4B3E-A314-22CC1B52F8E2}"/>
    <cellStyle name="Neutral 15" xfId="5175" xr:uid="{ED48D7B6-2AF0-4433-8E98-C5D2679AC652}"/>
    <cellStyle name="Neutral 16" xfId="5176" xr:uid="{E29F0AEE-7BD6-44FF-B034-D52CB8670093}"/>
    <cellStyle name="Neutral 17" xfId="5177" xr:uid="{080944F0-E67D-401A-AF66-9BC47B5AE8AF}"/>
    <cellStyle name="Neutral 18" xfId="5178" xr:uid="{43AAD494-7EF5-4528-BEC0-1C79212D8F4C}"/>
    <cellStyle name="Neutral 18 2" xfId="5179" xr:uid="{E043D605-9070-4799-B2A3-2D749393F5A2}"/>
    <cellStyle name="Neutral 19" xfId="5180" xr:uid="{8BA6565E-D167-4DE8-91E7-BC56D70777B8}"/>
    <cellStyle name="Neutral 19 2" xfId="5181" xr:uid="{2A154A8E-B77B-4726-9945-DDFBDD0E9796}"/>
    <cellStyle name="Neutral 2" xfId="5182" xr:uid="{985956AD-B3FE-4F92-ACA0-2A6F1880A618}"/>
    <cellStyle name="Neutral 2 2" xfId="5183" xr:uid="{BF086C52-B4FF-4641-9252-FCD4C9ACBFCF}"/>
    <cellStyle name="Neutral 3" xfId="5184" xr:uid="{B7851743-75EB-4CBD-A34E-1EA78F6A93BB}"/>
    <cellStyle name="Neutral 4" xfId="5185" xr:uid="{4A9AF089-3B29-4E3F-8E95-D008031670EE}"/>
    <cellStyle name="Neutral 5" xfId="5186" xr:uid="{869DB5EF-635D-4B8B-B4F3-C7881E5FE7F9}"/>
    <cellStyle name="Neutral 6" xfId="5187" xr:uid="{5321DA7C-0CC7-42F8-B2E9-D07B157E56DD}"/>
    <cellStyle name="Neutral 7" xfId="5188" xr:uid="{BE84414A-2C50-4B4F-A97C-8C1A718C6C4B}"/>
    <cellStyle name="Neutral 8" xfId="5189" xr:uid="{480B2459-E0E7-44EA-A96C-DF56799AEAA9}"/>
    <cellStyle name="Neutral 9" xfId="5190" xr:uid="{10DA8EAA-3A44-4919-B793-A7D6638DBB92}"/>
    <cellStyle name="Normal" xfId="0" builtinId="0"/>
    <cellStyle name="Normal 10" xfId="48" xr:uid="{15910A66-3BFA-4128-8AB3-D2DBBD55F854}"/>
    <cellStyle name="Normal 10 2" xfId="16" xr:uid="{CD78BD06-5A94-425B-A697-D083E34E1C4D}"/>
    <cellStyle name="Normal 10 2 2" xfId="10" xr:uid="{729CA249-2519-48E6-ABF4-C795375A5A27}"/>
    <cellStyle name="Normal 10 3" xfId="5191" xr:uid="{E08916FF-E5C9-43E9-B5BB-503386F2481F}"/>
    <cellStyle name="Normal 10 4" xfId="5192" xr:uid="{02BD635A-D5FA-4CDD-84AA-E7A483019AF3}"/>
    <cellStyle name="Normal 10 5" xfId="5193" xr:uid="{61604793-90D2-43B7-BBA3-EC2C25675D63}"/>
    <cellStyle name="Normal 10 5 2" xfId="6531" xr:uid="{3AF524D6-D64C-4DD5-9DC7-1F6D9B2C04AD}"/>
    <cellStyle name="Normal 10 5 2 2" xfId="7214" xr:uid="{A4755C37-8617-421C-A652-18803F5EC2C8}"/>
    <cellStyle name="Normal 10 5 2 2 2" xfId="8854" xr:uid="{43E27ECE-7605-4FE2-ABC0-03E04677667E}"/>
    <cellStyle name="Normal 10 5 2 3" xfId="8181" xr:uid="{DEA1DE97-1649-4BB3-A1EE-111F280BE37D}"/>
    <cellStyle name="Normal 10 5 3" xfId="6532" xr:uid="{31D9303E-61AA-4402-9228-68AE05B9A9DF}"/>
    <cellStyle name="Normal 10 5 3 2" xfId="7261" xr:uid="{6FB6F02A-9AC6-4FE0-9A1D-A9916750F3DD}"/>
    <cellStyle name="Normal 10 5 3 2 2" xfId="8901" xr:uid="{21B61380-CAD7-4BFD-8A3E-365869566C28}"/>
    <cellStyle name="Normal 10 5 3 3" xfId="8182" xr:uid="{FC4D1110-129A-49AC-896C-AEB522DD529E}"/>
    <cellStyle name="Normal 10 5 4" xfId="6345" xr:uid="{DF6B93B4-D927-4EE9-A97C-3EB393D90116}"/>
    <cellStyle name="Normal 10 5 4 2" xfId="7262" xr:uid="{380D89FE-7A19-4600-B15D-162C95325FFD}"/>
    <cellStyle name="Normal 10 5 4 2 2" xfId="8902" xr:uid="{673304A8-1AAB-4695-83B7-71AB2B8FE9EF}"/>
    <cellStyle name="Normal 10 5 4 3" xfId="8052" xr:uid="{B965622C-1F1B-4B2D-8023-DE22D203722A}"/>
    <cellStyle name="Normal 10 5 5" xfId="7020" xr:uid="{8211076F-5FDA-4FA6-A400-BE1DA07FC2A4}"/>
    <cellStyle name="Normal 10 5 5 2" xfId="8660" xr:uid="{D0A9DE29-789D-45FE-AE54-D4D10D7B0B27}"/>
    <cellStyle name="Normal 10 5 6" xfId="7843" xr:uid="{CF559603-34F1-4119-8324-3596BBF9ABA8}"/>
    <cellStyle name="Normal 10 5 7" xfId="56" xr:uid="{C1129978-F1B2-4BD0-9AA9-253761D6698D}"/>
    <cellStyle name="Normal 10 6" xfId="5194" xr:uid="{6A5E14D7-45F8-497B-9618-F81A9900A1D9}"/>
    <cellStyle name="Normal 10 7" xfId="9" xr:uid="{3E7C6CC2-C459-45DE-8560-694CF306D42D}"/>
    <cellStyle name="Normal 10 7 2" xfId="54" xr:uid="{68AC768C-99D3-41B5-8D97-963ECD6CD456}"/>
    <cellStyle name="Normal 10_1_solis_MK Nr 595 " xfId="5195" xr:uid="{E48FA558-E77E-41A1-855D-9378EA8A4920}"/>
    <cellStyle name="Normal 11" xfId="117" xr:uid="{D213DA43-F7C8-4F08-8ED7-3248A6FB1057}"/>
    <cellStyle name="Normal 11 2" xfId="5196" xr:uid="{50414498-C993-404D-BF7C-32125FC02C89}"/>
    <cellStyle name="Normal 11 3" xfId="6503" xr:uid="{F629A5DD-0F7A-41E2-BE48-D1A88A420B34}"/>
    <cellStyle name="Normal 11 3 2" xfId="7204" xr:uid="{23E2AB58-DD7C-49BE-B906-87B859CB9095}"/>
    <cellStyle name="Normal 11 3 2 2" xfId="8844" xr:uid="{715A2A37-6DCA-4E70-AD93-15302D1E39AA}"/>
    <cellStyle name="Normal 11 3 3" xfId="8171" xr:uid="{03A285CB-16D0-40B9-9899-76FCAF6C6B90}"/>
    <cellStyle name="Normal 11 4" xfId="6533" xr:uid="{9F7D8D49-CCF9-42C1-9162-AE93D3A380E9}"/>
    <cellStyle name="Normal 11 4 2" xfId="7263" xr:uid="{59B35B7A-9DAE-459E-81F5-15CFFFB18105}"/>
    <cellStyle name="Normal 11 4 2 2" xfId="8903" xr:uid="{E0F34BE3-3AE7-4046-8015-41C099D1F728}"/>
    <cellStyle name="Normal 11 4 3" xfId="8183" xr:uid="{88C14B7A-B358-4A4E-A407-65E9D745BA67}"/>
    <cellStyle name="Normal 11_1_solis_MK Nr 595 " xfId="5197" xr:uid="{CEC3BDF2-651F-44C2-9D6B-6C473C203F98}"/>
    <cellStyle name="Normal 12" xfId="129" xr:uid="{709AF440-1A9E-4AF2-B542-945F1032458E}"/>
    <cellStyle name="Normal 12 10" xfId="5198" xr:uid="{9E6A48C0-8AA2-44C7-8DB0-34B550101E43}"/>
    <cellStyle name="Normal 12 11" xfId="5199" xr:uid="{AD9C17F8-1FD2-4BAF-B3F1-4ABF34EF9196}"/>
    <cellStyle name="Normal 12 12" xfId="5200" xr:uid="{D3C14ECA-AF55-4F22-A433-C9E7871841D2}"/>
    <cellStyle name="Normal 12 13" xfId="5201" xr:uid="{E5B53B94-29C1-4DFE-ADE7-605C8B20B03B}"/>
    <cellStyle name="Normal 12 14" xfId="5202" xr:uid="{5815DE83-24B5-48CA-9E25-08706D954B8D}"/>
    <cellStyle name="Normal 12 15" xfId="5203" xr:uid="{57C137BD-B4A5-41F2-8838-8A6F97A4B033}"/>
    <cellStyle name="Normal 12 16" xfId="5204" xr:uid="{6E431553-CCB0-44D2-BD2A-D5829DA521B1}"/>
    <cellStyle name="Normal 12 17" xfId="5205" xr:uid="{F6FD0E87-77D8-4C55-8D49-579E050E66D7}"/>
    <cellStyle name="Normal 12 18" xfId="5206" xr:uid="{2244AC4A-FBC4-4021-9982-4B3FD2E6BAF1}"/>
    <cellStyle name="Normal 12 19" xfId="5207" xr:uid="{4A241A70-EAC0-4816-A3FF-67173F97AD09}"/>
    <cellStyle name="Normal 12 2" xfId="5208" xr:uid="{52D481D7-CC0F-4188-8853-C672EE56DE5B}"/>
    <cellStyle name="Normal 12 20" xfId="5209" xr:uid="{B22D4886-CBA0-4081-8879-8FCE1150380F}"/>
    <cellStyle name="Normal 12 21" xfId="5210" xr:uid="{AD132C28-3203-435D-A48E-D9C9D743EC14}"/>
    <cellStyle name="Normal 12 22" xfId="5211" xr:uid="{EAE8DAD4-60DE-4486-A6F9-8521A9DCD7B0}"/>
    <cellStyle name="Normal 12 23" xfId="5212" xr:uid="{45C6EEA2-4B2C-416F-B515-096071FB8EA7}"/>
    <cellStyle name="Normal 12 24" xfId="5213" xr:uid="{5984EC44-99F8-4BF3-A12F-B4F441E6DCF2}"/>
    <cellStyle name="Normal 12 25" xfId="5214" xr:uid="{80546E91-87D3-4B6A-811A-339834A1A581}"/>
    <cellStyle name="Normal 12 26" xfId="5215" xr:uid="{09536C6C-C85D-408E-8383-A3E87897C5FC}"/>
    <cellStyle name="Normal 12 27" xfId="5216" xr:uid="{80A388FC-89B1-4A8E-BD67-D78E1D30198E}"/>
    <cellStyle name="Normal 12 28" xfId="5217" xr:uid="{C92B3EB1-B3D3-4A6C-9AC1-41A05FACEFEC}"/>
    <cellStyle name="Normal 12 29" xfId="5218" xr:uid="{FADB3830-69A5-4066-B6FB-20B14DDE6E0C}"/>
    <cellStyle name="Normal 12 3" xfId="5219" xr:uid="{C9DA3A17-B7E9-4337-9CA7-E34B99ED9620}"/>
    <cellStyle name="Normal 12 30" xfId="5220" xr:uid="{16B8D0D7-E986-4E28-A8E1-EE37D99921ED}"/>
    <cellStyle name="Normal 12 31" xfId="5221" xr:uid="{2E5D624F-9C2C-429C-96A7-DECB3A5D5603}"/>
    <cellStyle name="Normal 12 32" xfId="5222" xr:uid="{B366130B-2761-482B-B4DD-C6590A44161D}"/>
    <cellStyle name="Normal 12 33" xfId="5223" xr:uid="{9266CE1A-DDA0-41F3-A79C-2D9E0496F593}"/>
    <cellStyle name="Normal 12 34" xfId="5224" xr:uid="{2F775CA7-7907-44A7-A361-6CDA9BD24FE8}"/>
    <cellStyle name="Normal 12 35" xfId="5225" xr:uid="{2A075D99-56C7-4B64-81C2-235CD3F04315}"/>
    <cellStyle name="Normal 12 36" xfId="5226" xr:uid="{B63597B4-4424-4AD3-8957-030D79EF635E}"/>
    <cellStyle name="Normal 12 37" xfId="5227" xr:uid="{301D6502-C68E-4E50-A686-D0F4F4B7F8C3}"/>
    <cellStyle name="Normal 12 38" xfId="5228" xr:uid="{4D90B5E5-C96E-459F-9E5F-18E31BE63D98}"/>
    <cellStyle name="Normal 12 39" xfId="5229" xr:uid="{F90ABFB8-8AE5-4058-B2D9-13E50B2FA737}"/>
    <cellStyle name="Normal 12 4" xfId="5230" xr:uid="{C07EE9F4-567F-4F74-9906-06B1586F68C9}"/>
    <cellStyle name="Normal 12 40" xfId="5231" xr:uid="{4A989B46-8003-4166-98D2-E5FB43E0DCAB}"/>
    <cellStyle name="Normal 12 41" xfId="5232" xr:uid="{5F437C08-3DCD-430B-913C-AE559D5DF64B}"/>
    <cellStyle name="Normal 12 42" xfId="5233" xr:uid="{E0ECDDBA-5796-4DFE-AA3E-31AA82E705A7}"/>
    <cellStyle name="Normal 12 43" xfId="5234" xr:uid="{E77D91C9-735E-4F02-9ABB-8C8E7570DF1D}"/>
    <cellStyle name="Normal 12 44" xfId="5235" xr:uid="{81E8A200-763F-438F-8795-1E965362EA5E}"/>
    <cellStyle name="Normal 12 45" xfId="5236" xr:uid="{C5E1ACBF-8D59-435C-9349-7BF6F2792239}"/>
    <cellStyle name="Normal 12 46" xfId="5237" xr:uid="{D4881A62-0059-4435-93E5-A803EAF50132}"/>
    <cellStyle name="Normal 12 47" xfId="5238" xr:uid="{017014AB-58EB-4E4B-892B-65DAA05E1505}"/>
    <cellStyle name="Normal 12 48" xfId="5239" xr:uid="{793CF5F1-96FF-44DF-9EC0-441BF0838C45}"/>
    <cellStyle name="Normal 12 49" xfId="5240" xr:uid="{FDA83D68-F97E-4BCA-91E7-F057AB909B14}"/>
    <cellStyle name="Normal 12 5" xfId="5241" xr:uid="{EBFD0B8B-3ACA-4212-A732-EFA6D832E5D9}"/>
    <cellStyle name="Normal 12 50" xfId="6534" xr:uid="{79666432-8433-42A7-9C58-E522E469CEA9}"/>
    <cellStyle name="Normal 12 6" xfId="5242" xr:uid="{568EBF88-A1A9-4AA6-987E-DDE40485C58A}"/>
    <cellStyle name="Normal 12 7" xfId="5243" xr:uid="{E005833F-F503-4BF3-823F-A3F9DBFAE7A2}"/>
    <cellStyle name="Normal 12 8" xfId="5244" xr:uid="{3067B997-8422-479F-9500-11CB9E5EA185}"/>
    <cellStyle name="Normal 12 9" xfId="5245" xr:uid="{36C69A04-A9AD-43D7-9028-1C792B6EC242}"/>
    <cellStyle name="Normal 13" xfId="86" xr:uid="{3B9ABF7A-CE67-4A54-8356-05E56D053860}"/>
    <cellStyle name="Normal 13 10" xfId="5246" xr:uid="{AF16B824-FD41-4BE0-9937-C7960A358865}"/>
    <cellStyle name="Normal 13 11" xfId="5247" xr:uid="{C4872C03-E3C6-4A01-A38C-95DC19F93861}"/>
    <cellStyle name="Normal 13 12" xfId="5248" xr:uid="{29F62F7A-6988-476C-AA47-682E48BD6357}"/>
    <cellStyle name="Normal 13 13" xfId="5249" xr:uid="{80D8DFF8-6E9C-4658-BBD5-145D90033458}"/>
    <cellStyle name="Normal 13 14" xfId="5250" xr:uid="{9D23B77E-5059-4A61-9838-B2417DA3043C}"/>
    <cellStyle name="Normal 13 15" xfId="5251" xr:uid="{82F78F97-1313-42A0-BF8C-C77DB0DE95B3}"/>
    <cellStyle name="Normal 13 16" xfId="5252" xr:uid="{1D0F436F-A2CF-4011-B37C-F5AE1E648D04}"/>
    <cellStyle name="Normal 13 17" xfId="5253" xr:uid="{7974E51C-D41C-48DE-A73B-6439CE76149E}"/>
    <cellStyle name="Normal 13 18" xfId="5254" xr:uid="{7F4EE9E9-8665-404A-9B7B-1A33FD2FBCF7}"/>
    <cellStyle name="Normal 13 19" xfId="5255" xr:uid="{08C5AE9B-B0AC-4DD9-AD68-CED28DFC8E82}"/>
    <cellStyle name="Normal 13 2" xfId="5256" xr:uid="{08B97777-B0E0-4D34-BA2A-E576B50AFFAE}"/>
    <cellStyle name="Normal 13 20" xfId="5257" xr:uid="{0077F0AF-8F2D-4C89-A9A5-9B27D1B683BE}"/>
    <cellStyle name="Normal 13 21" xfId="5258" xr:uid="{2CC3A0C4-E843-4C1A-B6A2-6B51E35DC573}"/>
    <cellStyle name="Normal 13 22" xfId="5259" xr:uid="{96635C4E-8B69-409C-872F-EBF5F43FDDA0}"/>
    <cellStyle name="Normal 13 23" xfId="5260" xr:uid="{7497CAFE-A6C6-4DA7-8283-228243CF0F52}"/>
    <cellStyle name="Normal 13 24" xfId="5261" xr:uid="{170DC292-78CA-4100-9D35-4620FEDD7274}"/>
    <cellStyle name="Normal 13 25" xfId="5262" xr:uid="{7D5700EA-20C8-462C-A668-B688D3DD6772}"/>
    <cellStyle name="Normal 13 26" xfId="5263" xr:uid="{EA73CE52-F0B0-4F24-902A-28C1210BF17A}"/>
    <cellStyle name="Normal 13 27" xfId="5264" xr:uid="{E8BA31B8-C437-45C4-BBB0-0CAFA8990AAD}"/>
    <cellStyle name="Normal 13 28" xfId="5265" xr:uid="{06E92E3F-8869-4F39-A75F-7920DEBEA62B}"/>
    <cellStyle name="Normal 13 29" xfId="5266" xr:uid="{5307D4D5-12D1-4400-942A-B0A9A5B96880}"/>
    <cellStyle name="Normal 13 3" xfId="5267" xr:uid="{F9986A35-93C6-43B2-9CBA-69E6282E56BE}"/>
    <cellStyle name="Normal 13 30" xfId="5268" xr:uid="{D99B352A-6AFB-4817-BE81-33C86C99AF6B}"/>
    <cellStyle name="Normal 13 31" xfId="5269" xr:uid="{A3754226-1F3E-410D-B58E-66AF7DB00F92}"/>
    <cellStyle name="Normal 13 32" xfId="5270" xr:uid="{6D1F5CB2-2F29-45A7-A190-ED07C9F20DFB}"/>
    <cellStyle name="Normal 13 33" xfId="5271" xr:uid="{15E0673B-86DF-465E-9BEF-FEA861D6F055}"/>
    <cellStyle name="Normal 13 34" xfId="5272" xr:uid="{40E8EF96-FB86-42D6-87D3-B01CD4416096}"/>
    <cellStyle name="Normal 13 35" xfId="5273" xr:uid="{55366654-2F79-40B6-94E7-62CB12709227}"/>
    <cellStyle name="Normal 13 36" xfId="5274" xr:uid="{27122506-FEE8-4D18-862B-C9E31A16F514}"/>
    <cellStyle name="Normal 13 37" xfId="5275" xr:uid="{613967B2-AE01-471A-87F0-7347743EB66A}"/>
    <cellStyle name="Normal 13 38" xfId="5276" xr:uid="{326D6A3B-DE86-4240-9F83-964BBB078825}"/>
    <cellStyle name="Normal 13 39" xfId="5277" xr:uid="{77B07464-8096-4176-8477-37C945B60E40}"/>
    <cellStyle name="Normal 13 4" xfId="5278" xr:uid="{CE5BB96F-1A63-40EC-B033-1CF020EA8CF0}"/>
    <cellStyle name="Normal 13 40" xfId="5279" xr:uid="{29C9675F-8253-49F7-8C58-D398587597D9}"/>
    <cellStyle name="Normal 13 41" xfId="5280" xr:uid="{EAF01D61-5026-47AE-87DC-ED69E9E5E6BD}"/>
    <cellStyle name="Normal 13 42" xfId="5281" xr:uid="{A6E4779A-BC0B-4044-9C3D-E04B5504BE39}"/>
    <cellStyle name="Normal 13 43" xfId="5282" xr:uid="{977E3D0D-F15F-4778-A205-3E0195637D07}"/>
    <cellStyle name="Normal 13 44" xfId="5283" xr:uid="{52A362D9-1A33-46E1-9D95-6674F12D62CB}"/>
    <cellStyle name="Normal 13 45" xfId="5284" xr:uid="{8AFD743C-48C8-4064-B5A8-3DE3C52B7DF6}"/>
    <cellStyle name="Normal 13 46" xfId="5285" xr:uid="{7E1EB8D2-F870-4919-BA9F-53F05C26981D}"/>
    <cellStyle name="Normal 13 47" xfId="5286" xr:uid="{5E01C498-1E87-4B25-A3E7-D493CEBED536}"/>
    <cellStyle name="Normal 13 48" xfId="5287" xr:uid="{A36D42B8-ED25-4A11-BEBE-5C03A85F54EF}"/>
    <cellStyle name="Normal 13 49" xfId="5288" xr:uid="{3BF4C885-319C-4492-B226-AA2DA299DB00}"/>
    <cellStyle name="Normal 13 5" xfId="5289" xr:uid="{8FCFF75B-223D-4BAB-ACF0-3C3F404ACCD8}"/>
    <cellStyle name="Normal 13 50" xfId="6504" xr:uid="{0D9C7BF6-0972-4845-8CCB-35B821822B14}"/>
    <cellStyle name="Normal 13 50 2" xfId="7205" xr:uid="{C5064E03-D575-48ED-B105-9DBF4FFB0E1F}"/>
    <cellStyle name="Normal 13 50 2 2" xfId="8845" xr:uid="{06B3F6B0-2C59-4BF9-84D0-2F7A07D219B0}"/>
    <cellStyle name="Normal 13 50 3" xfId="8172" xr:uid="{F3B24417-EBF9-4B14-A66E-03D5940438AF}"/>
    <cellStyle name="Normal 13 51" xfId="6535" xr:uid="{13A1B213-89FC-467A-9E65-E40488EBFC37}"/>
    <cellStyle name="Normal 13 51 2" xfId="7264" xr:uid="{5413A836-9CCE-44A1-94D0-3597A3EBBEAF}"/>
    <cellStyle name="Normal 13 51 2 2" xfId="8904" xr:uid="{757D48D3-7175-4D22-A73D-AE295DE15361}"/>
    <cellStyle name="Normal 13 51 3" xfId="8184" xr:uid="{9E1428DC-D2CA-4C47-A709-5DB7EEEFD6AF}"/>
    <cellStyle name="Normal 13 6" xfId="5290" xr:uid="{36DBF7F7-05F4-474F-BC51-0EE039C0AF30}"/>
    <cellStyle name="Normal 13 7" xfId="5291" xr:uid="{0BBC8D29-3B97-483E-A783-068C78CE3B81}"/>
    <cellStyle name="Normal 13 8" xfId="5292" xr:uid="{DE58813D-78D6-4C46-80BE-57F890168D04}"/>
    <cellStyle name="Normal 13 9" xfId="5293" xr:uid="{16D8A4D8-5A07-4B16-9EA8-D580973A0E2D}"/>
    <cellStyle name="Normal 13_1_solis_MK Nr 595 " xfId="5294" xr:uid="{5751C475-395B-478E-8EE9-9E93AE0E14F7}"/>
    <cellStyle name="Normal 14" xfId="107" xr:uid="{937CFB56-1FB2-430E-9F2D-6078047E04C3}"/>
    <cellStyle name="Normal 14 2" xfId="5295" xr:uid="{3C890350-24F2-4025-970E-D17A1ACC8B72}"/>
    <cellStyle name="Normal 14 3" xfId="6505" xr:uid="{B563DC9F-1344-4D6B-87A2-28D2F94EEAC4}"/>
    <cellStyle name="Normal 14 3 2" xfId="7206" xr:uid="{5769E92F-A4C2-4FDE-85E7-2EE98886E2A4}"/>
    <cellStyle name="Normal 14 3 2 2" xfId="8846" xr:uid="{1D223628-C3AB-4F22-8BBD-7932E657BF97}"/>
    <cellStyle name="Normal 14 3 3" xfId="8173" xr:uid="{A7271668-48D1-40EA-A6D6-D07AC5242A72}"/>
    <cellStyle name="Normal 14 4" xfId="6536" xr:uid="{B0592226-D1A5-4B01-87F1-9F398B002852}"/>
    <cellStyle name="Normal 14 4 2" xfId="7265" xr:uid="{E729A509-98A5-4665-863E-775A95BA282B}"/>
    <cellStyle name="Normal 14 4 2 2" xfId="8905" xr:uid="{5C7204FE-D402-4E93-B537-8C1A78344AFA}"/>
    <cellStyle name="Normal 14 4 3" xfId="8185" xr:uid="{CC1DD36B-0B38-4A38-A33D-7A856A4541E3}"/>
    <cellStyle name="Normal 14_1_solis_MK Nr 595 " xfId="5296" xr:uid="{CB9DF3BB-FCDC-40D8-B4BE-F88F68193BD1}"/>
    <cellStyle name="Normal 15" xfId="92" xr:uid="{A028514A-BE8B-44A7-B7E6-9A5414113649}"/>
    <cellStyle name="Normal 15 2" xfId="5297" xr:uid="{B3D54300-BEB2-4A38-89E4-9977C46B30EC}"/>
    <cellStyle name="Normal 15 2 2" xfId="5298" xr:uid="{C00EEECA-06F9-4B68-B377-99DCB1D4C8B2}"/>
    <cellStyle name="Normal 15 2 2 2" xfId="6507" xr:uid="{C6A138EC-3607-4AD0-8C8E-B0DDD45B181F}"/>
    <cellStyle name="Normal 15 2 2 3" xfId="6347" xr:uid="{F33F610C-C954-4DFA-9568-1BBF769BECEC}"/>
    <cellStyle name="Normal 15 2 2 3 2" xfId="7266" xr:uid="{67A8569D-6B32-4645-A99C-6EBFDAE3666C}"/>
    <cellStyle name="Normal 15 2 2 3 2 2" xfId="8906" xr:uid="{ADBCEC47-83FE-440E-8C79-2E34BD1830C5}"/>
    <cellStyle name="Normal 15 2 2 3 3" xfId="8054" xr:uid="{570475A3-F595-4933-B919-07CA66E5E883}"/>
    <cellStyle name="Normal 15 2 2 4" xfId="7022" xr:uid="{A5A75098-C1AA-48C2-9967-D7A62B97DE2F}"/>
    <cellStyle name="Normal 15 2 2 4 2" xfId="8662" xr:uid="{28FBE73E-79F3-4F87-9396-A01345E6AF04}"/>
    <cellStyle name="Normal 15 2 2 5" xfId="7845" xr:uid="{14966FB3-C3A5-44A9-A11F-8F2AA20F3D3B}"/>
    <cellStyle name="Normal 15 2 3" xfId="6537" xr:uid="{7B435701-C9F2-4491-A62D-CA1AFA98C4EB}"/>
    <cellStyle name="Normal 15 2 3 2" xfId="7267" xr:uid="{7D17E86D-DBCF-4750-A950-995BDD2330AA}"/>
    <cellStyle name="Normal 15 2 3 2 2" xfId="8907" xr:uid="{CC786D4D-EC65-4B2C-814C-9D47D7FE0F8B}"/>
    <cellStyle name="Normal 15 2 3 3" xfId="8186" xr:uid="{F78E8DA0-1567-4C80-B02E-251608E07CD1}"/>
    <cellStyle name="Normal 15 2 4" xfId="6538" xr:uid="{50A5FA1D-C084-4D59-AF20-40EB73E865A2}"/>
    <cellStyle name="Normal 15 2 4 2" xfId="7268" xr:uid="{FF1F903F-63C8-418D-B96A-2797E303DC3A}"/>
    <cellStyle name="Normal 15 2 4 2 2" xfId="8908" xr:uid="{93D077AB-9517-4593-B5FD-3F8829B4C134}"/>
    <cellStyle name="Normal 15 2 4 3" xfId="8187" xr:uid="{F29955FC-60D1-4831-B88B-2DBC70BE85C9}"/>
    <cellStyle name="Normal 15 2 5" xfId="6346" xr:uid="{718CC2D9-19B5-4CB8-A280-CF78DC7017E4}"/>
    <cellStyle name="Normal 15 2 5 2" xfId="7269" xr:uid="{FC989DE7-EEF5-4B81-AC38-48EB4AB965B1}"/>
    <cellStyle name="Normal 15 2 5 2 2" xfId="8909" xr:uid="{4E9780EA-4977-44B9-A950-D7669C1BEE01}"/>
    <cellStyle name="Normal 15 2 5 3" xfId="8053" xr:uid="{A596389D-03C2-4624-8532-DE3F7AB603A1}"/>
    <cellStyle name="Normal 15 2 6" xfId="7021" xr:uid="{DEE761AA-44A7-43B9-BCC0-0F36CF25FC8D}"/>
    <cellStyle name="Normal 15 2 6 2" xfId="8661" xr:uid="{08E61D0F-2E28-434B-B861-8CCB4C6F7B10}"/>
    <cellStyle name="Normal 15 2 7" xfId="7844" xr:uid="{17844793-BF6E-4185-A3E9-7CFA7C1B2C76}"/>
    <cellStyle name="Normal 15 2_1_solis_MK Nr 595 " xfId="5299" xr:uid="{3B844713-DB20-4E82-9262-F93DED13A27B}"/>
    <cellStyle name="Normal 15 3" xfId="6506" xr:uid="{B157B1CA-327B-4DF5-AA5E-5BAFE3B42E2E}"/>
    <cellStyle name="Normal 16" xfId="134" xr:uid="{DA06A2D0-F1E3-4B1F-B0E6-335B75C21636}"/>
    <cellStyle name="Normal 16 2" xfId="5300" xr:uid="{702C1A6A-D248-4A44-8E35-11F0F1ECBE1F}"/>
    <cellStyle name="Normal 16 2 2" xfId="6539" xr:uid="{D0CBEF05-0711-4F1D-9BED-88D557736C23}"/>
    <cellStyle name="Normal 16 2 2 2" xfId="7270" xr:uid="{3996D997-6462-4F5D-B1EC-544174B9BE03}"/>
    <cellStyle name="Normal 16 2 2 2 2" xfId="8910" xr:uid="{EE592F6D-67AE-4A9E-A8D6-020BECE16A64}"/>
    <cellStyle name="Normal 16 2 2 3" xfId="8188" xr:uid="{03FB8F88-B74A-47D4-9DF2-8DDA56919309}"/>
    <cellStyle name="Normal 16 2 3" xfId="6540" xr:uid="{B558CB78-DBA7-4A8F-B4EA-14C5AA0A4653}"/>
    <cellStyle name="Normal 16 2 3 2" xfId="7271" xr:uid="{98C2743E-AF88-45FE-86D0-1A89788D9DA1}"/>
    <cellStyle name="Normal 16 2 3 2 2" xfId="8911" xr:uid="{10492E73-3166-4AA1-AF6A-14AD155E9860}"/>
    <cellStyle name="Normal 16 2 3 3" xfId="8189" xr:uid="{3F510E18-1AA7-4CDA-B846-35FFA3B2E494}"/>
    <cellStyle name="Normal 16 2 4" xfId="6348" xr:uid="{93E3D76D-96A2-4BAA-8B30-D6330BCDA24F}"/>
    <cellStyle name="Normal 16 2 4 2" xfId="7272" xr:uid="{30082AF8-80DC-440C-B01C-A1B267402009}"/>
    <cellStyle name="Normal 16 2 4 2 2" xfId="8912" xr:uid="{83B13199-D622-4295-B000-FBDA790A23D2}"/>
    <cellStyle name="Normal 16 2 4 3" xfId="8055" xr:uid="{C0B32041-C068-49B0-B817-BBA2C5576532}"/>
    <cellStyle name="Normal 16 2 5" xfId="7023" xr:uid="{23424049-3D3D-432F-AE54-53D8331DA5B9}"/>
    <cellStyle name="Normal 16 2 5 2" xfId="8663" xr:uid="{45D20973-3AAD-440F-80A5-DB6C2524D04B}"/>
    <cellStyle name="Normal 16 2 6" xfId="7846" xr:uid="{AE2E489F-1CCA-406C-A66E-9341647A7E25}"/>
    <cellStyle name="Normal 16 3" xfId="6508" xr:uid="{5C1C7C78-32B5-4417-BE84-4EE841029345}"/>
    <cellStyle name="Normal 17" xfId="91" xr:uid="{3628301F-82FD-47D0-A05D-C27A1F14204D}"/>
    <cellStyle name="Normal 17 2" xfId="6509" xr:uid="{6FF058BC-00FB-4201-8C1E-23509941CBFC}"/>
    <cellStyle name="Normal 18" xfId="161" xr:uid="{2DE6B6CD-E2F6-4EE2-848E-979E3912D339}"/>
    <cellStyle name="Normal 18 10" xfId="6962" xr:uid="{05F2218A-2D04-419D-AF1A-2AC9C3CAFA4A}"/>
    <cellStyle name="Normal 18 10 2" xfId="8601" xr:uid="{ADA0E821-7BA9-423F-8C48-528E520FD881}"/>
    <cellStyle name="Normal 18 11" xfId="7767" xr:uid="{F078EFED-B7E7-424A-96CC-482AECAFBCB7}"/>
    <cellStyle name="Normal 18 2" xfId="158" xr:uid="{BB791E40-37EF-4777-911A-9E188BF858DD}"/>
    <cellStyle name="Normal 18 2 2" xfId="6336" xr:uid="{859A932F-B3FF-4378-9DE8-09234C53D739}"/>
    <cellStyle name="Normal 18 2 2 2" xfId="6511" xr:uid="{3C442AB1-6545-4D03-8372-9ACB24ACCC1F}"/>
    <cellStyle name="Normal 18 2 2 2 2" xfId="6945" xr:uid="{EB452CB8-89FF-4E86-B6E2-A6B612D3C418}"/>
    <cellStyle name="Normal 18 2 2 2 2 2" xfId="6958" xr:uid="{27D5B470-D2AD-4FD8-8056-2BE4C9248278}"/>
    <cellStyle name="Normal 18 2 2 2 2 3" xfId="8585" xr:uid="{2996F596-B6A2-4005-ACBD-236AAF63D3CE}"/>
    <cellStyle name="Normal 18 2 2 2 3" xfId="7213" xr:uid="{D2B1091F-F84B-41B7-A8F3-89A2E8089A5B}"/>
    <cellStyle name="Normal 18 2 2 2 3 2" xfId="8853" xr:uid="{A3E585A4-3BCB-478A-8438-FCBB845DAAE9}"/>
    <cellStyle name="Normal 18 2 2 3" xfId="6350" xr:uid="{A3716F83-8113-43C3-9202-80BEFC87E279}"/>
    <cellStyle name="Normal 18 2 2 3 2" xfId="7273" xr:uid="{9AD04EA3-AB83-4D4A-B8E0-014966C6FCD4}"/>
    <cellStyle name="Normal 18 2 2 3 2 2" xfId="8913" xr:uid="{B12508CF-F1FF-438B-9DB1-2FA65314A59C}"/>
    <cellStyle name="Normal 18 2 2 3 3" xfId="8057" xr:uid="{CB1395F6-FDF8-41BA-BC23-54C0F02B15F5}"/>
    <cellStyle name="Normal 18 2 2 4" xfId="6956" xr:uid="{A9F0AF49-EE37-403B-AE32-2D059DD4355B}"/>
    <cellStyle name="Normal 18 2 2 4 2" xfId="7749" xr:uid="{50631450-CAE9-4E07-AC62-E6810F60EB76}"/>
    <cellStyle name="Normal 18 2 2 4 2 2" xfId="9386" xr:uid="{0EBA13FF-ABEE-44DF-9689-C25C95103A43}"/>
    <cellStyle name="Normal 18 2 2 4 3" xfId="7760" xr:uid="{5611456A-67BE-41DD-9DDB-CB03ACD40BF9}"/>
    <cellStyle name="Normal 18 2 2 4 3 2" xfId="9397" xr:uid="{D919C4DC-FE75-4ABA-A6C8-E484A3E042D5}"/>
    <cellStyle name="Normal 18 2 2 4 4" xfId="8596" xr:uid="{A1038F38-A990-482A-9F90-68BE303ADA61}"/>
    <cellStyle name="Normal 18 2 2 5" xfId="8044" xr:uid="{0807CD93-9DCD-41A4-AA16-99500987DFC1}"/>
    <cellStyle name="Normal 18 2 3" xfId="6338" xr:uid="{3D24A868-EED0-444A-811A-A875275BF47B}"/>
    <cellStyle name="Normal 18 2 3 2" xfId="6351" xr:uid="{67128844-6842-4C19-90A6-6AA626953DF9}"/>
    <cellStyle name="Normal 18 2 3 2 2" xfId="7274" xr:uid="{CB2C62FD-4E55-4D3F-BA20-13939BB29711}"/>
    <cellStyle name="Normal 18 2 3 2 2 2" xfId="8914" xr:uid="{1088A030-1F42-44D1-ADC1-30EB04B89EC6}"/>
    <cellStyle name="Normal 18 2 3 2 3" xfId="8058" xr:uid="{02B35F57-AF5C-428F-8CB4-C68B7A354ECE}"/>
    <cellStyle name="Normal 18 2 3 3" xfId="7212" xr:uid="{B4843527-EE2C-4990-9F25-9FB4B7EAF1CE}"/>
    <cellStyle name="Normal 18 2 3 3 2" xfId="8852" xr:uid="{E704708B-7C60-4E3C-85ED-AB3837D2DA14}"/>
    <cellStyle name="Normal 18 2 3 4" xfId="8045" xr:uid="{0A38C2A6-73BC-479E-9A2D-A75608C7F6D1}"/>
    <cellStyle name="Normal 18 2 4" xfId="6349" xr:uid="{532A3A1D-8208-4A00-9377-03505C9C9DFD}"/>
    <cellStyle name="Normal 18 2 4 2" xfId="7275" xr:uid="{141DDCC9-D797-4A2C-8369-3FEBFE46E96F}"/>
    <cellStyle name="Normal 18 2 4 2 2" xfId="8915" xr:uid="{7913FFEC-4315-40C6-AB1F-2E54F8BF1630}"/>
    <cellStyle name="Normal 18 2 4 3" xfId="8056" xr:uid="{FC8CDEEE-2E37-42DD-A02C-B8658441B27C}"/>
    <cellStyle name="Normal 18 2 5" xfId="6967" xr:uid="{E7476D5A-1F33-44DC-A1AB-70EE11E656A5}"/>
    <cellStyle name="Normal 18 2 5 2" xfId="8606" xr:uid="{5ABF659A-CFBE-4B20-B1AC-4E0924749173}"/>
    <cellStyle name="Normal 18 2 6" xfId="7769" xr:uid="{3A7F1AE4-3B86-40B1-AE76-7AC2E2FB9718}"/>
    <cellStyle name="Normal 18 3" xfId="38" xr:uid="{B56999AC-B038-4A77-87B3-47777BE5DBB5}"/>
    <cellStyle name="Normal 18 3 2" xfId="36" xr:uid="{2F36B679-AE0D-4842-9BC8-88AFE6469000}"/>
    <cellStyle name="Normal 18 3 2 2" xfId="7276" xr:uid="{3195EA21-F1C8-4D59-8F90-F24645F8F1D8}"/>
    <cellStyle name="Normal 18 3 2 2 2" xfId="8916" xr:uid="{C0D71087-98DC-4539-81F2-37224FA440BC}"/>
    <cellStyle name="Normal 18 3 2 3" xfId="7757" xr:uid="{09A9FB9A-0E40-494C-9924-122E05857D79}"/>
    <cellStyle name="Normal 18 3 2 3 2" xfId="9394" xr:uid="{586A5845-8103-4A79-A57A-AA0776835E7E}"/>
    <cellStyle name="Normal 18 3 2 4" xfId="8190" xr:uid="{715A3313-40C2-435F-9ACD-494EFA79CDE7}"/>
    <cellStyle name="Normal 18 3 3" xfId="6541" xr:uid="{ABB6AF7F-07BE-4717-BF1C-A9CF438433D3}"/>
    <cellStyle name="Normal 18 3 3 2" xfId="7277" xr:uid="{5BB95842-8862-4E38-8A81-DB45D28DAE7A}"/>
    <cellStyle name="Normal 18 3 3 2 2" xfId="8917" xr:uid="{49542BC6-D286-40AC-B88C-A1EED415E3EB}"/>
    <cellStyle name="Normal 18 3 3 3" xfId="8191" xr:uid="{683B5873-F0E8-4528-8CEE-626CA7277EED}"/>
    <cellStyle name="Normal 18 3 4" xfId="6352" xr:uid="{AF825FA0-F119-48F4-A322-8351D95886AF}"/>
    <cellStyle name="Normal 18 3 4 2" xfId="7278" xr:uid="{322B022E-46FB-4DF3-8003-1A46DFB2E430}"/>
    <cellStyle name="Normal 18 3 4 2 2" xfId="8918" xr:uid="{1C0CFF81-7DCF-44D8-ACFF-10901E08867E}"/>
    <cellStyle name="Normal 18 3 4 3" xfId="8059" xr:uid="{12CDC35A-C155-4C25-A0AE-A40629BEE6C7}"/>
    <cellStyle name="Normal 18 3 5" xfId="6953" xr:uid="{C7A9EF04-4FEE-4EC6-9E96-E83F5CFD7BDF}"/>
    <cellStyle name="Normal 18 3 5 2" xfId="6957" xr:uid="{D8BFC1AD-B694-409A-88D1-0D57BF3819C0}"/>
    <cellStyle name="Normal 18 3 5 2 2" xfId="7761" xr:uid="{8E9F2C49-C526-4DCC-94D4-B9B26C95CDCF}"/>
    <cellStyle name="Normal 18 3 5 2 2 2" xfId="9398" xr:uid="{BD486A35-6D2E-41FC-AE6A-34C038DEC4CB}"/>
    <cellStyle name="Normal 18 3 5 2 3" xfId="8597" xr:uid="{5D580EF2-33B7-4FE4-BE80-D4E3C171C2F0}"/>
    <cellStyle name="Normal 18 3 5 3" xfId="7753" xr:uid="{0417FA15-E23F-4C2F-8742-9C1B7C273F97}"/>
    <cellStyle name="Normal 18 3 5 3 2" xfId="9390" xr:uid="{F26A0025-B1BB-4612-B0FF-968A272FA905}"/>
    <cellStyle name="Normal 18 3 5 4" xfId="8593" xr:uid="{2802E721-1BAB-43A1-862A-5CF5545CAB75}"/>
    <cellStyle name="Normal 18 3 6" xfId="7024" xr:uid="{8AB7044E-7B0E-4EA8-9B77-0D88A7C6541A}"/>
    <cellStyle name="Normal 18 3 6 2" xfId="8664" xr:uid="{DE2E4CEF-483D-45A7-A19A-82E2FDB31ADE}"/>
    <cellStyle name="Normal 18 3 7" xfId="7847" xr:uid="{1B9C10CE-9F77-431A-BA67-D5FB10ACEEEA}"/>
    <cellStyle name="Normal 18 4" xfId="5301" xr:uid="{761E3EA3-4422-419D-A3CF-AA719B367D80}"/>
    <cellStyle name="Normal 18 4 2" xfId="6542" xr:uid="{6B9CA963-9C33-452F-A2F5-8FA3FEF52273}"/>
    <cellStyle name="Normal 18 4 2 2" xfId="7279" xr:uid="{5F11C881-0D42-4725-A57A-73AB52A39F17}"/>
    <cellStyle name="Normal 18 4 2 2 2" xfId="8919" xr:uid="{A2D6DA25-2550-4E90-BDC0-A02146879DAA}"/>
    <cellStyle name="Normal 18 4 2 3" xfId="8192" xr:uid="{AAFF5D8D-A69B-4BF1-A9A4-E8C0EC7990E3}"/>
    <cellStyle name="Normal 18 4 3" xfId="6353" xr:uid="{1E50B37E-C1BF-42EA-9A4A-360CF03E6D7B}"/>
    <cellStyle name="Normal 18 4 3 2" xfId="7280" xr:uid="{0F27C956-88A5-40F7-8BC9-D6656396A5A2}"/>
    <cellStyle name="Normal 18 4 3 2 2" xfId="8920" xr:uid="{5901DD6F-D3C6-4E7E-9CDE-39A63E60312B}"/>
    <cellStyle name="Normal 18 4 3 3" xfId="8060" xr:uid="{04802D86-935C-497D-9C0C-2C8C2D50496A}"/>
    <cellStyle name="Normal 18 4 4" xfId="7025" xr:uid="{CD85D1F9-80B6-447D-9ED6-BB7106004F99}"/>
    <cellStyle name="Normal 18 4 4 2" xfId="8665" xr:uid="{2FF25E13-4618-41AA-B62C-F12064F964E9}"/>
    <cellStyle name="Normal 18 4 5" xfId="7848" xr:uid="{EB546A20-B90E-458C-B08B-F06097112953}"/>
    <cellStyle name="Normal 18 5" xfId="5302" xr:uid="{249A79B6-37E0-406F-84D3-CD50EA56B425}"/>
    <cellStyle name="Normal 18 5 2" xfId="6543" xr:uid="{D3ABE116-D49A-43EE-8B08-83F9CBB2C050}"/>
    <cellStyle name="Normal 18 5 2 2" xfId="7281" xr:uid="{4BC5C8F5-F601-4C1D-908E-A5C93B2C0196}"/>
    <cellStyle name="Normal 18 5 2 2 2" xfId="8921" xr:uid="{5A096FD4-690B-44A5-97CB-A4355CB8AAF7}"/>
    <cellStyle name="Normal 18 5 2 3" xfId="8193" xr:uid="{684AB6BC-B278-4C09-AAB3-9D247EC77B68}"/>
    <cellStyle name="Normal 18 5 3" xfId="6354" xr:uid="{9E5E547F-27FD-4614-88DC-832CCF251F1B}"/>
    <cellStyle name="Normal 18 5 3 2" xfId="7282" xr:uid="{5137F0DA-3FF2-4B8C-8414-15FE284E487B}"/>
    <cellStyle name="Normal 18 5 3 2 2" xfId="8922" xr:uid="{F6967114-C5C0-41B8-B43E-8779D2DCBEB3}"/>
    <cellStyle name="Normal 18 5 3 3" xfId="8061" xr:uid="{C230202B-D8C2-45BE-AF17-9526AD420C42}"/>
    <cellStyle name="Normal 18 5 4" xfId="7026" xr:uid="{ABF25A76-953B-41C5-9946-A061503367A5}"/>
    <cellStyle name="Normal 18 5 4 2" xfId="8666" xr:uid="{C2B43CAB-EB9A-46CE-A520-4C2D026879E2}"/>
    <cellStyle name="Normal 18 5 5" xfId="7849" xr:uid="{FDB7D08F-AD63-48AF-995F-C7DA5735E463}"/>
    <cellStyle name="Normal 18 6" xfId="5303" xr:uid="{8963605E-1455-40DB-8802-EE540A26B883}"/>
    <cellStyle name="Normal 18 6 2" xfId="6544" xr:uid="{ABC4F628-B0EF-48F9-8505-AC61B6CAFD43}"/>
    <cellStyle name="Normal 18 6 2 2" xfId="7283" xr:uid="{A4431FBE-F19C-4B75-BBC8-B453A3E62DA5}"/>
    <cellStyle name="Normal 18 6 2 2 2" xfId="8923" xr:uid="{B8F93845-DA4C-462B-B7F1-E3EB0FCA347E}"/>
    <cellStyle name="Normal 18 6 2 3" xfId="8194" xr:uid="{52E8CAE6-8751-49B7-A583-169CB6A55CF5}"/>
    <cellStyle name="Normal 18 6 3" xfId="6355" xr:uid="{D44863C4-2C4E-4A50-B227-6178839B624D}"/>
    <cellStyle name="Normal 18 6 3 2" xfId="7284" xr:uid="{FB0A8A39-25B2-4F45-963F-7A7B3514ABBB}"/>
    <cellStyle name="Normal 18 6 3 2 2" xfId="8924" xr:uid="{0E06AB5F-AB5C-4FB2-9B61-49725D1142B1}"/>
    <cellStyle name="Normal 18 6 3 3" xfId="8062" xr:uid="{1F7399AD-0463-4A51-BD25-569B0FCCC526}"/>
    <cellStyle name="Normal 18 6 4" xfId="7027" xr:uid="{3EB0562A-26C9-4411-8599-980BCB94519B}"/>
    <cellStyle name="Normal 18 6 4 2" xfId="8667" xr:uid="{976A3305-395B-452F-AF34-626469E09D27}"/>
    <cellStyle name="Normal 18 6 5" xfId="7850" xr:uid="{92A1DEFB-AFEE-432F-9C3C-2CA33F69CC19}"/>
    <cellStyle name="Normal 18 7" xfId="6510" xr:uid="{77074349-2C75-4F15-AA31-1D97ADB00E20}"/>
    <cellStyle name="Normal 18 8" xfId="6340" xr:uid="{59553C02-8D2C-4907-B29A-8B3CECB5F2F0}"/>
    <cellStyle name="Normal 18 8 2" xfId="7285" xr:uid="{EF6D3467-E278-4345-A5C3-9C00B56E16D5}"/>
    <cellStyle name="Normal 18 8 2 2" xfId="8925" xr:uid="{7F2EA1AD-C8DE-40E7-91BA-6127F74B4F04}"/>
    <cellStyle name="Normal 18 8 3" xfId="8047" xr:uid="{5A3A6A5D-5DF4-4BD4-A1E2-64A15BDC953D}"/>
    <cellStyle name="Normal 18 9" xfId="6941" xr:uid="{716A00F7-6ABB-4A3F-AA7D-DFE031CD59C8}"/>
    <cellStyle name="Normal 18 9 2" xfId="8580" xr:uid="{4CF56162-7788-4DF8-BDC3-7C908DD0BC01}"/>
    <cellStyle name="Normal 18_1_solis_MK Nr 595 " xfId="5304" xr:uid="{025BA561-898F-417A-8CF5-A16050C220FF}"/>
    <cellStyle name="Normal 19" xfId="5305" xr:uid="{90DC7EEC-6599-45CF-90E8-7108FF3CD31E}"/>
    <cellStyle name="Normal 19 10" xfId="6343" xr:uid="{1D2BE22B-EAD8-4E75-A887-66F99CDEC57E}"/>
    <cellStyle name="Normal 19 10 2" xfId="7286" xr:uid="{7687ACFE-FB96-4CF7-BABD-B02CEE4B2AEB}"/>
    <cellStyle name="Normal 19 10 2 2" xfId="8926" xr:uid="{11DD869C-15D4-4261-8BD7-995BAD29AB8B}"/>
    <cellStyle name="Normal 19 10 3" xfId="8050" xr:uid="{8B51AD21-C06C-483B-8928-3C68A8E1B0C8}"/>
    <cellStyle name="Normal 19 11" xfId="7028" xr:uid="{5D861377-64E8-4205-B813-5E60E291DE76}"/>
    <cellStyle name="Normal 19 11 2" xfId="8668" xr:uid="{33780FF8-566C-41C3-916B-CC199C98B06C}"/>
    <cellStyle name="Normal 19 12" xfId="7851" xr:uid="{30B870CB-67E5-4E1A-B2B1-804E03C414DA}"/>
    <cellStyle name="Normal 19 2" xfId="5306" xr:uid="{2BCBA914-9908-41EA-8E85-9C9305F4FDDF}"/>
    <cellStyle name="Normal 19 2 2" xfId="5307" xr:uid="{D790F939-02D3-4C6A-B00E-13CC68D588C4}"/>
    <cellStyle name="Normal 19 2 3" xfId="5308" xr:uid="{7DAC60AB-B7A2-4F82-855C-F95D6AEC0E81}"/>
    <cellStyle name="Normal 19 2_1_solis_MK Nr 595 " xfId="5309" xr:uid="{C7254E2E-E475-44A5-80CB-CCBC6AF60238}"/>
    <cellStyle name="Normal 19 3" xfId="5310" xr:uid="{2C80C58B-6FFB-4561-B9A3-C8D0E6217235}"/>
    <cellStyle name="Normal 19 4" xfId="5311" xr:uid="{B8814E06-C10F-492D-8386-E9198F115DA3}"/>
    <cellStyle name="Normal 19 5" xfId="6545" xr:uid="{6CA2CEBD-BF61-467B-9E27-9283FBADCF9F}"/>
    <cellStyle name="Normal 19 5 2" xfId="7287" xr:uid="{3715920B-1A79-47A3-8055-965063F32508}"/>
    <cellStyle name="Normal 19 5 2 2" xfId="8927" xr:uid="{0E0FA374-1AA7-4554-92FF-524F23973BAD}"/>
    <cellStyle name="Normal 19 5 3" xfId="8195" xr:uid="{1460869C-FA15-4C91-A6E7-DF736CCB40FC}"/>
    <cellStyle name="Normal 19 6" xfId="6546" xr:uid="{1403F9CB-8F03-4397-ACB1-1962816165C6}"/>
    <cellStyle name="Normal 19 6 2" xfId="7288" xr:uid="{2FB12095-3B8C-4E4E-B933-7892E09038B1}"/>
    <cellStyle name="Normal 19 6 2 2" xfId="8928" xr:uid="{21385A9F-0C32-4B1F-AC13-E61F4941194A}"/>
    <cellStyle name="Normal 19 6 3" xfId="8196" xr:uid="{D362BC38-1E74-4888-9D34-187D5CE1B87D}"/>
    <cellStyle name="Normal 19 7" xfId="6356" xr:uid="{C8582D1C-2D4D-43BA-8A92-6585724452B8}"/>
    <cellStyle name="Normal 19 7 2" xfId="7289" xr:uid="{33A90CED-2578-48E3-AFB0-6ADD639E57F0}"/>
    <cellStyle name="Normal 19 7 2 2" xfId="8929" xr:uid="{531D8336-2F0A-4F9B-8C09-32267BFF1F8B}"/>
    <cellStyle name="Normal 19 7 3" xfId="8063" xr:uid="{170D344B-E4D4-43B1-93B9-C31DE7CF406C}"/>
    <cellStyle name="Normal 19 8" xfId="6342" xr:uid="{A0D433B1-6AAA-4FA0-A844-58499F2B0105}"/>
    <cellStyle name="Normal 19 8 2" xfId="7290" xr:uid="{BA7CE5B9-3CB3-40A3-9D70-B74D5B8D71DE}"/>
    <cellStyle name="Normal 19 8 2 2" xfId="8930" xr:uid="{B8CC913D-E118-4CDE-8238-9B1CE98F6445}"/>
    <cellStyle name="Normal 19 8 3" xfId="8049" xr:uid="{464502AE-CEAE-4E28-A414-BB6D952A8742}"/>
    <cellStyle name="Normal 19 9" xfId="6344" xr:uid="{04CB3319-F6AA-4679-8517-CA248951150F}"/>
    <cellStyle name="Normal 19 9 2" xfId="7291" xr:uid="{155D96C2-9089-4D58-9C85-703E9FA0DAFB}"/>
    <cellStyle name="Normal 19 9 2 2" xfId="8931" xr:uid="{8F2E605F-52AB-4278-9C61-98969A87F460}"/>
    <cellStyle name="Normal 19 9 3" xfId="8051" xr:uid="{57252D71-743B-41A6-8DC5-F00A509B4B91}"/>
    <cellStyle name="Normal 19_1_solis_MK Nr 595 " xfId="5312" xr:uid="{3D5634AD-1445-4308-A774-2C4EA1CD4111}"/>
    <cellStyle name="Normal 2" xfId="3" xr:uid="{AFCC2206-57C2-4293-86A4-AA13C5CD7CDE}"/>
    <cellStyle name="Normal 2 10" xfId="5313" xr:uid="{90A6FC8E-9AB5-4393-94A9-7BCF329E35EF}"/>
    <cellStyle name="Normal 2 10 2" xfId="6547" xr:uid="{9B151D60-54EF-4B2E-8CE2-5842409A8201}"/>
    <cellStyle name="Normal 2 10 2 2" xfId="7292" xr:uid="{BF98BC64-A47E-4BB6-83C4-B9476580C404}"/>
    <cellStyle name="Normal 2 10 2 2 2" xfId="8932" xr:uid="{6F530F2A-020D-4634-A249-6F7797106E8C}"/>
    <cellStyle name="Normal 2 10 2 3" xfId="8197" xr:uid="{096F2B3E-705C-4625-B93D-B190BCB422BB}"/>
    <cellStyle name="Normal 2 10 3" xfId="6548" xr:uid="{467480E9-CF6C-4412-8202-8E332B5463BE}"/>
    <cellStyle name="Normal 2 10 3 2" xfId="7293" xr:uid="{569F07F7-277C-4D6A-A7A6-BFEA39BC0679}"/>
    <cellStyle name="Normal 2 10 3 2 2" xfId="8933" xr:uid="{5361F335-D97A-4CBD-8DA2-3808960D9E31}"/>
    <cellStyle name="Normal 2 10 3 3" xfId="8198" xr:uid="{334C7A17-20F4-4664-80B1-D80556EB8212}"/>
    <cellStyle name="Normal 2 10 4" xfId="6357" xr:uid="{A09EB180-C9E1-4FE4-8E1A-65D1F9F8C4E9}"/>
    <cellStyle name="Normal 2 10 4 2" xfId="7294" xr:uid="{EDD966CC-F6C6-4D48-BDD8-58AA34B38223}"/>
    <cellStyle name="Normal 2 10 4 2 2" xfId="8934" xr:uid="{AED09621-A936-490D-A002-318074AEF341}"/>
    <cellStyle name="Normal 2 10 4 3" xfId="8064" xr:uid="{D3F2A767-DE48-4422-957E-75FFD5EE7C4C}"/>
    <cellStyle name="Normal 2 10 5" xfId="7029" xr:uid="{D4689D87-8334-4437-BCBE-07AB7F6C5498}"/>
    <cellStyle name="Normal 2 10 5 2" xfId="8669" xr:uid="{8C79B0AD-8D2C-427F-8AA7-FDBE6606C4C2}"/>
    <cellStyle name="Normal 2 10 6" xfId="7852" xr:uid="{FD523786-D4B6-4DA5-923C-E9FDC9214DE7}"/>
    <cellStyle name="Normal 2 11" xfId="5314" xr:uid="{8A410F1E-3F7B-4628-B01F-8549DFB6E479}"/>
    <cellStyle name="Normal 2 11 2" xfId="6549" xr:uid="{B7EFD4E4-F647-4E74-94B8-B8D939CAA0BE}"/>
    <cellStyle name="Normal 2 11 2 2" xfId="7295" xr:uid="{47BB3DAF-1DDD-4809-97CE-C8B5C8E0BD0A}"/>
    <cellStyle name="Normal 2 11 2 2 2" xfId="8935" xr:uid="{6256A48B-5706-4E77-9BE8-A406953C661C}"/>
    <cellStyle name="Normal 2 11 2 3" xfId="8199" xr:uid="{D04F1A35-EBD3-4A4D-9C7F-9A33878585FB}"/>
    <cellStyle name="Normal 2 11 3" xfId="6550" xr:uid="{A64A08EE-2F58-4C01-BE67-9EFD70236E2B}"/>
    <cellStyle name="Normal 2 11 3 2" xfId="7296" xr:uid="{DFAF653B-2201-4FD2-A4A4-205FD177EC50}"/>
    <cellStyle name="Normal 2 11 3 2 2" xfId="8936" xr:uid="{100FE021-99A1-45E8-8E26-3DFF63D5A02C}"/>
    <cellStyle name="Normal 2 11 3 3" xfId="8200" xr:uid="{8492B868-A2C0-479E-AA70-8FAD2BFF68F9}"/>
    <cellStyle name="Normal 2 11 4" xfId="6358" xr:uid="{66C267B9-B244-488E-BC7B-26911781D278}"/>
    <cellStyle name="Normal 2 11 4 2" xfId="7297" xr:uid="{3EB75831-70C1-4630-AEEE-6DB453260841}"/>
    <cellStyle name="Normal 2 11 4 2 2" xfId="8937" xr:uid="{8B6C835E-1649-4E98-9054-94EA4535C1FE}"/>
    <cellStyle name="Normal 2 11 4 3" xfId="8065" xr:uid="{080EC7FA-C810-4060-87F1-AAC624B0E63D}"/>
    <cellStyle name="Normal 2 11 5" xfId="7030" xr:uid="{B9CB3265-706C-4621-AD23-215816142163}"/>
    <cellStyle name="Normal 2 11 5 2" xfId="8670" xr:uid="{3C888675-B9C7-4545-98F7-720642759091}"/>
    <cellStyle name="Normal 2 11 6" xfId="7853" xr:uid="{CB9796C8-4631-47B6-85F8-EAB60AA3C89C}"/>
    <cellStyle name="Normal 2 12" xfId="67" xr:uid="{0158FE70-BBBF-4FB6-8A47-D02B8E63E72D}"/>
    <cellStyle name="Normal 2 13" xfId="5315" xr:uid="{9D906F79-CD3E-48D6-9FB0-F2A996E99EBD}"/>
    <cellStyle name="Normal 2 13 10" xfId="5316" xr:uid="{57AF2F36-81E4-49BD-9966-A3F91E2E9B01}"/>
    <cellStyle name="Normal 2 13 11" xfId="5317" xr:uid="{CFE3878A-E648-4E9A-B9E0-C2ACD05CAD28}"/>
    <cellStyle name="Normal 2 13 12" xfId="5318" xr:uid="{8BC86615-4377-45B7-938F-02279AFE4BDC}"/>
    <cellStyle name="Normal 2 13 13" xfId="5319" xr:uid="{0289330C-5D0A-49A5-9D64-ED75F0C7D155}"/>
    <cellStyle name="Normal 2 13 2" xfId="5320" xr:uid="{12C07650-6C37-4F02-AE0D-5D8F95DF59F1}"/>
    <cellStyle name="Normal 2 13 2 10" xfId="5321" xr:uid="{E5167889-631C-478C-89CA-413C538A23BC}"/>
    <cellStyle name="Normal 2 13 2 11" xfId="5322" xr:uid="{C0BE1FCC-0743-4AB8-A7E5-6498E499FBE6}"/>
    <cellStyle name="Normal 2 13 2 12" xfId="5323" xr:uid="{2D91D1CB-6A5A-4583-BFAE-5AF12EE91ADF}"/>
    <cellStyle name="Normal 2 13 2 13" xfId="5324" xr:uid="{E010775F-6098-407F-AB85-868B3CDB5E77}"/>
    <cellStyle name="Normal 2 13 2 2" xfId="5325" xr:uid="{622980EA-A388-4632-9C11-A4A68C3E1B9C}"/>
    <cellStyle name="Normal 2 13 2 3" xfId="5326" xr:uid="{D3015289-EBD1-45DE-AEAB-ED9034949D10}"/>
    <cellStyle name="Normal 2 13 2 4" xfId="5327" xr:uid="{3287635B-C3C5-4AC0-9A1B-9DA482B55A68}"/>
    <cellStyle name="Normal 2 13 2 5" xfId="5328" xr:uid="{2D2F442F-0A24-46B5-B573-C5E2028F1AA4}"/>
    <cellStyle name="Normal 2 13 2 6" xfId="5329" xr:uid="{A7E6B9A7-7412-498C-98BF-4D0D39C8ED78}"/>
    <cellStyle name="Normal 2 13 2 7" xfId="5330" xr:uid="{7E1613C1-6A62-4BC2-88E2-69633399EA54}"/>
    <cellStyle name="Normal 2 13 2 8" xfId="5331" xr:uid="{F249FEC7-73AF-49D4-9D94-46F4F575BD60}"/>
    <cellStyle name="Normal 2 13 2 9" xfId="5332" xr:uid="{435A3651-B48C-4D4A-8906-7C6E50416A75}"/>
    <cellStyle name="Normal 2 13 3" xfId="5333" xr:uid="{86E36C59-7FF1-459E-9C8B-85C2554D9449}"/>
    <cellStyle name="Normal 2 13 4" xfId="5334" xr:uid="{CB6DCAAA-1A77-4442-BA77-F15D82D49E40}"/>
    <cellStyle name="Normal 2 13 5" xfId="5335" xr:uid="{060D4E65-7682-4172-91E3-D30E9DED38F8}"/>
    <cellStyle name="Normal 2 13 6" xfId="5336" xr:uid="{7D55E431-01C9-404D-BE87-BE841BE546DD}"/>
    <cellStyle name="Normal 2 13 7" xfId="5337" xr:uid="{28C3F314-70C1-4761-9B42-4C85B0FAB265}"/>
    <cellStyle name="Normal 2 13 8" xfId="5338" xr:uid="{54B5B21B-3C46-4389-946B-7FD2AABEB577}"/>
    <cellStyle name="Normal 2 13 9" xfId="5339" xr:uid="{2D636BF6-50E2-4530-B244-C301C8F416E4}"/>
    <cellStyle name="Normal 2 14" xfId="5340" xr:uid="{75DF5983-EBFD-4158-A120-9C463B2FCE6A}"/>
    <cellStyle name="Normal 2 15" xfId="5341" xr:uid="{DF38EDA7-5DE7-45FE-8E5F-08353A251E8F}"/>
    <cellStyle name="Normal 2 16" xfId="5342" xr:uid="{B8068943-07FF-4B8E-9A4A-1E2F5A91249D}"/>
    <cellStyle name="Normal 2 17" xfId="5343" xr:uid="{7609D748-3524-4448-BB77-846253C81B75}"/>
    <cellStyle name="Normal 2 18" xfId="5344" xr:uid="{AE9BC810-D4AC-4FCB-974E-0EA3DBDA730B}"/>
    <cellStyle name="Normal 2 19" xfId="5345" xr:uid="{BE334B46-7843-4237-BF73-ACFAD7A9399C}"/>
    <cellStyle name="Normal 2 2" xfId="4" xr:uid="{B363E587-D13E-47BF-9F6C-43C3B13EBD1C}"/>
    <cellStyle name="Normal 2 2 10" xfId="5347" xr:uid="{DD4D6327-470B-43B1-A9E5-C35A44F47FE9}"/>
    <cellStyle name="Normal 2 2 10 2" xfId="6551" xr:uid="{1379A82B-3638-468A-B116-6B26D7E823F2}"/>
    <cellStyle name="Normal 2 2 10 2 2" xfId="7298" xr:uid="{5409AC83-C518-4B6C-9AA5-5CEF1E977FF2}"/>
    <cellStyle name="Normal 2 2 10 2 2 2" xfId="8938" xr:uid="{124AA1F5-CEDE-431E-AC7B-60C053168797}"/>
    <cellStyle name="Normal 2 2 10 2 3" xfId="8201" xr:uid="{0EC115DA-7648-4EA7-8B0E-32C4F153DBAB}"/>
    <cellStyle name="Normal 2 2 10 3" xfId="6552" xr:uid="{B37018AC-5DD8-4C4E-8F28-A3AC5370A130}"/>
    <cellStyle name="Normal 2 2 10 3 2" xfId="7299" xr:uid="{77D7D53F-1C13-499C-BE4F-DE579B24BD47}"/>
    <cellStyle name="Normal 2 2 10 3 2 2" xfId="8939" xr:uid="{52628DEE-4F02-4792-A260-6DE4ADC97E79}"/>
    <cellStyle name="Normal 2 2 10 3 3" xfId="8202" xr:uid="{0C667B3C-56FA-4B76-B8D7-0D68A217135F}"/>
    <cellStyle name="Normal 2 2 10 4" xfId="6359" xr:uid="{ABC655A7-A690-4DA1-911F-28BF0E751BE3}"/>
    <cellStyle name="Normal 2 2 10 4 2" xfId="7300" xr:uid="{47E8748D-E6FE-4E25-AD3F-31D2819BBF63}"/>
    <cellStyle name="Normal 2 2 10 4 2 2" xfId="8940" xr:uid="{B7E7697D-43A2-4059-98AB-5EBE42B7093B}"/>
    <cellStyle name="Normal 2 2 10 4 3" xfId="8066" xr:uid="{0899E29B-6155-49AA-95E2-A255CEBC2346}"/>
    <cellStyle name="Normal 2 2 10 5" xfId="7031" xr:uid="{1EA4CDE4-828B-4E59-9678-93A62C245F4F}"/>
    <cellStyle name="Normal 2 2 10 5 2" xfId="8671" xr:uid="{7DE983D3-AB59-477F-9FF3-9E937F453D77}"/>
    <cellStyle name="Normal 2 2 10 6" xfId="7854" xr:uid="{2A058558-DEBB-4DE6-92D3-A4E92CD202BC}"/>
    <cellStyle name="Normal 2 2 11" xfId="5348" xr:uid="{5AB90140-834A-4844-AE57-47B3EA322C72}"/>
    <cellStyle name="Normal 2 2 11 2" xfId="6553" xr:uid="{AA108F1E-6E40-4E9B-A44C-C1BF2B9A8053}"/>
    <cellStyle name="Normal 2 2 11 2 2" xfId="7301" xr:uid="{3C28995A-900C-4803-AE27-BB501B86F496}"/>
    <cellStyle name="Normal 2 2 11 2 2 2" xfId="8941" xr:uid="{2281815B-4B26-4633-93E2-9BC0F0828FF7}"/>
    <cellStyle name="Normal 2 2 11 2 3" xfId="8203" xr:uid="{03969A3E-B456-4338-9067-EC408890F2AF}"/>
    <cellStyle name="Normal 2 2 11 3" xfId="6554" xr:uid="{9B86E8B3-161D-414B-812F-04E737042FD7}"/>
    <cellStyle name="Normal 2 2 11 3 2" xfId="7302" xr:uid="{2239EA40-E2D8-47FC-A7FD-D4923D801D81}"/>
    <cellStyle name="Normal 2 2 11 3 2 2" xfId="8942" xr:uid="{9B8A90CF-6803-4D1E-B519-ACEFD8262B69}"/>
    <cellStyle name="Normal 2 2 11 3 3" xfId="8204" xr:uid="{D77449CC-E76B-443E-82B6-2F16EB7520DE}"/>
    <cellStyle name="Normal 2 2 11 4" xfId="6360" xr:uid="{124CB67C-F7C1-45DC-82C1-1702493CA171}"/>
    <cellStyle name="Normal 2 2 11 4 2" xfId="7303" xr:uid="{334D86EB-1FCA-4326-87CC-3B511B5BC28E}"/>
    <cellStyle name="Normal 2 2 11 4 2 2" xfId="8943" xr:uid="{DC5877DD-9FA9-40D9-947F-3DA92D120FF6}"/>
    <cellStyle name="Normal 2 2 11 4 3" xfId="8067" xr:uid="{FCC3A809-7F0E-4BEA-BEF8-B322D4D5467E}"/>
    <cellStyle name="Normal 2 2 11 5" xfId="7032" xr:uid="{83DBF7C3-7941-47A5-BDD5-84CDEDDAEE49}"/>
    <cellStyle name="Normal 2 2 11 5 2" xfId="8672" xr:uid="{7F068E24-E8F6-46FB-807D-2658ABD3B1F5}"/>
    <cellStyle name="Normal 2 2 11 6" xfId="7855" xr:uid="{D369566B-091F-4E37-9DB7-3B4A3CEEBECF}"/>
    <cellStyle name="Normal 2 2 12" xfId="5349" xr:uid="{A01DB946-DC5F-430F-8266-191BB12DDE84}"/>
    <cellStyle name="Normal 2 2 12 2" xfId="6555" xr:uid="{A2441CC3-B2CA-422B-B347-AB74D2D65B21}"/>
    <cellStyle name="Normal 2 2 12 2 2" xfId="7304" xr:uid="{9352B1ED-76D8-4CCB-801B-776B66C628EC}"/>
    <cellStyle name="Normal 2 2 12 2 2 2" xfId="8944" xr:uid="{158C1268-D62F-496A-BEFC-A6FFF016842A}"/>
    <cellStyle name="Normal 2 2 12 2 3" xfId="8205" xr:uid="{7B400784-CE28-4A3A-8DF0-546FFBA99D2F}"/>
    <cellStyle name="Normal 2 2 12 3" xfId="6556" xr:uid="{4DFB12AE-592C-405B-8136-CAAEAC3B23ED}"/>
    <cellStyle name="Normal 2 2 12 3 2" xfId="7305" xr:uid="{6584945E-3B86-44F2-AF7A-AF802DFABC49}"/>
    <cellStyle name="Normal 2 2 12 3 2 2" xfId="8945" xr:uid="{D96D6C05-13A1-4262-B4A6-ADE79FD101E5}"/>
    <cellStyle name="Normal 2 2 12 3 3" xfId="8206" xr:uid="{C852F821-42D9-439E-87EE-4CC25B728A03}"/>
    <cellStyle name="Normal 2 2 12 4" xfId="6361" xr:uid="{5E31D6E8-91A8-4029-BB45-D6FA34093DB6}"/>
    <cellStyle name="Normal 2 2 12 4 2" xfId="7306" xr:uid="{EA4404C3-199D-42F2-956B-580D8AF286A0}"/>
    <cellStyle name="Normal 2 2 12 4 2 2" xfId="8946" xr:uid="{0BFEFA20-CE83-46DF-9DB0-76830F37F4FF}"/>
    <cellStyle name="Normal 2 2 12 4 3" xfId="8068" xr:uid="{4E808F36-BAD9-4D9F-8ADA-5AA749C6D2C7}"/>
    <cellStyle name="Normal 2 2 12 5" xfId="7033" xr:uid="{8DF02540-CDA7-4F5F-9563-B3CBB6596C8D}"/>
    <cellStyle name="Normal 2 2 12 5 2" xfId="8673" xr:uid="{A0D56AF5-05E0-4264-BE14-3D21D68E65BA}"/>
    <cellStyle name="Normal 2 2 12 6" xfId="7856" xr:uid="{95EC4C08-4A48-45F8-9893-B2BCD11EB661}"/>
    <cellStyle name="Normal 2 2 13" xfId="5350" xr:uid="{06C58CA2-DFF9-4864-B9CD-A76B1F821679}"/>
    <cellStyle name="Normal 2 2 13 2" xfId="6557" xr:uid="{13D1B8CF-17BE-4075-B613-8F1A0DDFE120}"/>
    <cellStyle name="Normal 2 2 13 2 2" xfId="7307" xr:uid="{8E616CA3-E5E2-4E62-80FE-70872D434AFB}"/>
    <cellStyle name="Normal 2 2 13 2 2 2" xfId="8947" xr:uid="{8087E5AD-8B3E-44B5-9E02-135B793DB640}"/>
    <cellStyle name="Normal 2 2 13 2 3" xfId="8207" xr:uid="{8E587B41-895E-45AA-B0BD-BD911006AD41}"/>
    <cellStyle name="Normal 2 2 13 3" xfId="6558" xr:uid="{F31B0377-6E2A-439E-8949-92DDEEE065F7}"/>
    <cellStyle name="Normal 2 2 13 3 2" xfId="7308" xr:uid="{027BD9E3-55FA-467B-9481-94B5B5DC12F1}"/>
    <cellStyle name="Normal 2 2 13 3 2 2" xfId="8948" xr:uid="{5DA5BC98-73A7-46BD-9CD3-39B91511C30B}"/>
    <cellStyle name="Normal 2 2 13 3 3" xfId="8208" xr:uid="{B04568A0-100A-4940-B672-CAE3893BB896}"/>
    <cellStyle name="Normal 2 2 13 4" xfId="6362" xr:uid="{AD6F5486-076A-453C-8C35-196A524B2CF1}"/>
    <cellStyle name="Normal 2 2 13 4 2" xfId="7309" xr:uid="{2882E2A7-42B1-4F86-8BA6-68E50A256A7D}"/>
    <cellStyle name="Normal 2 2 13 4 2 2" xfId="8949" xr:uid="{A154D8D3-4DB3-4788-A38A-26659F1A8F2B}"/>
    <cellStyle name="Normal 2 2 13 4 3" xfId="8069" xr:uid="{732850C5-E86A-44A9-AE75-79AAA2C1C91F}"/>
    <cellStyle name="Normal 2 2 13 5" xfId="7034" xr:uid="{84240FAF-E7D3-444D-B974-CE79567E3209}"/>
    <cellStyle name="Normal 2 2 13 5 2" xfId="8674" xr:uid="{A863BA87-6AF0-45E2-96F0-134A451EB5AE}"/>
    <cellStyle name="Normal 2 2 13 6" xfId="7857" xr:uid="{47E279E1-84E6-4F7F-B2B8-A76E237A9BF3}"/>
    <cellStyle name="Normal 2 2 14" xfId="5351" xr:uid="{BF61C62E-11CC-4A0A-8FED-9658DA19A503}"/>
    <cellStyle name="Normal 2 2 14 2" xfId="6559" xr:uid="{3A2FDABE-9CCF-417D-B82B-CEF09B141B93}"/>
    <cellStyle name="Normal 2 2 14 2 2" xfId="7310" xr:uid="{56BAA684-1684-4BE5-82C4-A171F4B9C4CB}"/>
    <cellStyle name="Normal 2 2 14 2 2 2" xfId="8950" xr:uid="{2D0E4899-3E2E-4283-A6E7-B12F345DB5FA}"/>
    <cellStyle name="Normal 2 2 14 2 3" xfId="8209" xr:uid="{C24705FA-1572-4774-9241-11CE79F20CC4}"/>
    <cellStyle name="Normal 2 2 14 3" xfId="6560" xr:uid="{9C5053CB-37C8-4B9C-AB61-E4651556633A}"/>
    <cellStyle name="Normal 2 2 14 3 2" xfId="7311" xr:uid="{9592CF26-AD48-4707-887B-F3525BCFE855}"/>
    <cellStyle name="Normal 2 2 14 3 2 2" xfId="8951" xr:uid="{791DF06E-726D-4EF6-ADBF-2F75C09AD025}"/>
    <cellStyle name="Normal 2 2 14 3 3" xfId="8210" xr:uid="{45330BE9-2E99-4451-BFAC-22E9B99C446E}"/>
    <cellStyle name="Normal 2 2 14 4" xfId="6363" xr:uid="{86C41CE3-6CC9-46DF-BCFD-5CE605723680}"/>
    <cellStyle name="Normal 2 2 14 4 2" xfId="7312" xr:uid="{268026C8-17BD-475D-9AF6-F5A94E45B46B}"/>
    <cellStyle name="Normal 2 2 14 4 2 2" xfId="8952" xr:uid="{472F443A-4C2C-4568-AEE2-CC1844804798}"/>
    <cellStyle name="Normal 2 2 14 4 3" xfId="8070" xr:uid="{31BB6759-ADDA-46B7-8376-2D342519E4AA}"/>
    <cellStyle name="Normal 2 2 14 5" xfId="7035" xr:uid="{D55EBA30-DD88-4B1C-BA1C-77B77B37C0D8}"/>
    <cellStyle name="Normal 2 2 14 5 2" xfId="8675" xr:uid="{D64AEDBD-7CB4-4C88-A25F-C657029EAD54}"/>
    <cellStyle name="Normal 2 2 14 6" xfId="7858" xr:uid="{5C143178-D1C8-4DFE-8638-0A63DD6BBFF4}"/>
    <cellStyle name="Normal 2 2 15" xfId="5352" xr:uid="{1ED98629-813B-41AD-850C-0692E4CB29B2}"/>
    <cellStyle name="Normal 2 2 15 2" xfId="6561" xr:uid="{C8ED3FE5-477D-40BB-8BA0-F5827452E395}"/>
    <cellStyle name="Normal 2 2 15 2 2" xfId="7313" xr:uid="{214BE568-0DB0-4313-81EE-55BDACBA7768}"/>
    <cellStyle name="Normal 2 2 15 2 2 2" xfId="8953" xr:uid="{2143892B-451B-417C-B48A-3959B76F5415}"/>
    <cellStyle name="Normal 2 2 15 2 3" xfId="8211" xr:uid="{CC4BFBA4-E333-47E4-B290-CB94A4B9C35D}"/>
    <cellStyle name="Normal 2 2 15 3" xfId="6562" xr:uid="{E9DBCA37-93B3-4AD5-AC88-73E1915EE878}"/>
    <cellStyle name="Normal 2 2 15 3 2" xfId="7314" xr:uid="{E671CB4E-2590-41F5-903A-50079C74C2CA}"/>
    <cellStyle name="Normal 2 2 15 3 2 2" xfId="8954" xr:uid="{657AD506-5131-40D0-82DE-6BB18CA2A515}"/>
    <cellStyle name="Normal 2 2 15 3 3" xfId="8212" xr:uid="{3E447AFF-45BA-42FD-9253-2EF34C7A1CE9}"/>
    <cellStyle name="Normal 2 2 15 4" xfId="6364" xr:uid="{55778605-2B7D-4B3F-84F8-E3F2C75CDE34}"/>
    <cellStyle name="Normal 2 2 15 4 2" xfId="7315" xr:uid="{0CAB7ECA-1030-40E4-8680-0AA055CCAE78}"/>
    <cellStyle name="Normal 2 2 15 4 2 2" xfId="8955" xr:uid="{8FC942A8-C624-42CA-A364-FEB2C9AE28EC}"/>
    <cellStyle name="Normal 2 2 15 4 3" xfId="8071" xr:uid="{07D2E71F-CEDF-4815-AA55-1C8F09C9877A}"/>
    <cellStyle name="Normal 2 2 15 5" xfId="7036" xr:uid="{AD02B8CE-DD9D-47AC-A928-5B3E49C65FFD}"/>
    <cellStyle name="Normal 2 2 15 5 2" xfId="8676" xr:uid="{544D6E44-43C3-462A-8D45-BDB15138476C}"/>
    <cellStyle name="Normal 2 2 15 6" xfId="7859" xr:uid="{4ADFD266-5B6E-4B71-AA9A-ABA052087189}"/>
    <cellStyle name="Normal 2 2 16" xfId="5353" xr:uid="{5B8E59E4-2153-41F4-93E7-C92C74A322FF}"/>
    <cellStyle name="Normal 2 2 16 2" xfId="6563" xr:uid="{FE958E00-0A4E-4B66-BA56-9867A58741ED}"/>
    <cellStyle name="Normal 2 2 16 2 2" xfId="7316" xr:uid="{04BA8641-A7BF-4401-9B8F-3CCDA16A2E98}"/>
    <cellStyle name="Normal 2 2 16 2 2 2" xfId="8956" xr:uid="{3E53A8D5-2624-4ABF-8B46-ECCE803B66AE}"/>
    <cellStyle name="Normal 2 2 16 2 3" xfId="8213" xr:uid="{BD4CE5B7-2DDF-4A40-ACA2-F694B62F530B}"/>
    <cellStyle name="Normal 2 2 16 3" xfId="6564" xr:uid="{E9106A10-B186-4E57-8D39-0EE598D84FD0}"/>
    <cellStyle name="Normal 2 2 16 3 2" xfId="7317" xr:uid="{5B8356A5-28A4-4D3D-AE6C-519224A053A5}"/>
    <cellStyle name="Normal 2 2 16 3 2 2" xfId="8957" xr:uid="{C565A482-B9D7-4AB3-9723-D8635FC0B801}"/>
    <cellStyle name="Normal 2 2 16 3 3" xfId="8214" xr:uid="{5699C6E1-DEDE-42CA-A0F7-FD0273912234}"/>
    <cellStyle name="Normal 2 2 16 4" xfId="6365" xr:uid="{168D06F8-78B0-49A0-BC64-00D3FD1CD7C2}"/>
    <cellStyle name="Normal 2 2 16 4 2" xfId="7318" xr:uid="{EA4F1E5D-7109-457E-B5F3-63D9D88CFC34}"/>
    <cellStyle name="Normal 2 2 16 4 2 2" xfId="8958" xr:uid="{A4231297-764E-456B-8398-4C9242D1CA40}"/>
    <cellStyle name="Normal 2 2 16 4 3" xfId="8072" xr:uid="{2CC37000-DB96-436C-B392-8FD53DF01FE5}"/>
    <cellStyle name="Normal 2 2 16 5" xfId="7037" xr:uid="{E9A56C6D-F579-4F68-88E0-11BC724F10CE}"/>
    <cellStyle name="Normal 2 2 16 5 2" xfId="8677" xr:uid="{F6EAE9E0-2EF6-4220-8040-DFA3C947084A}"/>
    <cellStyle name="Normal 2 2 16 6" xfId="7860" xr:uid="{371DA457-00FD-4A0F-8CFD-BD6A24DDBDFD}"/>
    <cellStyle name="Normal 2 2 17" xfId="5354" xr:uid="{F80C4610-5C79-4724-8743-24FD071F67BA}"/>
    <cellStyle name="Normal 2 2 17 2" xfId="6565" xr:uid="{121412C3-2CF7-4F8B-9DD8-E7A743299351}"/>
    <cellStyle name="Normal 2 2 17 2 2" xfId="7319" xr:uid="{B98FA1CA-DCD5-4B94-B6B6-F1C6CF6A3E75}"/>
    <cellStyle name="Normal 2 2 17 2 2 2" xfId="8959" xr:uid="{C8E1E057-E1C4-4928-87E3-595EBD509FCE}"/>
    <cellStyle name="Normal 2 2 17 2 3" xfId="8215" xr:uid="{5CDCEABA-B45C-4AB2-A3FF-023D5BC0A986}"/>
    <cellStyle name="Normal 2 2 17 3" xfId="6566" xr:uid="{63AFB245-DAA8-42C9-A63C-19F8335BB04E}"/>
    <cellStyle name="Normal 2 2 17 3 2" xfId="7320" xr:uid="{27576B98-BE18-43E5-8CC3-70D3724A3E19}"/>
    <cellStyle name="Normal 2 2 17 3 2 2" xfId="8960" xr:uid="{1004B50F-3EF2-4878-9317-91335B597E3E}"/>
    <cellStyle name="Normal 2 2 17 3 3" xfId="8216" xr:uid="{941C8404-8876-49C6-AC8C-60651E9D0597}"/>
    <cellStyle name="Normal 2 2 17 4" xfId="6366" xr:uid="{6264DE5A-5230-47BD-8736-E2458D3351D2}"/>
    <cellStyle name="Normal 2 2 17 4 2" xfId="7321" xr:uid="{7506DEA0-578C-429D-BED7-5F7996345534}"/>
    <cellStyle name="Normal 2 2 17 4 2 2" xfId="8961" xr:uid="{3D0CA386-5E09-4F8D-966B-449A6B71C02A}"/>
    <cellStyle name="Normal 2 2 17 4 3" xfId="8073" xr:uid="{98EC2450-05F0-4088-9F4F-30B5133CB0D9}"/>
    <cellStyle name="Normal 2 2 17 5" xfId="7038" xr:uid="{F4D88019-083E-4A77-BE0E-33C505EA2E45}"/>
    <cellStyle name="Normal 2 2 17 5 2" xfId="8678" xr:uid="{AB878B27-EDC8-4571-B93C-06B2E2AEC565}"/>
    <cellStyle name="Normal 2 2 17 6" xfId="7861" xr:uid="{ECECD4D8-10D0-4C21-ADD2-83068FEB3902}"/>
    <cellStyle name="Normal 2 2 18" xfId="5355" xr:uid="{77D9B613-998F-47C8-AC55-6602E011EA42}"/>
    <cellStyle name="Normal 2 2 18 2" xfId="6567" xr:uid="{BA11860C-531A-493C-AD19-BF85A94CAF3E}"/>
    <cellStyle name="Normal 2 2 18 2 2" xfId="7322" xr:uid="{E2F759B1-725F-4503-8411-FC0C3D214EA4}"/>
    <cellStyle name="Normal 2 2 18 2 2 2" xfId="8962" xr:uid="{512D9E47-4468-4C9D-94D9-2895F3698513}"/>
    <cellStyle name="Normal 2 2 18 2 3" xfId="8217" xr:uid="{F0AC5C96-7B20-4130-AD75-062192C29906}"/>
    <cellStyle name="Normal 2 2 18 3" xfId="6568" xr:uid="{4A9C0274-DAE7-424B-A00E-80D2AEF663FA}"/>
    <cellStyle name="Normal 2 2 18 3 2" xfId="7323" xr:uid="{96BAD1A6-EDBA-46F5-A406-04242A9DDA2F}"/>
    <cellStyle name="Normal 2 2 18 3 2 2" xfId="8963" xr:uid="{95F70707-D599-4E84-A233-60D1AFE2A417}"/>
    <cellStyle name="Normal 2 2 18 3 3" xfId="8218" xr:uid="{4AA0CDDE-46A6-48CC-BADD-88BB8811599B}"/>
    <cellStyle name="Normal 2 2 18 4" xfId="6367" xr:uid="{9E4CFC2F-EC61-48E8-949D-AF1C406C7914}"/>
    <cellStyle name="Normal 2 2 18 4 2" xfId="7324" xr:uid="{47CAC737-5E1C-4102-A845-C6A9F1C0E3F1}"/>
    <cellStyle name="Normal 2 2 18 4 2 2" xfId="8964" xr:uid="{1D3D08A7-6E32-4F98-B69A-242C8DAAC5A7}"/>
    <cellStyle name="Normal 2 2 18 4 3" xfId="8074" xr:uid="{62D756D2-D407-4327-814B-305749F38B0A}"/>
    <cellStyle name="Normal 2 2 18 5" xfId="7039" xr:uid="{10D2575B-68F1-42B0-941D-4D03F8FDDB38}"/>
    <cellStyle name="Normal 2 2 18 5 2" xfId="8679" xr:uid="{9A854A50-F183-4833-B6B1-17F03B83E41F}"/>
    <cellStyle name="Normal 2 2 18 6" xfId="7862" xr:uid="{D655473D-0F3B-46D2-9AE6-1F80ADD92995}"/>
    <cellStyle name="Normal 2 2 19" xfId="5356" xr:uid="{87A1A41F-BB56-490C-BB2B-552D8A5199D1}"/>
    <cellStyle name="Normal 2 2 19 2" xfId="6569" xr:uid="{3D67EEB4-23E6-452F-BC2D-E7AE76B5A0C7}"/>
    <cellStyle name="Normal 2 2 19 2 2" xfId="7325" xr:uid="{64BADDA2-991D-46EE-8037-10DDE38BC4BD}"/>
    <cellStyle name="Normal 2 2 19 2 2 2" xfId="8965" xr:uid="{14963592-6873-40D8-B604-1572CF8EEF57}"/>
    <cellStyle name="Normal 2 2 19 2 3" xfId="8219" xr:uid="{9C136256-014F-47CB-BD22-61274B55DF57}"/>
    <cellStyle name="Normal 2 2 19 3" xfId="6570" xr:uid="{2A451768-8316-4DBE-B7CF-044949613ECA}"/>
    <cellStyle name="Normal 2 2 19 3 2" xfId="7326" xr:uid="{F1FD2B9F-282B-4605-87E8-D848C6F1D5CF}"/>
    <cellStyle name="Normal 2 2 19 3 2 2" xfId="8966" xr:uid="{7612A8AE-CD2C-4EF4-AB49-E270FF7DD351}"/>
    <cellStyle name="Normal 2 2 19 3 3" xfId="8220" xr:uid="{83B4F50B-CC12-40FD-8BD0-925692395A51}"/>
    <cellStyle name="Normal 2 2 19 4" xfId="6368" xr:uid="{2F2E6E0D-FDBE-4FE6-A676-3D287CF890C8}"/>
    <cellStyle name="Normal 2 2 19 4 2" xfId="7327" xr:uid="{62A2A942-2F11-42DF-8895-794BED1DA3BB}"/>
    <cellStyle name="Normal 2 2 19 4 2 2" xfId="8967" xr:uid="{EAF2E286-32EA-4537-8F28-13F906CF8CA7}"/>
    <cellStyle name="Normal 2 2 19 4 3" xfId="8075" xr:uid="{D86B8F3C-F9CA-4289-9B18-40EC4E8B0B82}"/>
    <cellStyle name="Normal 2 2 19 5" xfId="7040" xr:uid="{77274E9D-94FE-4F9D-B4A2-A2EDD8B17524}"/>
    <cellStyle name="Normal 2 2 19 5 2" xfId="8680" xr:uid="{E3F8E270-3A00-442F-A195-8435CC50048D}"/>
    <cellStyle name="Normal 2 2 19 6" xfId="7863" xr:uid="{57C99A35-FBD0-4C7B-B150-13AAFE83EDC2}"/>
    <cellStyle name="Normal 2 2 2" xfId="75" xr:uid="{C595F90A-4143-4FDD-85AC-F829A700712D}"/>
    <cellStyle name="Normal 2 2 2 2" xfId="23" xr:uid="{93144D8E-5460-4018-8CC3-4059A334276E}"/>
    <cellStyle name="Normal 2 2 2 2 2" xfId="5358" xr:uid="{8C6CCC89-79F2-4755-B7BE-61E19C9D135A}"/>
    <cellStyle name="Normal 2 2 2 2 2 2" xfId="5359" xr:uid="{ACD549D0-3AE3-4213-94B0-F41984728008}"/>
    <cellStyle name="Normal 2 2 2 2 2 2 2" xfId="5360" xr:uid="{155DCAC3-0531-4F50-99EE-61DD727EAD73}"/>
    <cellStyle name="Normal 2 2 2 2 2 2 2 2" xfId="6571" xr:uid="{4624B3B0-EFA1-4521-B362-8CA5DCBAEBC9}"/>
    <cellStyle name="Normal 2 2 2 2 2 2 2 2 2" xfId="7328" xr:uid="{010D78B7-3A33-4E0E-8DC8-5AEACDF05E1C}"/>
    <cellStyle name="Normal 2 2 2 2 2 2 2 2 2 2" xfId="8968" xr:uid="{ACE23DFE-2E1C-4263-8477-C2D52F682CA2}"/>
    <cellStyle name="Normal 2 2 2 2 2 2 2 2 3" xfId="8221" xr:uid="{5BF67161-ABE2-4E6F-98AB-622B69AE3BB4}"/>
    <cellStyle name="Normal 2 2 2 2 2 2 2 3" xfId="6572" xr:uid="{90CF29D8-4C4D-4AF9-B739-2718DE48F005}"/>
    <cellStyle name="Normal 2 2 2 2 2 2 2 3 2" xfId="7329" xr:uid="{64E89EA4-5CFC-41A4-B27B-CF473DA66651}"/>
    <cellStyle name="Normal 2 2 2 2 2 2 2 3 2 2" xfId="8969" xr:uid="{9C5A05A2-FA11-45D6-9C9F-8B1963E0C0F4}"/>
    <cellStyle name="Normal 2 2 2 2 2 2 2 3 3" xfId="8222" xr:uid="{C6681202-14CB-4E8C-9753-C9FC1A957712}"/>
    <cellStyle name="Normal 2 2 2 2 2 2 2 4" xfId="6370" xr:uid="{918BA15B-4416-4B7D-A4CF-146D112E0D5F}"/>
    <cellStyle name="Normal 2 2 2 2 2 2 2 4 2" xfId="7330" xr:uid="{85F66DA6-1754-4D2F-91FB-D462B3084038}"/>
    <cellStyle name="Normal 2 2 2 2 2 2 2 4 2 2" xfId="8970" xr:uid="{4FE7AAE1-649F-477E-879E-4EC194903A3F}"/>
    <cellStyle name="Normal 2 2 2 2 2 2 2 4 3" xfId="8077" xr:uid="{D918E471-ED30-4BB8-AD60-FF4C8C7825B4}"/>
    <cellStyle name="Normal 2 2 2 2 2 2 2 5" xfId="7042" xr:uid="{BD40E84C-2052-4D09-9638-8C7E4E8439EA}"/>
    <cellStyle name="Normal 2 2 2 2 2 2 2 5 2" xfId="8682" xr:uid="{E34FBC67-1C78-4A49-A0A9-120A0CE07031}"/>
    <cellStyle name="Normal 2 2 2 2 2 2 2 6" xfId="7865" xr:uid="{10F12726-D2B2-4744-A0D7-898A79E3D095}"/>
    <cellStyle name="Normal 2 2 2 2 2 2 3" xfId="5361" xr:uid="{AD45BFBB-7B8E-4D97-B737-F61F283066D1}"/>
    <cellStyle name="Normal 2 2 2 2 2 2 3 2" xfId="6573" xr:uid="{AA3CF5EE-1492-45F1-927F-0943C3828891}"/>
    <cellStyle name="Normal 2 2 2 2 2 2 3 2 2" xfId="7331" xr:uid="{5FE62F4B-DFFD-4C68-BB5C-552EF3C90417}"/>
    <cellStyle name="Normal 2 2 2 2 2 2 3 2 2 2" xfId="8971" xr:uid="{B37F1C6E-5F42-4D47-92D0-1BC7E6A8852F}"/>
    <cellStyle name="Normal 2 2 2 2 2 2 3 2 3" xfId="8223" xr:uid="{B6ECF63D-BC3D-4926-A936-8C8DF1D74A8C}"/>
    <cellStyle name="Normal 2 2 2 2 2 2 3 3" xfId="6574" xr:uid="{8766AA30-B0DE-410F-BE94-C973F4C4E465}"/>
    <cellStyle name="Normal 2 2 2 2 2 2 3 3 2" xfId="7332" xr:uid="{AFB21209-90F8-4B3B-A6E7-01E5A3575E11}"/>
    <cellStyle name="Normal 2 2 2 2 2 2 3 3 2 2" xfId="8972" xr:uid="{AB3C5A57-F378-4151-AE83-35F83DD58056}"/>
    <cellStyle name="Normal 2 2 2 2 2 2 3 3 3" xfId="8224" xr:uid="{3311190D-1AC8-4E7D-B7CF-3687C8288832}"/>
    <cellStyle name="Normal 2 2 2 2 2 2 3 4" xfId="6371" xr:uid="{7FC801C8-308A-4C47-919A-1E5334F752B6}"/>
    <cellStyle name="Normal 2 2 2 2 2 2 3 4 2" xfId="7333" xr:uid="{2A6764B6-F9F7-4AB3-A376-49155281C8CB}"/>
    <cellStyle name="Normal 2 2 2 2 2 2 3 4 2 2" xfId="8973" xr:uid="{C7A6D092-1A35-4593-91F5-95BC33952192}"/>
    <cellStyle name="Normal 2 2 2 2 2 2 3 4 3" xfId="8078" xr:uid="{DA934520-97B5-4063-A3B1-903AC012249C}"/>
    <cellStyle name="Normal 2 2 2 2 2 2 3 5" xfId="7043" xr:uid="{301DF28A-084E-4351-8AF0-71659E3DB6C8}"/>
    <cellStyle name="Normal 2 2 2 2 2 2 3 5 2" xfId="8683" xr:uid="{77A6302D-DC7B-4A90-B93C-3671938F6FF8}"/>
    <cellStyle name="Normal 2 2 2 2 2 2 3 6" xfId="7866" xr:uid="{704BE8D7-012A-46D5-9FA3-DF3D3439A903}"/>
    <cellStyle name="Normal 2 2 2 2 2 2 4" xfId="5362" xr:uid="{33CDD49D-6C5A-4776-9333-3B1C23773B1C}"/>
    <cellStyle name="Normal 2 2 2 2 2 2 4 2" xfId="6575" xr:uid="{07D25B49-2252-4F6F-A623-8EFA81A64726}"/>
    <cellStyle name="Normal 2 2 2 2 2 2 4 2 2" xfId="7334" xr:uid="{A002F161-4C3E-4484-B3BD-2A2C0D1FDF3C}"/>
    <cellStyle name="Normal 2 2 2 2 2 2 4 2 2 2" xfId="8974" xr:uid="{DCD3B78A-6864-4C24-80E4-F454402C3A83}"/>
    <cellStyle name="Normal 2 2 2 2 2 2 4 2 3" xfId="8225" xr:uid="{D40371C2-078F-41BE-B285-1583CB043EAC}"/>
    <cellStyle name="Normal 2 2 2 2 2 2 4 3" xfId="6576" xr:uid="{E9C3AC7C-11DC-47CE-BB02-AF639EBB11A2}"/>
    <cellStyle name="Normal 2 2 2 2 2 2 4 3 2" xfId="7335" xr:uid="{529E94B1-03E9-49F6-B1FA-1901C3314233}"/>
    <cellStyle name="Normal 2 2 2 2 2 2 4 3 2 2" xfId="8975" xr:uid="{8055FCBE-2CB9-4B65-941E-4D0D13783F88}"/>
    <cellStyle name="Normal 2 2 2 2 2 2 4 3 3" xfId="8226" xr:uid="{EDC30C29-B923-4076-B341-5BE93DEEF70B}"/>
    <cellStyle name="Normal 2 2 2 2 2 2 4 4" xfId="6372" xr:uid="{4A3926B6-CF83-4368-8651-B4888066E03A}"/>
    <cellStyle name="Normal 2 2 2 2 2 2 4 4 2" xfId="7336" xr:uid="{00E47E26-78EB-435C-8323-A535136BBB01}"/>
    <cellStyle name="Normal 2 2 2 2 2 2 4 4 2 2" xfId="8976" xr:uid="{6E4E82B5-2751-46FB-B50B-52AF867EE60C}"/>
    <cellStyle name="Normal 2 2 2 2 2 2 4 4 3" xfId="8079" xr:uid="{E2F0ED52-E3CB-4763-8E23-FF9CEE9E5109}"/>
    <cellStyle name="Normal 2 2 2 2 2 2 4 5" xfId="7044" xr:uid="{E9BAF9EF-3475-4F16-B360-DB44F55DDA77}"/>
    <cellStyle name="Normal 2 2 2 2 2 2 4 5 2" xfId="8684" xr:uid="{E2941CBA-AD61-460A-A56E-AC0C87BABC25}"/>
    <cellStyle name="Normal 2 2 2 2 2 2 4 6" xfId="7867" xr:uid="{AE10E36C-471D-4BF5-AE76-EAD8E03D2831}"/>
    <cellStyle name="Normal 2 2 2 2 2 3" xfId="5363" xr:uid="{82BBEE77-E3E5-4044-A907-3C8739710BD6}"/>
    <cellStyle name="Normal 2 2 2 2 2 4" xfId="5364" xr:uid="{D7479166-A3ED-45A1-8E84-4BF480DBE5E7}"/>
    <cellStyle name="Normal 2 2 2 2 2 5" xfId="6577" xr:uid="{D81572C2-8DDE-43C1-9AC4-59B9C3DB4B02}"/>
    <cellStyle name="Normal 2 2 2 2 2 5 2" xfId="7337" xr:uid="{CB3218DC-96C4-4D16-80BD-34389E74995E}"/>
    <cellStyle name="Normal 2 2 2 2 2 5 2 2" xfId="8977" xr:uid="{11876067-94E7-4E40-A061-748DF5BDF972}"/>
    <cellStyle name="Normal 2 2 2 2 2 5 3" xfId="8227" xr:uid="{B3DB97F6-2048-4B7A-94A1-60A9066CA2B7}"/>
    <cellStyle name="Normal 2 2 2 2 2 6" xfId="6578" xr:uid="{01E77FEF-D148-4246-A186-C0C5839D1207}"/>
    <cellStyle name="Normal 2 2 2 2 2 6 2" xfId="7338" xr:uid="{EFB15650-C982-409C-9E42-56B7D04173BA}"/>
    <cellStyle name="Normal 2 2 2 2 2 6 2 2" xfId="8978" xr:uid="{D253B206-E0D9-48F6-91CB-BFD95E82A58A}"/>
    <cellStyle name="Normal 2 2 2 2 2 6 3" xfId="8228" xr:uid="{FA00EF8D-52FC-4BA8-81BC-C14596D1F9B1}"/>
    <cellStyle name="Normal 2 2 2 2 2 7" xfId="6369" xr:uid="{76CC1A60-EAB8-4123-A864-5338E2E9A0A1}"/>
    <cellStyle name="Normal 2 2 2 2 2 7 2" xfId="7339" xr:uid="{FE4776E6-589C-4F6D-B51C-D1B6032CA0CD}"/>
    <cellStyle name="Normal 2 2 2 2 2 7 2 2" xfId="8979" xr:uid="{4BD2CF08-A9D0-4809-8533-5E8BF681489D}"/>
    <cellStyle name="Normal 2 2 2 2 2 7 3" xfId="8076" xr:uid="{478811BA-E4F2-42E9-AE23-4B0C5F811BC5}"/>
    <cellStyle name="Normal 2 2 2 2 2 8" xfId="7041" xr:uid="{C29C8D55-79EF-4D54-B13C-4A5788F15F8F}"/>
    <cellStyle name="Normal 2 2 2 2 2 8 2" xfId="8681" xr:uid="{FF4790BB-9801-4012-B7A9-B14CCA578B6A}"/>
    <cellStyle name="Normal 2 2 2 2 2 9" xfId="7864" xr:uid="{82329F0F-2171-4860-8602-2AA766C63E80}"/>
    <cellStyle name="Normal 2 2 2 2 3" xfId="5365" xr:uid="{E08F0EE0-B7FB-4E99-AAD3-03D83AA8FA50}"/>
    <cellStyle name="Normal 2 2 2 2 3 2" xfId="6579" xr:uid="{EC976E14-F865-4F78-B396-3DAB251D9C98}"/>
    <cellStyle name="Normal 2 2 2 2 3 2 2" xfId="7340" xr:uid="{77F9CF8C-DC9C-454B-99A7-0EFC4F8F7456}"/>
    <cellStyle name="Normal 2 2 2 2 3 2 2 2" xfId="8980" xr:uid="{6A0ED889-E41F-41CF-8CE3-6FDBDE85FC4E}"/>
    <cellStyle name="Normal 2 2 2 2 3 2 3" xfId="8229" xr:uid="{775F0698-06BE-4559-951C-39D26471A62C}"/>
    <cellStyle name="Normal 2 2 2 2 3 3" xfId="6580" xr:uid="{91C9734C-AE60-47C3-9626-4F94C1EA26DC}"/>
    <cellStyle name="Normal 2 2 2 2 3 3 2" xfId="7341" xr:uid="{26FC2E89-5044-43F9-84C0-920893A2ADFC}"/>
    <cellStyle name="Normal 2 2 2 2 3 3 2 2" xfId="8981" xr:uid="{956993B2-C1D1-4404-BEDB-2A690CBED41B}"/>
    <cellStyle name="Normal 2 2 2 2 3 3 3" xfId="8230" xr:uid="{DDD97B85-76D2-49E1-A15D-73E40C8E6057}"/>
    <cellStyle name="Normal 2 2 2 2 3 4" xfId="6373" xr:uid="{68713B22-B869-4CE2-B0B6-FB9F347B22F1}"/>
    <cellStyle name="Normal 2 2 2 2 3 4 2" xfId="7342" xr:uid="{4560AF05-3162-494A-99E3-259D1D8A9FA0}"/>
    <cellStyle name="Normal 2 2 2 2 3 4 2 2" xfId="8982" xr:uid="{9BC43EB0-A691-447F-86EC-C646BAD89F70}"/>
    <cellStyle name="Normal 2 2 2 2 3 4 3" xfId="8080" xr:uid="{3A3FA646-F648-42EC-9979-3A3010007C58}"/>
    <cellStyle name="Normal 2 2 2 2 3 5" xfId="7045" xr:uid="{831450C4-A879-456A-A4B2-086AE8227C15}"/>
    <cellStyle name="Normal 2 2 2 2 3 5 2" xfId="8685" xr:uid="{961E6870-FAAE-40F2-AE02-9427A690FC84}"/>
    <cellStyle name="Normal 2 2 2 2 3 6" xfId="7868" xr:uid="{0C56967A-BB7B-4029-B659-3A0DCF53BA5A}"/>
    <cellStyle name="Normal 2 2 2 2 4" xfId="5366" xr:uid="{37A64059-357C-4A21-A006-2D0A69E40EEC}"/>
    <cellStyle name="Normal 2 2 2 2 4 2" xfId="6581" xr:uid="{120E8C4B-A61F-4FEB-9B12-F2D1A94CC6B4}"/>
    <cellStyle name="Normal 2 2 2 2 4 2 2" xfId="7343" xr:uid="{8C44466A-A61C-451C-9B71-A4AEF0020657}"/>
    <cellStyle name="Normal 2 2 2 2 4 2 2 2" xfId="8983" xr:uid="{C1D87239-2098-461A-A207-D64BE1053ED5}"/>
    <cellStyle name="Normal 2 2 2 2 4 2 3" xfId="8231" xr:uid="{3F4AAD23-FFC5-4ABF-82F9-4347626C4378}"/>
    <cellStyle name="Normal 2 2 2 2 4 3" xfId="6582" xr:uid="{C5F74999-21B9-4C81-9E23-BD518D07C51C}"/>
    <cellStyle name="Normal 2 2 2 2 4 3 2" xfId="7344" xr:uid="{2A008F79-DA23-4B76-8B8B-9D5274673CDD}"/>
    <cellStyle name="Normal 2 2 2 2 4 3 2 2" xfId="8984" xr:uid="{53A052FD-FD01-4B4B-967F-2EADAFCB6343}"/>
    <cellStyle name="Normal 2 2 2 2 4 3 3" xfId="8232" xr:uid="{89A53AD8-C653-4D56-81B2-9EA9E74B350B}"/>
    <cellStyle name="Normal 2 2 2 2 4 4" xfId="6374" xr:uid="{373B0FEE-D5C6-4B26-BC5A-82E9D04662DA}"/>
    <cellStyle name="Normal 2 2 2 2 4 4 2" xfId="7345" xr:uid="{CFD69244-2268-435B-B7F8-90C4FC3DE343}"/>
    <cellStyle name="Normal 2 2 2 2 4 4 2 2" xfId="8985" xr:uid="{154764B5-48EE-4D94-86A2-2AAD5139F26D}"/>
    <cellStyle name="Normal 2 2 2 2 4 4 3" xfId="8081" xr:uid="{7DBA11B9-B3B7-4BA2-9C93-C85E0214E9E4}"/>
    <cellStyle name="Normal 2 2 2 2 4 5" xfId="7046" xr:uid="{541961C4-6787-4969-9E07-137E89CB2E84}"/>
    <cellStyle name="Normal 2 2 2 2 4 5 2" xfId="8686" xr:uid="{004E7EA1-6891-42EE-B6F6-04A19CABF304}"/>
    <cellStyle name="Normal 2 2 2 2 4 6" xfId="7869" xr:uid="{DBFC881D-ACAE-402A-AB0D-DDF19700A6F6}"/>
    <cellStyle name="Normal 2 2 2 2 5" xfId="5367" xr:uid="{0A97CEA2-2D9E-40AD-BDC3-1FCAEE887811}"/>
    <cellStyle name="Normal 2 2 2 2 5 2" xfId="6583" xr:uid="{64305F91-8CA4-4F20-8FBC-AF96B6777343}"/>
    <cellStyle name="Normal 2 2 2 2 5 2 2" xfId="7346" xr:uid="{3FEED2DE-0C47-4F9E-AADF-82E6329944BE}"/>
    <cellStyle name="Normal 2 2 2 2 5 2 2 2" xfId="8986" xr:uid="{25C7284C-4DF4-4256-8FB2-098A49EE35DE}"/>
    <cellStyle name="Normal 2 2 2 2 5 2 3" xfId="8233" xr:uid="{85AA35EA-30D5-4F31-88E7-D420AA16A0A1}"/>
    <cellStyle name="Normal 2 2 2 2 5 3" xfId="6584" xr:uid="{6A347CBC-6E84-43A3-BAE1-2E35449B7E55}"/>
    <cellStyle name="Normal 2 2 2 2 5 3 2" xfId="7347" xr:uid="{F1BAED9E-FE35-4758-AD29-2FE728AB3576}"/>
    <cellStyle name="Normal 2 2 2 2 5 3 2 2" xfId="8987" xr:uid="{185F0F8E-46CF-4BB0-AFD8-A5CB90909244}"/>
    <cellStyle name="Normal 2 2 2 2 5 3 3" xfId="8234" xr:uid="{0DF9442C-1590-4755-82D9-224E8D7812C7}"/>
    <cellStyle name="Normal 2 2 2 2 5 4" xfId="6375" xr:uid="{39901FDA-67F4-42FC-B592-2BF25F1295A1}"/>
    <cellStyle name="Normal 2 2 2 2 5 4 2" xfId="7348" xr:uid="{9D33CDCB-BF12-4F8D-A7CE-2296A5728DD2}"/>
    <cellStyle name="Normal 2 2 2 2 5 4 2 2" xfId="8988" xr:uid="{B60DFE1C-0404-4853-9D59-456FD96DF782}"/>
    <cellStyle name="Normal 2 2 2 2 5 4 3" xfId="8082" xr:uid="{5C830F98-185E-46FC-8920-E48FC4EDC577}"/>
    <cellStyle name="Normal 2 2 2 2 5 5" xfId="7047" xr:uid="{F76E48F1-C510-4483-ABD9-575D55394C1B}"/>
    <cellStyle name="Normal 2 2 2 2 5 5 2" xfId="8687" xr:uid="{1CA490E0-CC53-42C9-BD45-94F87ADADAA4}"/>
    <cellStyle name="Normal 2 2 2 2 5 6" xfId="7870" xr:uid="{688E6954-416B-4540-A09F-71A34C73454A}"/>
    <cellStyle name="Normal 2 2 2 3" xfId="5368" xr:uid="{F8F8753A-869C-4E9F-A914-FEEED6A40797}"/>
    <cellStyle name="Normal 2 2 2 3 2" xfId="5369" xr:uid="{990DB6F6-E002-4B4B-B38F-0A3062399A47}"/>
    <cellStyle name="Normal 2 2 2 3 2 2" xfId="6585" xr:uid="{69E4F740-A06F-4A9A-B6AB-E2D2AE9BF26F}"/>
    <cellStyle name="Normal 2 2 2 3 2 2 2" xfId="7349" xr:uid="{228CA02B-8A56-4CE9-988D-0ACDC5C76F25}"/>
    <cellStyle name="Normal 2 2 2 3 2 2 2 2" xfId="8989" xr:uid="{844EA329-E9D4-496B-BB31-7A52B5AE297B}"/>
    <cellStyle name="Normal 2 2 2 3 2 2 3" xfId="8235" xr:uid="{637388BD-8DE0-412D-8D26-7D9975D54E83}"/>
    <cellStyle name="Normal 2 2 2 3 2 3" xfId="6586" xr:uid="{40983B78-7F7C-4B69-A7F0-735462A1F4F6}"/>
    <cellStyle name="Normal 2 2 2 3 2 3 2" xfId="7350" xr:uid="{53646A0D-1716-49DD-B693-768F96B0C144}"/>
    <cellStyle name="Normal 2 2 2 3 2 3 2 2" xfId="8990" xr:uid="{715781F5-26E2-4CE9-AA3E-08F3BB78D2C1}"/>
    <cellStyle name="Normal 2 2 2 3 2 3 3" xfId="8236" xr:uid="{40456A24-BC96-4718-870F-F690A3119EC9}"/>
    <cellStyle name="Normal 2 2 2 3 2 4" xfId="6376" xr:uid="{A995061A-D55A-4BC1-A88E-209055144441}"/>
    <cellStyle name="Normal 2 2 2 3 2 4 2" xfId="7351" xr:uid="{9B289D2B-B562-4016-A779-0A8FE67B7208}"/>
    <cellStyle name="Normal 2 2 2 3 2 4 2 2" xfId="8991" xr:uid="{9C998AF5-C6ED-4608-A761-64B4EAE426CF}"/>
    <cellStyle name="Normal 2 2 2 3 2 4 3" xfId="8083" xr:uid="{B2AA2016-EFDE-4FE4-A035-3E6EB2EB94BA}"/>
    <cellStyle name="Normal 2 2 2 3 2 5" xfId="7048" xr:uid="{CC9A9871-738A-462A-B020-430CABE48583}"/>
    <cellStyle name="Normal 2 2 2 3 2 5 2" xfId="8688" xr:uid="{EB02D7E9-E49D-456C-8306-E56F0EEE1F03}"/>
    <cellStyle name="Normal 2 2 2 3 2 6" xfId="7871" xr:uid="{277CCC23-FB24-424E-B3DE-77C37E044D04}"/>
    <cellStyle name="Normal 2 2 2 3 3" xfId="5370" xr:uid="{6C520EA7-191B-4738-9566-8809A5835C0A}"/>
    <cellStyle name="Normal 2 2 2 3 3 2" xfId="6587" xr:uid="{C2717970-6DAA-48E1-B3D7-D129FEE104E6}"/>
    <cellStyle name="Normal 2 2 2 3 3 2 2" xfId="7352" xr:uid="{94930210-5F98-4F86-BE88-53944E0C4CD7}"/>
    <cellStyle name="Normal 2 2 2 3 3 2 2 2" xfId="8992" xr:uid="{E932A8AE-0033-4D9F-951A-5ACC093F7706}"/>
    <cellStyle name="Normal 2 2 2 3 3 2 3" xfId="8237" xr:uid="{5EC0FDB0-D803-47C3-905F-03886ED686A1}"/>
    <cellStyle name="Normal 2 2 2 3 3 3" xfId="6588" xr:uid="{3DD00027-8BC6-4C7A-9C53-9FF9427CEF84}"/>
    <cellStyle name="Normal 2 2 2 3 3 3 2" xfId="7353" xr:uid="{63788D2C-51A9-49F1-864C-245ADAFB38EE}"/>
    <cellStyle name="Normal 2 2 2 3 3 3 2 2" xfId="8993" xr:uid="{BE6FA89C-416C-49F8-837D-58F58E18A489}"/>
    <cellStyle name="Normal 2 2 2 3 3 3 3" xfId="8238" xr:uid="{5344C599-E17C-4031-9BA5-9BDF680AC9F5}"/>
    <cellStyle name="Normal 2 2 2 3 3 4" xfId="6377" xr:uid="{7EF669BF-A99A-4007-A519-8A4AB83235EF}"/>
    <cellStyle name="Normal 2 2 2 3 3 4 2" xfId="7354" xr:uid="{BF6D5E9C-A065-4659-B898-3F002666C534}"/>
    <cellStyle name="Normal 2 2 2 3 3 4 2 2" xfId="8994" xr:uid="{FFBF918C-A3DE-407E-9B78-A59A3B3C366D}"/>
    <cellStyle name="Normal 2 2 2 3 3 4 3" xfId="8084" xr:uid="{F0BD8E65-2327-4D9D-A739-59980D67144E}"/>
    <cellStyle name="Normal 2 2 2 3 3 5" xfId="7049" xr:uid="{2A0FD33C-26B9-4182-94B4-6CCB3D1C109A}"/>
    <cellStyle name="Normal 2 2 2 3 3 5 2" xfId="8689" xr:uid="{C905C33A-A80F-4902-8703-B6F52F06304C}"/>
    <cellStyle name="Normal 2 2 2 3 3 6" xfId="7872" xr:uid="{9936CE78-277D-4970-A53A-1A099547BBB1}"/>
    <cellStyle name="Normal 2 2 2 3 4" xfId="5371" xr:uid="{27AE1662-6A47-4432-8B68-D1C0E1A1D609}"/>
    <cellStyle name="Normal 2 2 2 3 4 2" xfId="6589" xr:uid="{3F3FFDC0-E441-4ADD-945D-BCC8C79E4043}"/>
    <cellStyle name="Normal 2 2 2 3 4 2 2" xfId="7355" xr:uid="{7D28154D-0138-42CB-A7EA-7CC84D98091E}"/>
    <cellStyle name="Normal 2 2 2 3 4 2 2 2" xfId="8995" xr:uid="{177738B4-2075-44E5-BFF2-33A5247B0FAD}"/>
    <cellStyle name="Normal 2 2 2 3 4 2 3" xfId="8239" xr:uid="{84004E5A-E174-448B-A0B4-11F40334CA3E}"/>
    <cellStyle name="Normal 2 2 2 3 4 3" xfId="6590" xr:uid="{5C63FA41-66C2-4A81-9AE0-60167F2D418E}"/>
    <cellStyle name="Normal 2 2 2 3 4 3 2" xfId="7356" xr:uid="{841D489C-C22E-4E30-BB4A-BBD1EF55A416}"/>
    <cellStyle name="Normal 2 2 2 3 4 3 2 2" xfId="8996" xr:uid="{BCFACC59-D5A7-469A-91DC-3F85894EF0F9}"/>
    <cellStyle name="Normal 2 2 2 3 4 3 3" xfId="8240" xr:uid="{42E309D3-7682-4914-AB66-51A5323817D2}"/>
    <cellStyle name="Normal 2 2 2 3 4 4" xfId="6378" xr:uid="{806DE3D6-5A72-4235-A8F0-E802232E93AA}"/>
    <cellStyle name="Normal 2 2 2 3 4 4 2" xfId="7357" xr:uid="{C3BA92EC-BA60-471C-AF73-B9493DBCFA04}"/>
    <cellStyle name="Normal 2 2 2 3 4 4 2 2" xfId="8997" xr:uid="{0B2AB892-0036-4E12-AFB8-0040581C703E}"/>
    <cellStyle name="Normal 2 2 2 3 4 4 3" xfId="8085" xr:uid="{22B3C6C9-4BC4-4D10-BB86-469319AEFBD4}"/>
    <cellStyle name="Normal 2 2 2 3 4 5" xfId="7050" xr:uid="{FD036D42-B609-420F-9CB1-531079AA119D}"/>
    <cellStyle name="Normal 2 2 2 3 4 5 2" xfId="8690" xr:uid="{5B2C0AE7-5FDB-430F-A46F-A0B4DC199090}"/>
    <cellStyle name="Normal 2 2 2 3 4 6" xfId="7873" xr:uid="{B59F67F9-3808-41C2-93AC-BC022D6AC5A9}"/>
    <cellStyle name="Normal 2 2 2 4" xfId="5372" xr:uid="{E3000084-5790-45C4-A2E6-4E236F629406}"/>
    <cellStyle name="Normal 2 2 2 5" xfId="5373" xr:uid="{90778BBC-C65C-4315-AF83-F16C24A70966}"/>
    <cellStyle name="Normal 2 2 2 6" xfId="5357" xr:uid="{2B7E497F-3A57-42B4-8136-83E4B9462019}"/>
    <cellStyle name="Normal 2 2 20" xfId="5374" xr:uid="{4FE30243-F39A-4886-8139-88B4EF6F2963}"/>
    <cellStyle name="Normal 2 2 21" xfId="5375" xr:uid="{4699A8CD-1783-4AB6-823C-D71ECB66A3F9}"/>
    <cellStyle name="Normal 2 2 21 2" xfId="5376" xr:uid="{FCBCA149-69C4-466B-884B-C92DC77E1CCF}"/>
    <cellStyle name="Normal 2 2 21 2 2" xfId="5377" xr:uid="{47B8F6DF-0E76-4888-8AE5-B446B3594CAD}"/>
    <cellStyle name="Normal 2 2 21 2 3" xfId="5378" xr:uid="{33C7FB19-10A3-45D6-8E13-10512F5E0ED8}"/>
    <cellStyle name="Normal 2 2 21 2 4" xfId="5379" xr:uid="{4357CCC9-C60D-4F5B-AB2E-DAEE77F08F37}"/>
    <cellStyle name="Normal 2 2 21 3" xfId="5380" xr:uid="{D7883583-6CCF-4C10-9F0C-F9EB5E06F253}"/>
    <cellStyle name="Normal 2 2 21 4" xfId="5381" xr:uid="{3A193D1B-79B9-4E7A-8F71-9E2EA235334F}"/>
    <cellStyle name="Normal 2 2 22" xfId="5382" xr:uid="{5FABE24A-3C6D-4CC7-A2EC-2311046ED204}"/>
    <cellStyle name="Normal 2 2 23" xfId="5383" xr:uid="{A0FD48BF-4C53-4A06-A849-84565EF42856}"/>
    <cellStyle name="Normal 2 2 24" xfId="5384" xr:uid="{DCDE9CD9-CDCB-49E5-8F19-CFE8D95DE4BA}"/>
    <cellStyle name="Normal 2 2 25" xfId="6591" xr:uid="{CB6E257A-4BA1-469B-B0BB-BEA1D3A36FB2}"/>
    <cellStyle name="Normal 2 2 26" xfId="6458" xr:uid="{188B51D9-578C-47CB-873A-013DD7686043}"/>
    <cellStyle name="Normal 2 2 27" xfId="57" xr:uid="{362E4448-8B5A-46C5-B4B8-6701AED49779}"/>
    <cellStyle name="Normal 2 2 27 2" xfId="5346" xr:uid="{46BAA054-0317-49CA-9C0B-71EEADDAFF15}"/>
    <cellStyle name="Normal 2 2 3" xfId="5385" xr:uid="{69DA5FAE-ED83-400E-B5BC-378E9FBE5FDC}"/>
    <cellStyle name="Normal 2 2 4" xfId="5386" xr:uid="{A3173CDD-C047-4DC4-99C2-0BF53845520E}"/>
    <cellStyle name="Normal 2 2 4 10" xfId="5387" xr:uid="{52582EF5-3188-4D68-9B21-DDAFBDCB52E9}"/>
    <cellStyle name="Normal 2 2 4 11" xfId="5388" xr:uid="{B764DA76-FD12-4B6B-BAA4-B964F315064F}"/>
    <cellStyle name="Normal 2 2 4 12" xfId="5389" xr:uid="{62171A9E-1A8D-4EC4-B087-17572C36BAA7}"/>
    <cellStyle name="Normal 2 2 4 13" xfId="5390" xr:uid="{CD44D024-7077-41D5-96FE-FEA7318A0B9D}"/>
    <cellStyle name="Normal 2 2 4 2" xfId="5391" xr:uid="{66020FF9-10C6-4FFE-8A7C-362C380FF788}"/>
    <cellStyle name="Normal 2 2 4 2 10" xfId="5392" xr:uid="{81613CC4-73D6-4AB2-B9B1-16DCB19CB42B}"/>
    <cellStyle name="Normal 2 2 4 2 10 2" xfId="6592" xr:uid="{BD69EF35-917E-40A7-A5E1-026F3BD0229E}"/>
    <cellStyle name="Normal 2 2 4 2 10 2 2" xfId="7358" xr:uid="{0316CCD0-BBC3-40A7-91FD-B2C439F8AC62}"/>
    <cellStyle name="Normal 2 2 4 2 10 2 2 2" xfId="8998" xr:uid="{E79BFEAB-F0EC-4F42-B43C-79B8B50B51CE}"/>
    <cellStyle name="Normal 2 2 4 2 10 2 3" xfId="8241" xr:uid="{8832EF5E-2F93-4021-816A-2BBB4E9CCF50}"/>
    <cellStyle name="Normal 2 2 4 2 10 3" xfId="6593" xr:uid="{2149E114-E8FF-426F-B039-E795CF0066E9}"/>
    <cellStyle name="Normal 2 2 4 2 10 3 2" xfId="7359" xr:uid="{A144B368-A3C3-4F82-8E0A-DC8D7EA83D91}"/>
    <cellStyle name="Normal 2 2 4 2 10 3 2 2" xfId="8999" xr:uid="{834DDD3B-B7E1-49CD-88F6-F5B6310B25C7}"/>
    <cellStyle name="Normal 2 2 4 2 10 3 3" xfId="8242" xr:uid="{62C7EB4C-D58B-409C-9EBB-7E01BBCF737D}"/>
    <cellStyle name="Normal 2 2 4 2 10 4" xfId="6380" xr:uid="{83D4B4D3-2C18-4615-93C4-DA0CBA35426C}"/>
    <cellStyle name="Normal 2 2 4 2 10 4 2" xfId="7360" xr:uid="{892E03F4-6D35-4C8A-90CE-8FEFB151D2E3}"/>
    <cellStyle name="Normal 2 2 4 2 10 4 2 2" xfId="9000" xr:uid="{1A20766B-CBDB-496E-9744-7BCD8910E648}"/>
    <cellStyle name="Normal 2 2 4 2 10 4 3" xfId="8087" xr:uid="{44BB6F81-6D56-45FB-9A3C-2C673E44F976}"/>
    <cellStyle name="Normal 2 2 4 2 10 5" xfId="7052" xr:uid="{2F686EB4-8793-4056-A54B-5530721B89AB}"/>
    <cellStyle name="Normal 2 2 4 2 10 5 2" xfId="8692" xr:uid="{F2386A75-82EB-425F-B9AB-F4F4210F12C7}"/>
    <cellStyle name="Normal 2 2 4 2 10 6" xfId="7875" xr:uid="{E77B556E-35C0-449E-9FAC-FD25D1CAD882}"/>
    <cellStyle name="Normal 2 2 4 2 11" xfId="5393" xr:uid="{0AC577AB-3C65-4EEA-BF6D-7352A912F111}"/>
    <cellStyle name="Normal 2 2 4 2 11 2" xfId="6594" xr:uid="{58EA23E3-4EED-431B-B067-BAD5FFBE64C0}"/>
    <cellStyle name="Normal 2 2 4 2 11 2 2" xfId="7361" xr:uid="{704EA421-F9C7-48F3-B452-03B6956B3687}"/>
    <cellStyle name="Normal 2 2 4 2 11 2 2 2" xfId="9001" xr:uid="{D6680A2D-589F-4A9D-AA0E-EE1A4DE3984F}"/>
    <cellStyle name="Normal 2 2 4 2 11 2 3" xfId="8243" xr:uid="{561EB3D8-D510-4566-B5CC-DDF714D3B5F9}"/>
    <cellStyle name="Normal 2 2 4 2 11 3" xfId="6595" xr:uid="{B14616CD-7B6F-4A70-96A0-9415CD770756}"/>
    <cellStyle name="Normal 2 2 4 2 11 3 2" xfId="7362" xr:uid="{9D948320-1128-4919-AF91-1014B32183F9}"/>
    <cellStyle name="Normal 2 2 4 2 11 3 2 2" xfId="9002" xr:uid="{E6F348C4-CD30-4680-A1D3-8291822E3B5D}"/>
    <cellStyle name="Normal 2 2 4 2 11 3 3" xfId="8244" xr:uid="{2E9978C7-88CD-4EA2-A9CC-16A8A96873F1}"/>
    <cellStyle name="Normal 2 2 4 2 11 4" xfId="6381" xr:uid="{1E53F7E0-BB41-476E-A612-B3B4043A4BEE}"/>
    <cellStyle name="Normal 2 2 4 2 11 4 2" xfId="7363" xr:uid="{473D9821-0752-4712-9170-90F7F9B4642B}"/>
    <cellStyle name="Normal 2 2 4 2 11 4 2 2" xfId="9003" xr:uid="{BEC12505-9F7B-4FCB-895E-13B38F25B4A2}"/>
    <cellStyle name="Normal 2 2 4 2 11 4 3" xfId="8088" xr:uid="{0B6BAA31-6472-4CF2-92A0-FD9FC4EE359C}"/>
    <cellStyle name="Normal 2 2 4 2 11 5" xfId="7053" xr:uid="{D738F58E-4A38-4B8B-9263-BCC138BC6F08}"/>
    <cellStyle name="Normal 2 2 4 2 11 5 2" xfId="8693" xr:uid="{AB9E4C74-545E-454D-A511-DB2DD3A364C8}"/>
    <cellStyle name="Normal 2 2 4 2 11 6" xfId="7876" xr:uid="{CC245311-D565-46B5-95BF-36F2AC5715BB}"/>
    <cellStyle name="Normal 2 2 4 2 12" xfId="5394" xr:uid="{317BB8F7-3B56-4B95-BC73-5FB0040FDD1B}"/>
    <cellStyle name="Normal 2 2 4 2 12 2" xfId="6596" xr:uid="{257DE491-BFDC-4284-A793-C02DEC4B795D}"/>
    <cellStyle name="Normal 2 2 4 2 12 2 2" xfId="7364" xr:uid="{2FC6E0B1-DA0B-470B-8DE1-258AD58AA8AF}"/>
    <cellStyle name="Normal 2 2 4 2 12 2 2 2" xfId="9004" xr:uid="{544E8482-EA16-4C74-A07B-C38E3BF76D38}"/>
    <cellStyle name="Normal 2 2 4 2 12 2 3" xfId="8245" xr:uid="{18A441E6-49A1-49E8-AA79-40101BE07B8F}"/>
    <cellStyle name="Normal 2 2 4 2 12 3" xfId="6597" xr:uid="{990312EC-C8DB-4932-9D2C-058A8B3A87AD}"/>
    <cellStyle name="Normal 2 2 4 2 12 3 2" xfId="7365" xr:uid="{0E33C39A-CBD0-4458-923D-BE38CAA13995}"/>
    <cellStyle name="Normal 2 2 4 2 12 3 2 2" xfId="9005" xr:uid="{1591B73D-9813-4177-BBD6-7A5675F62365}"/>
    <cellStyle name="Normal 2 2 4 2 12 3 3" xfId="8246" xr:uid="{085D90B9-84A2-4FEF-B30C-E739143323D7}"/>
    <cellStyle name="Normal 2 2 4 2 12 4" xfId="6382" xr:uid="{9D25B9A4-ECD4-44CE-B8E0-A3DBE4A435E4}"/>
    <cellStyle name="Normal 2 2 4 2 12 4 2" xfId="7366" xr:uid="{450E04CD-022F-4442-8FAB-9A5F5FCC1BCE}"/>
    <cellStyle name="Normal 2 2 4 2 12 4 2 2" xfId="9006" xr:uid="{7863DCE8-5BA7-4979-A169-30665CC8F2B0}"/>
    <cellStyle name="Normal 2 2 4 2 12 4 3" xfId="8089" xr:uid="{B5B856A9-0414-4F6C-B6D8-E7E42C016523}"/>
    <cellStyle name="Normal 2 2 4 2 12 5" xfId="7054" xr:uid="{F8133975-8DFB-4924-9747-27730B7447C3}"/>
    <cellStyle name="Normal 2 2 4 2 12 5 2" xfId="8694" xr:uid="{22C1D44A-3855-40DA-8927-2386FD48E580}"/>
    <cellStyle name="Normal 2 2 4 2 12 6" xfId="7877" xr:uid="{E132A4C9-AEC9-4B14-8559-FB04C005D3C2}"/>
    <cellStyle name="Normal 2 2 4 2 13" xfId="5395" xr:uid="{95FF6F68-C0FE-463A-89AD-50311E5CAFCD}"/>
    <cellStyle name="Normal 2 2 4 2 13 2" xfId="6598" xr:uid="{6288151C-B3FE-47E3-ADC9-0C0E9CE3039C}"/>
    <cellStyle name="Normal 2 2 4 2 13 2 2" xfId="7367" xr:uid="{4969CB2A-AD75-48C0-B704-42586078D7CB}"/>
    <cellStyle name="Normal 2 2 4 2 13 2 2 2" xfId="9007" xr:uid="{50D9BE19-596D-4CD0-B064-5BBE901B7CD7}"/>
    <cellStyle name="Normal 2 2 4 2 13 2 3" xfId="8247" xr:uid="{A261CFD8-EC32-49CB-B615-E40E604C76F9}"/>
    <cellStyle name="Normal 2 2 4 2 13 3" xfId="6599" xr:uid="{2DFDF8A8-2F24-479A-A539-9BBE237F0D43}"/>
    <cellStyle name="Normal 2 2 4 2 13 3 2" xfId="7368" xr:uid="{1AF67C4E-A3A0-4245-A769-787F76905F9E}"/>
    <cellStyle name="Normal 2 2 4 2 13 3 2 2" xfId="9008" xr:uid="{4A82D957-917D-4763-958C-52336E369765}"/>
    <cellStyle name="Normal 2 2 4 2 13 3 3" xfId="8248" xr:uid="{C7E9EB9B-35D7-4A9E-BA47-ACA83D4474D3}"/>
    <cellStyle name="Normal 2 2 4 2 13 4" xfId="6383" xr:uid="{3C17486B-4E0F-4B4E-83E8-80C68B410D0F}"/>
    <cellStyle name="Normal 2 2 4 2 13 4 2" xfId="7369" xr:uid="{CE0FCFFE-098E-46AF-AE2F-85D265DFB214}"/>
    <cellStyle name="Normal 2 2 4 2 13 4 2 2" xfId="9009" xr:uid="{EB295BE1-71E8-4E91-B753-88EEC451D6D3}"/>
    <cellStyle name="Normal 2 2 4 2 13 4 3" xfId="8090" xr:uid="{70434E6A-96F4-41ED-A826-686091D09DE7}"/>
    <cellStyle name="Normal 2 2 4 2 13 5" xfId="7055" xr:uid="{4607C72A-B82A-4DA5-9D52-5D9DD449E5AA}"/>
    <cellStyle name="Normal 2 2 4 2 13 5 2" xfId="8695" xr:uid="{40AA03F9-BEE4-4B47-BA33-D9525EECFA9C}"/>
    <cellStyle name="Normal 2 2 4 2 13 6" xfId="7878" xr:uid="{9A0C2124-6FD3-404E-A2F5-A6BC97859445}"/>
    <cellStyle name="Normal 2 2 4 2 14" xfId="6600" xr:uid="{26F599EE-3F92-4242-AE56-0E06E0A54BAC}"/>
    <cellStyle name="Normal 2 2 4 2 14 2" xfId="7370" xr:uid="{A5B5425B-910D-45D4-94FC-6EE666843C4B}"/>
    <cellStyle name="Normal 2 2 4 2 14 2 2" xfId="9010" xr:uid="{A8A38CE3-A173-4BCA-AF64-C5AB461898DA}"/>
    <cellStyle name="Normal 2 2 4 2 14 3" xfId="8249" xr:uid="{7784BF71-FA48-4E45-8D23-A73CBE3B4775}"/>
    <cellStyle name="Normal 2 2 4 2 15" xfId="6601" xr:uid="{B615E7B2-AD1C-4CC4-9DE7-2DEA6E3A965A}"/>
    <cellStyle name="Normal 2 2 4 2 15 2" xfId="7371" xr:uid="{A89665D4-5365-47D8-BB80-4197F44E57DB}"/>
    <cellStyle name="Normal 2 2 4 2 15 2 2" xfId="9011" xr:uid="{0FA27595-9C9B-4E10-B33E-6E3BADF8CF1C}"/>
    <cellStyle name="Normal 2 2 4 2 15 3" xfId="8250" xr:uid="{47F8BB47-D799-4CE8-B77A-C191BADA8125}"/>
    <cellStyle name="Normal 2 2 4 2 16" xfId="6379" xr:uid="{A85297EE-C556-4A64-AEF0-EDAFFBDF639A}"/>
    <cellStyle name="Normal 2 2 4 2 16 2" xfId="7372" xr:uid="{14B92039-11FF-45AD-B56F-CC49C2DEA252}"/>
    <cellStyle name="Normal 2 2 4 2 16 2 2" xfId="9012" xr:uid="{67104DC7-4608-4CC6-8B26-A1D8046F11C7}"/>
    <cellStyle name="Normal 2 2 4 2 16 3" xfId="8086" xr:uid="{BEE47525-90BD-4FEC-B9F2-32C37C741123}"/>
    <cellStyle name="Normal 2 2 4 2 17" xfId="7051" xr:uid="{9A14C2CE-0EDA-4253-ACD2-B56DF4263413}"/>
    <cellStyle name="Normal 2 2 4 2 17 2" xfId="8691" xr:uid="{4C3B034F-BC70-434F-978E-E4A055892B65}"/>
    <cellStyle name="Normal 2 2 4 2 18" xfId="7874" xr:uid="{96DC79A9-AF2C-4176-9916-61F9E3C0420A}"/>
    <cellStyle name="Normal 2 2 4 2 2" xfId="5396" xr:uid="{D02AC5E6-12E4-4040-9DC5-80264BFD1E3D}"/>
    <cellStyle name="Normal 2 2 4 2 2 2" xfId="6602" xr:uid="{10231F1B-2258-44A6-B6AA-CDDAEE83A695}"/>
    <cellStyle name="Normal 2 2 4 2 2 2 2" xfId="7373" xr:uid="{67F40879-CE4B-422F-AF31-2F1B0F8899A5}"/>
    <cellStyle name="Normal 2 2 4 2 2 2 2 2" xfId="9013" xr:uid="{7B8951F4-9434-48A0-9CA7-ED142ACC4B9E}"/>
    <cellStyle name="Normal 2 2 4 2 2 2 3" xfId="8251" xr:uid="{8360F81E-4913-424E-8F7E-BA1CA6BD3CC2}"/>
    <cellStyle name="Normal 2 2 4 2 2 3" xfId="6603" xr:uid="{052714A8-1B6E-4081-B42E-5F2B29C7461A}"/>
    <cellStyle name="Normal 2 2 4 2 2 3 2" xfId="7374" xr:uid="{C0D5857E-F94B-4155-ADA6-385F4929016B}"/>
    <cellStyle name="Normal 2 2 4 2 2 3 2 2" xfId="9014" xr:uid="{C6CDB9DC-2394-4B07-AC78-FA3EB8E13ED8}"/>
    <cellStyle name="Normal 2 2 4 2 2 3 3" xfId="8252" xr:uid="{B4C65527-011E-423D-8B09-5FC59D8A844F}"/>
    <cellStyle name="Normal 2 2 4 2 2 4" xfId="6384" xr:uid="{543AF67B-6188-4CD6-8CE1-9C64F1862291}"/>
    <cellStyle name="Normal 2 2 4 2 2 4 2" xfId="7375" xr:uid="{EF8F6C45-1EBE-4F91-8635-AD51BBE3B9A3}"/>
    <cellStyle name="Normal 2 2 4 2 2 4 2 2" xfId="9015" xr:uid="{FE10CBAD-AABB-4A19-989A-E318923874C9}"/>
    <cellStyle name="Normal 2 2 4 2 2 4 3" xfId="8091" xr:uid="{3E055A07-E01B-43C3-9CA8-10E111B062A1}"/>
    <cellStyle name="Normal 2 2 4 2 2 5" xfId="7056" xr:uid="{562F3EEE-EABF-4695-99F4-0439AC89D69B}"/>
    <cellStyle name="Normal 2 2 4 2 2 5 2" xfId="8696" xr:uid="{9DF409D4-5CCD-46D4-8B6F-FB3BBDDD7464}"/>
    <cellStyle name="Normal 2 2 4 2 2 6" xfId="7879" xr:uid="{AB88A6AB-F5CC-475D-8D29-C46459EFC59C}"/>
    <cellStyle name="Normal 2 2 4 2 3" xfId="5397" xr:uid="{D6B404E3-82F1-402F-B1A4-D5126F4FEF10}"/>
    <cellStyle name="Normal 2 2 4 2 3 2" xfId="6604" xr:uid="{EC53B7C5-4200-4DDB-BE36-3EFD48F4023B}"/>
    <cellStyle name="Normal 2 2 4 2 3 2 2" xfId="7376" xr:uid="{7C860A77-A067-4353-85F0-4CD02F00B03F}"/>
    <cellStyle name="Normal 2 2 4 2 3 2 2 2" xfId="9016" xr:uid="{7A79C98E-4911-4DBB-BA3D-495918244579}"/>
    <cellStyle name="Normal 2 2 4 2 3 2 3" xfId="8253" xr:uid="{7012EB7C-ADF6-4B6B-9077-C5BB0EBAFE91}"/>
    <cellStyle name="Normal 2 2 4 2 3 3" xfId="6605" xr:uid="{989EA27D-B62E-468A-9443-F83EE15BC812}"/>
    <cellStyle name="Normal 2 2 4 2 3 3 2" xfId="7377" xr:uid="{3A0A7912-9EBE-455B-894E-1521C7437CB1}"/>
    <cellStyle name="Normal 2 2 4 2 3 3 2 2" xfId="9017" xr:uid="{6C0D2E9E-7725-482E-8FAF-3238470D6E55}"/>
    <cellStyle name="Normal 2 2 4 2 3 3 3" xfId="8254" xr:uid="{ED700BC0-ACC6-4093-ACB9-75EF0A3C51AD}"/>
    <cellStyle name="Normal 2 2 4 2 3 4" xfId="6385" xr:uid="{223216C0-1DF9-4332-97C5-7C98ECBADEDE}"/>
    <cellStyle name="Normal 2 2 4 2 3 4 2" xfId="7378" xr:uid="{A29A9AD0-2150-4206-BBAC-84DC8DC51767}"/>
    <cellStyle name="Normal 2 2 4 2 3 4 2 2" xfId="9018" xr:uid="{1B2C68FF-4332-429C-934D-9EF7E6EA32A5}"/>
    <cellStyle name="Normal 2 2 4 2 3 4 3" xfId="8092" xr:uid="{93E79BCE-697E-457D-87D7-21345A5F3876}"/>
    <cellStyle name="Normal 2 2 4 2 3 5" xfId="7057" xr:uid="{E9EB59DC-C2D5-4435-8A67-8B753E4C7EC7}"/>
    <cellStyle name="Normal 2 2 4 2 3 5 2" xfId="8697" xr:uid="{9CA8D14D-8F74-4A01-8DFB-F1DC4254FE0E}"/>
    <cellStyle name="Normal 2 2 4 2 3 6" xfId="7880" xr:uid="{E851993B-03ED-4BA5-B19C-316813D30205}"/>
    <cellStyle name="Normal 2 2 4 2 4" xfId="5398" xr:uid="{9123A030-9A0E-4066-895F-C465C88F5F24}"/>
    <cellStyle name="Normal 2 2 4 2 4 2" xfId="6606" xr:uid="{2D335DE8-1589-4B31-8C19-FD3EE74C18EA}"/>
    <cellStyle name="Normal 2 2 4 2 4 2 2" xfId="7379" xr:uid="{4AD06093-2B6B-4F02-9E65-BC1EAA6468BD}"/>
    <cellStyle name="Normal 2 2 4 2 4 2 2 2" xfId="9019" xr:uid="{4DAE0F25-CEB0-402F-88CB-04C1A2729CC1}"/>
    <cellStyle name="Normal 2 2 4 2 4 2 3" xfId="8255" xr:uid="{DF7D30AE-B810-40F1-8DCD-599F05E90354}"/>
    <cellStyle name="Normal 2 2 4 2 4 3" xfId="6607" xr:uid="{289D1AF5-4EA3-4FE2-907E-A6038EB0CD94}"/>
    <cellStyle name="Normal 2 2 4 2 4 3 2" xfId="7380" xr:uid="{EDA6A596-C174-47A3-A879-7E43AE61B626}"/>
    <cellStyle name="Normal 2 2 4 2 4 3 2 2" xfId="9020" xr:uid="{14DC3FEC-698D-47A5-A465-E90E4C236124}"/>
    <cellStyle name="Normal 2 2 4 2 4 3 3" xfId="8256" xr:uid="{A12A6A18-B104-4466-A143-8903E1DF54A4}"/>
    <cellStyle name="Normal 2 2 4 2 4 4" xfId="6386" xr:uid="{930A4071-D514-470C-9FA0-995F7EDB9B3E}"/>
    <cellStyle name="Normal 2 2 4 2 4 4 2" xfId="7381" xr:uid="{9C675B62-251D-40AF-9037-F21574D480CF}"/>
    <cellStyle name="Normal 2 2 4 2 4 4 2 2" xfId="9021" xr:uid="{DAA803E9-936B-4833-BA33-036C857306D3}"/>
    <cellStyle name="Normal 2 2 4 2 4 4 3" xfId="8093" xr:uid="{AD3F8F2A-CB16-4A40-AB3B-6FC973C64BCD}"/>
    <cellStyle name="Normal 2 2 4 2 4 5" xfId="7058" xr:uid="{A3FC0C49-B62F-4D45-9D30-2384250E20BF}"/>
    <cellStyle name="Normal 2 2 4 2 4 5 2" xfId="8698" xr:uid="{48D2FA17-CFF8-4DCD-A9A8-CF37D2066D5A}"/>
    <cellStyle name="Normal 2 2 4 2 4 6" xfId="7881" xr:uid="{540DCBA9-1CD0-48A2-997B-5AD2D07F138D}"/>
    <cellStyle name="Normal 2 2 4 2 5" xfId="5399" xr:uid="{B8ADAA16-D593-454D-A597-02C1BC728FF4}"/>
    <cellStyle name="Normal 2 2 4 2 5 2" xfId="6608" xr:uid="{10BA9297-9C53-46DF-9FAC-B5F8424CD824}"/>
    <cellStyle name="Normal 2 2 4 2 5 2 2" xfId="7382" xr:uid="{C6A0A106-4236-4FFB-AD3F-D42F0D01DFDB}"/>
    <cellStyle name="Normal 2 2 4 2 5 2 2 2" xfId="9022" xr:uid="{F3682A09-8D46-4255-B19F-0AF92B0D0223}"/>
    <cellStyle name="Normal 2 2 4 2 5 2 3" xfId="8257" xr:uid="{C65396CE-722D-4E47-8C3B-E17F39701EF4}"/>
    <cellStyle name="Normal 2 2 4 2 5 3" xfId="6609" xr:uid="{E87B770B-5601-4109-BB15-DDDD2F724EB2}"/>
    <cellStyle name="Normal 2 2 4 2 5 3 2" xfId="7383" xr:uid="{327E8C1F-76F4-4DD2-9A70-4E5490B22A89}"/>
    <cellStyle name="Normal 2 2 4 2 5 3 2 2" xfId="9023" xr:uid="{48A1949A-0AC9-4CD9-BC82-D4CADDFF63B5}"/>
    <cellStyle name="Normal 2 2 4 2 5 3 3" xfId="8258" xr:uid="{189C79E5-92C0-422B-BB3E-1876271ECBD2}"/>
    <cellStyle name="Normal 2 2 4 2 5 4" xfId="6387" xr:uid="{ED9F6BB9-21A0-4CE6-AED1-35B554A02EA4}"/>
    <cellStyle name="Normal 2 2 4 2 5 4 2" xfId="7384" xr:uid="{8FA922F0-338B-4F16-AB30-44AC3CED7BE3}"/>
    <cellStyle name="Normal 2 2 4 2 5 4 2 2" xfId="9024" xr:uid="{88916540-2207-431E-B799-F41E55EFAC87}"/>
    <cellStyle name="Normal 2 2 4 2 5 4 3" xfId="8094" xr:uid="{58851673-63E6-41C2-9CCB-6AF6FBA5B348}"/>
    <cellStyle name="Normal 2 2 4 2 5 5" xfId="7059" xr:uid="{C016A87B-9D54-4323-92EF-38868C5D7299}"/>
    <cellStyle name="Normal 2 2 4 2 5 5 2" xfId="8699" xr:uid="{CF6778AB-05E0-4C05-9975-ED8E6F803017}"/>
    <cellStyle name="Normal 2 2 4 2 5 6" xfId="7882" xr:uid="{2A9CFAE4-0B17-4BB8-86FA-DCFB715E23C5}"/>
    <cellStyle name="Normal 2 2 4 2 6" xfId="5400" xr:uid="{9F1E78EB-528D-41ED-97B3-B49928820E26}"/>
    <cellStyle name="Normal 2 2 4 2 6 2" xfId="6610" xr:uid="{82A8D384-FBB2-42EC-85C7-3B86D94A90E7}"/>
    <cellStyle name="Normal 2 2 4 2 6 2 2" xfId="7385" xr:uid="{0C9F9F40-4E76-4144-AD89-2345FB017E6B}"/>
    <cellStyle name="Normal 2 2 4 2 6 2 2 2" xfId="9025" xr:uid="{171B5437-E232-4206-8C46-D883C43D831A}"/>
    <cellStyle name="Normal 2 2 4 2 6 2 3" xfId="8259" xr:uid="{EAD56A9D-2460-427A-93C2-0E9285587ED0}"/>
    <cellStyle name="Normal 2 2 4 2 6 3" xfId="6611" xr:uid="{613CB0FC-08A4-493B-8894-C0A663D71C4F}"/>
    <cellStyle name="Normal 2 2 4 2 6 3 2" xfId="7386" xr:uid="{5FFFC47D-38C4-4D16-AA12-68D5F4AD6951}"/>
    <cellStyle name="Normal 2 2 4 2 6 3 2 2" xfId="9026" xr:uid="{F112161C-ED0B-441D-81F3-59FF3C49E721}"/>
    <cellStyle name="Normal 2 2 4 2 6 3 3" xfId="8260" xr:uid="{B98DBD9E-BC06-4DFA-A91E-91C9878206C9}"/>
    <cellStyle name="Normal 2 2 4 2 6 4" xfId="6388" xr:uid="{3C282679-5117-4BED-BE06-DB159A96B9C6}"/>
    <cellStyle name="Normal 2 2 4 2 6 4 2" xfId="7387" xr:uid="{ABCCF49B-9BEF-46C6-A2DE-CEF3A3B08704}"/>
    <cellStyle name="Normal 2 2 4 2 6 4 2 2" xfId="9027" xr:uid="{EF96DAF5-2338-4996-BEB8-0CD553DCD5E8}"/>
    <cellStyle name="Normal 2 2 4 2 6 4 3" xfId="8095" xr:uid="{1EE1AC60-F11E-430C-8DB0-F43739DFC34E}"/>
    <cellStyle name="Normal 2 2 4 2 6 5" xfId="7060" xr:uid="{992C0140-9E3B-4270-8E0D-4C48DAA22C81}"/>
    <cellStyle name="Normal 2 2 4 2 6 5 2" xfId="8700" xr:uid="{9FF265E8-ABA0-4E22-983F-FA469452E71C}"/>
    <cellStyle name="Normal 2 2 4 2 6 6" xfId="7883" xr:uid="{8ABC167F-11D8-4FD5-B66B-A5C0B0294B2F}"/>
    <cellStyle name="Normal 2 2 4 2 7" xfId="5401" xr:uid="{B8FDE404-C630-4611-9E11-1113A653B0F4}"/>
    <cellStyle name="Normal 2 2 4 2 7 2" xfId="6612" xr:uid="{861E46FF-DD5E-4DA0-917B-416360C0A07E}"/>
    <cellStyle name="Normal 2 2 4 2 7 2 2" xfId="7388" xr:uid="{43EA967F-4BBB-4B84-8220-DC375426043D}"/>
    <cellStyle name="Normal 2 2 4 2 7 2 2 2" xfId="9028" xr:uid="{A73D7A7D-04A8-4E7A-8CC0-B476CC18EDA4}"/>
    <cellStyle name="Normal 2 2 4 2 7 2 3" xfId="8261" xr:uid="{4BF91E8A-CC67-41B9-AFE2-4EC931E9CF2C}"/>
    <cellStyle name="Normal 2 2 4 2 7 3" xfId="6613" xr:uid="{80ED2031-2D3E-4498-84C5-49C35EDFF9BA}"/>
    <cellStyle name="Normal 2 2 4 2 7 3 2" xfId="7389" xr:uid="{5B6D1409-093D-44AE-945D-9190B0BA669E}"/>
    <cellStyle name="Normal 2 2 4 2 7 3 2 2" xfId="9029" xr:uid="{FEDA7B48-9FD3-4E23-96EE-D0EB5D639740}"/>
    <cellStyle name="Normal 2 2 4 2 7 3 3" xfId="8262" xr:uid="{79A4CE94-00C4-4595-8B06-7A366D6BEBF8}"/>
    <cellStyle name="Normal 2 2 4 2 7 4" xfId="6389" xr:uid="{7082FAC3-1256-4ECE-B4CD-84F94AEEF021}"/>
    <cellStyle name="Normal 2 2 4 2 7 4 2" xfId="7390" xr:uid="{D451F417-5908-4030-9051-EC27BCACA0CC}"/>
    <cellStyle name="Normal 2 2 4 2 7 4 2 2" xfId="9030" xr:uid="{CA54AD7F-569A-427D-AE1A-6A50143126BF}"/>
    <cellStyle name="Normal 2 2 4 2 7 4 3" xfId="8096" xr:uid="{52C678EC-F8AE-49CD-88DC-49A543100EB1}"/>
    <cellStyle name="Normal 2 2 4 2 7 5" xfId="7061" xr:uid="{6A410E94-5787-4249-A3B1-843C2D1D90D4}"/>
    <cellStyle name="Normal 2 2 4 2 7 5 2" xfId="8701" xr:uid="{BFC003C7-BDC6-43C2-A54E-D0EA2093D318}"/>
    <cellStyle name="Normal 2 2 4 2 7 6" xfId="7884" xr:uid="{EAADADB0-E428-4988-9932-D5A0DD271BA6}"/>
    <cellStyle name="Normal 2 2 4 2 8" xfId="5402" xr:uid="{9EA531D6-4A32-4857-B674-71D7FDBDC7BF}"/>
    <cellStyle name="Normal 2 2 4 2 8 2" xfId="6614" xr:uid="{A47FFC01-C57E-4087-AFA2-073CFDF551E8}"/>
    <cellStyle name="Normal 2 2 4 2 8 2 2" xfId="7391" xr:uid="{519568FC-F8DB-49AB-87B5-9ABE9DD1BA35}"/>
    <cellStyle name="Normal 2 2 4 2 8 2 2 2" xfId="9031" xr:uid="{B2395D85-67B2-4B27-81A3-FE10A9E3040C}"/>
    <cellStyle name="Normal 2 2 4 2 8 2 3" xfId="8263" xr:uid="{B5F65077-F349-4FF9-AEF8-63628CDE9E22}"/>
    <cellStyle name="Normal 2 2 4 2 8 3" xfId="6615" xr:uid="{E109012E-EA4D-4674-B36D-6EE347AF8BEC}"/>
    <cellStyle name="Normal 2 2 4 2 8 3 2" xfId="7392" xr:uid="{A22003E3-B46A-4E72-AD24-D924E0979D1A}"/>
    <cellStyle name="Normal 2 2 4 2 8 3 2 2" xfId="9032" xr:uid="{59FF9CCE-3E85-4594-832C-3D659BD7E59A}"/>
    <cellStyle name="Normal 2 2 4 2 8 3 3" xfId="8264" xr:uid="{D64810D8-5458-4726-BF2E-75CE1D007E64}"/>
    <cellStyle name="Normal 2 2 4 2 8 4" xfId="6390" xr:uid="{9D386F2A-834E-418D-BE10-258EE25E2A76}"/>
    <cellStyle name="Normal 2 2 4 2 8 4 2" xfId="7393" xr:uid="{1EBEA49C-75C1-4359-B9C5-8CD23F6AD00D}"/>
    <cellStyle name="Normal 2 2 4 2 8 4 2 2" xfId="9033" xr:uid="{C8EFAFCB-507A-4CDF-8C32-C27B5DF4470C}"/>
    <cellStyle name="Normal 2 2 4 2 8 4 3" xfId="8097" xr:uid="{FADE80B4-1422-4298-80DF-54F3BE7C9B3B}"/>
    <cellStyle name="Normal 2 2 4 2 8 5" xfId="7062" xr:uid="{FE65D837-2DD2-4A06-8EA8-AA5B69EF98C1}"/>
    <cellStyle name="Normal 2 2 4 2 8 5 2" xfId="8702" xr:uid="{B127C377-3351-42FB-AB53-CD135157792C}"/>
    <cellStyle name="Normal 2 2 4 2 8 6" xfId="7885" xr:uid="{327DFCDC-2C24-4623-85A0-99CBE0E0BA2A}"/>
    <cellStyle name="Normal 2 2 4 2 9" xfId="5403" xr:uid="{BA7A151F-0715-4B37-919B-19A26874222C}"/>
    <cellStyle name="Normal 2 2 4 2 9 2" xfId="6616" xr:uid="{C51C6BE9-2560-4789-9167-D5026E8C6E0B}"/>
    <cellStyle name="Normal 2 2 4 2 9 2 2" xfId="7394" xr:uid="{DE5A16E2-9575-4ACF-B06E-6DD397BEC1D3}"/>
    <cellStyle name="Normal 2 2 4 2 9 2 2 2" xfId="9034" xr:uid="{23DFD1B4-8D53-4625-ABE5-3C1B652B2E09}"/>
    <cellStyle name="Normal 2 2 4 2 9 2 3" xfId="8265" xr:uid="{4002FBEA-F46F-462B-B29D-FD56A1F2E9CC}"/>
    <cellStyle name="Normal 2 2 4 2 9 3" xfId="6617" xr:uid="{54EC7D53-9EF4-439C-8004-451ACE4D6982}"/>
    <cellStyle name="Normal 2 2 4 2 9 3 2" xfId="7395" xr:uid="{6D3EA759-7ACF-449D-8B50-287234F1768A}"/>
    <cellStyle name="Normal 2 2 4 2 9 3 2 2" xfId="9035" xr:uid="{2128CFDA-E41A-4225-95D2-EE78358E5B36}"/>
    <cellStyle name="Normal 2 2 4 2 9 3 3" xfId="8266" xr:uid="{7089679B-FCD9-42DF-9D18-5A2AD29D873F}"/>
    <cellStyle name="Normal 2 2 4 2 9 4" xfId="6391" xr:uid="{6F7713D3-039C-4083-A5F3-E7B3B040FB02}"/>
    <cellStyle name="Normal 2 2 4 2 9 4 2" xfId="7396" xr:uid="{E7C0BA6E-4DD6-4ABD-A37F-C56DD676143D}"/>
    <cellStyle name="Normal 2 2 4 2 9 4 2 2" xfId="9036" xr:uid="{68AF8DD0-7DA8-4F47-9FA7-5099D6181919}"/>
    <cellStyle name="Normal 2 2 4 2 9 4 3" xfId="8098" xr:uid="{B9E44735-C687-4CEE-9AE5-A43A204D2854}"/>
    <cellStyle name="Normal 2 2 4 2 9 5" xfId="7063" xr:uid="{2C5EE77B-2A88-4D20-8D30-EE4F6D21CA52}"/>
    <cellStyle name="Normal 2 2 4 2 9 5 2" xfId="8703" xr:uid="{6A57417E-9ACF-44A7-8F03-1AF0FF1763BC}"/>
    <cellStyle name="Normal 2 2 4 2 9 6" xfId="7886" xr:uid="{74A3A012-3589-46BC-8181-81899E29F178}"/>
    <cellStyle name="Normal 2 2 4 3" xfId="5404" xr:uid="{71136EA5-0133-42CA-AAF8-A6AC05D29DE6}"/>
    <cellStyle name="Normal 2 2 4 4" xfId="5405" xr:uid="{8E7F71E7-F885-4579-BEED-D2F443D7EACE}"/>
    <cellStyle name="Normal 2 2 4 5" xfId="5406" xr:uid="{F2C3EEF1-30A2-4390-BEE9-D7248EE1FEA3}"/>
    <cellStyle name="Normal 2 2 4 6" xfId="5407" xr:uid="{CAE4049C-4A46-4518-BF25-64DB976536FC}"/>
    <cellStyle name="Normal 2 2 4 7" xfId="5408" xr:uid="{CB07705A-0F89-4B35-9F43-C4131DE1F097}"/>
    <cellStyle name="Normal 2 2 4 8" xfId="5409" xr:uid="{2E7B220B-A762-4967-940C-D2F3737C923C}"/>
    <cellStyle name="Normal 2 2 4 9" xfId="5410" xr:uid="{7A41B125-D7B2-4D01-916A-9F37D8E117EC}"/>
    <cellStyle name="Normal 2 2 5" xfId="5411" xr:uid="{68C6A8C7-41F4-4250-AB2E-7C06273F7BB0}"/>
    <cellStyle name="Normal 2 2 5 2" xfId="6618" xr:uid="{B5544B65-6846-49A9-8C21-E2A03A783AF7}"/>
    <cellStyle name="Normal 2 2 5 2 2" xfId="7397" xr:uid="{3244A8BC-098C-48B6-A946-789D8A717D36}"/>
    <cellStyle name="Normal 2 2 5 2 2 2" xfId="9037" xr:uid="{0E036968-D459-4B63-80FF-4D42E85166E5}"/>
    <cellStyle name="Normal 2 2 5 2 3" xfId="8267" xr:uid="{4BD9DB6D-8AE6-4930-BC34-D82251BFAFE3}"/>
    <cellStyle name="Normal 2 2 5 3" xfId="6619" xr:uid="{FAACF895-EAA5-40C8-85E0-DFCDDE591679}"/>
    <cellStyle name="Normal 2 2 5 3 2" xfId="7398" xr:uid="{27ABD675-1262-4376-98FF-FF68E144EF8D}"/>
    <cellStyle name="Normal 2 2 5 3 2 2" xfId="9038" xr:uid="{D766039C-989F-4315-BF9F-2DB7BFD9B614}"/>
    <cellStyle name="Normal 2 2 5 3 3" xfId="8268" xr:uid="{C8B5EAC1-78CB-4D5D-974B-9E5392271F34}"/>
    <cellStyle name="Normal 2 2 5 4" xfId="6392" xr:uid="{B37F3E89-80E9-4EB6-8678-E04AA34AD23D}"/>
    <cellStyle name="Normal 2 2 5 4 2" xfId="7399" xr:uid="{3249FB15-FF75-40A9-8B26-E0891EC88F06}"/>
    <cellStyle name="Normal 2 2 5 4 2 2" xfId="9039" xr:uid="{7874054A-C84B-47C5-9273-D7AF520CD173}"/>
    <cellStyle name="Normal 2 2 5 4 3" xfId="8099" xr:uid="{8F352531-11B0-4665-BFCB-0FE72DAF5717}"/>
    <cellStyle name="Normal 2 2 5 5" xfId="7064" xr:uid="{0A08B861-4522-456E-B9F6-4BB81442D7FF}"/>
    <cellStyle name="Normal 2 2 5 5 2" xfId="8704" xr:uid="{6A8EC6BD-92AB-4B56-AB78-8D5B0C8A21C7}"/>
    <cellStyle name="Normal 2 2 5 6" xfId="7887" xr:uid="{511D3399-7E8B-4115-B1C8-6E3F1DA5B823}"/>
    <cellStyle name="Normal 2 2 6" xfId="5412" xr:uid="{7EEF5FFF-117D-4D8D-9D8B-60185DE08FBB}"/>
    <cellStyle name="Normal 2 2 6 2" xfId="6620" xr:uid="{19D5F41F-D532-492B-959B-99D8FBD18711}"/>
    <cellStyle name="Normal 2 2 6 2 2" xfId="7400" xr:uid="{F1033C26-DDFF-4973-8A7B-B6ECC7434741}"/>
    <cellStyle name="Normal 2 2 6 2 2 2" xfId="9040" xr:uid="{3B8D5871-4DCC-4B28-B022-D9639C515830}"/>
    <cellStyle name="Normal 2 2 6 2 3" xfId="8269" xr:uid="{473C535A-D9A0-4A08-8B39-9931E97D0F50}"/>
    <cellStyle name="Normal 2 2 6 3" xfId="6621" xr:uid="{3996D5B3-0F6C-4FD9-8884-6979DADB61DF}"/>
    <cellStyle name="Normal 2 2 6 3 2" xfId="7401" xr:uid="{F786C471-5F1C-4D88-B344-D6D9B504318A}"/>
    <cellStyle name="Normal 2 2 6 3 2 2" xfId="9041" xr:uid="{3141C9E4-A1D8-4ED4-B159-D97C55E45391}"/>
    <cellStyle name="Normal 2 2 6 3 3" xfId="8270" xr:uid="{75E8FDF9-91AA-49CB-8271-A8FB74D6C59F}"/>
    <cellStyle name="Normal 2 2 6 4" xfId="6393" xr:uid="{3F18FD8D-1333-4F23-AB73-8A8AA27304F2}"/>
    <cellStyle name="Normal 2 2 6 4 2" xfId="7402" xr:uid="{E0577DDD-50C6-49A6-8536-9BF9A37BF2C4}"/>
    <cellStyle name="Normal 2 2 6 4 2 2" xfId="9042" xr:uid="{4B181F63-E7D2-4369-9CDA-51307F66C3F9}"/>
    <cellStyle name="Normal 2 2 6 4 3" xfId="8100" xr:uid="{9A7DE92E-E8BE-4FD0-9AC0-860EA7DB29CB}"/>
    <cellStyle name="Normal 2 2 6 5" xfId="7065" xr:uid="{1C9668E4-EC15-43AD-A588-3D4746A4E60B}"/>
    <cellStyle name="Normal 2 2 6 5 2" xfId="8705" xr:uid="{A58749AD-9533-4492-BD3E-356A3CA53839}"/>
    <cellStyle name="Normal 2 2 6 6" xfId="7888" xr:uid="{DA3D2AB7-0E2B-498B-9DA3-92AD35CCC25A}"/>
    <cellStyle name="Normal 2 2 7" xfId="5413" xr:uid="{4DC8C11B-2D09-4008-A97E-8DE45E955FB9}"/>
    <cellStyle name="Normal 2 2 7 2" xfId="6622" xr:uid="{8E805643-1996-41A8-960D-3963A2B55BF2}"/>
    <cellStyle name="Normal 2 2 7 2 2" xfId="7403" xr:uid="{1464B1AE-3B28-4137-A9BD-7C430B21D032}"/>
    <cellStyle name="Normal 2 2 7 2 2 2" xfId="9043" xr:uid="{274D276D-F3D3-423E-9C9B-85A5CC0BA935}"/>
    <cellStyle name="Normal 2 2 7 2 3" xfId="8271" xr:uid="{77CC041D-3D21-44B9-89D7-B265F6BCB7F5}"/>
    <cellStyle name="Normal 2 2 7 3" xfId="6623" xr:uid="{CE5F2219-9DB8-4ABC-B7DF-3E0D68DB5A69}"/>
    <cellStyle name="Normal 2 2 7 3 2" xfId="7404" xr:uid="{F3E118C7-2F1D-4396-AF91-3281D88301FA}"/>
    <cellStyle name="Normal 2 2 7 3 2 2" xfId="9044" xr:uid="{700AED2F-5516-4962-B3CF-857A25D00DD8}"/>
    <cellStyle name="Normal 2 2 7 3 3" xfId="8272" xr:uid="{F9B87D3C-A65A-4ABB-9D5B-2C3AFEC69E29}"/>
    <cellStyle name="Normal 2 2 7 4" xfId="6394" xr:uid="{51DDF2C9-7B07-4759-B764-7DCBFDA9FCF6}"/>
    <cellStyle name="Normal 2 2 7 4 2" xfId="7405" xr:uid="{CBD4B356-050F-4A93-8445-4686EAE11EE8}"/>
    <cellStyle name="Normal 2 2 7 4 2 2" xfId="9045" xr:uid="{6B21EA64-7A92-4B2C-B7E5-FE5EEED96857}"/>
    <cellStyle name="Normal 2 2 7 4 3" xfId="8101" xr:uid="{55133BA5-B21B-40AF-AC55-34A497F7393A}"/>
    <cellStyle name="Normal 2 2 7 5" xfId="7066" xr:uid="{53822446-0126-4A8A-B958-5E49C8A8D914}"/>
    <cellStyle name="Normal 2 2 7 5 2" xfId="8706" xr:uid="{31D62BF9-2058-41F8-9A7E-3DBF92B89393}"/>
    <cellStyle name="Normal 2 2 7 6" xfId="7889" xr:uid="{7DC3E637-EF05-4A2C-9423-38726F3C734E}"/>
    <cellStyle name="Normal 2 2 8" xfId="5414" xr:uid="{8401B375-6C7C-418C-B824-A8DBFACD8DD2}"/>
    <cellStyle name="Normal 2 2 8 2" xfId="5415" xr:uid="{3C439C76-1BE4-4495-94AF-E94C254267BD}"/>
    <cellStyle name="Normal 2 2 8 2 2" xfId="6624" xr:uid="{FCAAA7BB-D35A-4D04-81FC-A2F618EE8876}"/>
    <cellStyle name="Normal 2 2 8 2 2 2" xfId="7406" xr:uid="{E68E7E63-277E-4E52-8511-BE900ECD1DB1}"/>
    <cellStyle name="Normal 2 2 8 2 2 2 2" xfId="9046" xr:uid="{D9C96B1B-72CC-4ADD-8112-F8B8AE5643B1}"/>
    <cellStyle name="Normal 2 2 8 2 2 3" xfId="8273" xr:uid="{C26EABD3-461C-4B41-BB98-EFE199B2DF3E}"/>
    <cellStyle name="Normal 2 2 8 2 3" xfId="6625" xr:uid="{C8D1DABD-684B-4588-A362-FF5BA0F50128}"/>
    <cellStyle name="Normal 2 2 8 2 3 2" xfId="7407" xr:uid="{9333B460-6F90-430A-8F55-E3D924DDB810}"/>
    <cellStyle name="Normal 2 2 8 2 3 2 2" xfId="9047" xr:uid="{622B6336-BAAB-4595-9F64-B48EECB58E9F}"/>
    <cellStyle name="Normal 2 2 8 2 3 3" xfId="8274" xr:uid="{B3A6F1FB-1DFB-4FC0-A927-78AC00BA1715}"/>
    <cellStyle name="Normal 2 2 8 2 4" xfId="6395" xr:uid="{5CEE97D8-6BCD-4DE6-B697-663C595C229B}"/>
    <cellStyle name="Normal 2 2 8 2 4 2" xfId="7408" xr:uid="{1495DE0F-786E-4D9F-97B6-706DAA5A6E6D}"/>
    <cellStyle name="Normal 2 2 8 2 4 2 2" xfId="9048" xr:uid="{0AE92DD1-C57E-4194-8924-06E89951C228}"/>
    <cellStyle name="Normal 2 2 8 2 4 3" xfId="8102" xr:uid="{ADD19AC5-0B43-4BFA-854A-09E6CAA0D6E1}"/>
    <cellStyle name="Normal 2 2 8 2 5" xfId="7067" xr:uid="{65C06C76-B4C7-48F1-BBB8-96716C54A4AD}"/>
    <cellStyle name="Normal 2 2 8 2 5 2" xfId="8707" xr:uid="{FA7545DA-119B-42B8-865E-E22587A5D40D}"/>
    <cellStyle name="Normal 2 2 8 2 6" xfId="7890" xr:uid="{391720F6-2978-4893-A2C4-08ECF56499F4}"/>
    <cellStyle name="Normal 2 2 9" xfId="5416" xr:uid="{A2C59D7B-67A2-4774-BBCC-54A8071DE9F6}"/>
    <cellStyle name="Normal 2 20" xfId="5417" xr:uid="{0A2E734D-AA75-4F22-A6A1-880449A9B154}"/>
    <cellStyle name="Normal 2 21" xfId="5418" xr:uid="{4716B555-A152-4090-B4EC-2D779E9107F2}"/>
    <cellStyle name="Normal 2 22" xfId="5419" xr:uid="{7046573D-D1FC-42CA-8C35-CF78BB6361A9}"/>
    <cellStyle name="Normal 2 23" xfId="5420" xr:uid="{8CFE4021-749D-47D3-A5A6-C7E9E47DE65E}"/>
    <cellStyle name="Normal 2 24" xfId="5421" xr:uid="{13432F29-5A2C-4C2D-81EF-6991D06B1A97}"/>
    <cellStyle name="Normal 2 25" xfId="5422" xr:uid="{400A6719-62C2-4B25-A258-0D0894766817}"/>
    <cellStyle name="Normal 2 26" xfId="5423" xr:uid="{D05FFDA1-81F4-48F1-AFB5-75CB82CB28F4}"/>
    <cellStyle name="Normal 2 27" xfId="5424" xr:uid="{283EA562-BA15-41F6-B69F-AAA77D777469}"/>
    <cellStyle name="Normal 2 28" xfId="5425" xr:uid="{D9453559-CACF-43A4-B745-0513ABD06B0E}"/>
    <cellStyle name="Normal 2 29" xfId="5426" xr:uid="{489F0C8B-1189-4BD6-8F3A-32EB7E61272D}"/>
    <cellStyle name="Normal 2 29 10" xfId="5427" xr:uid="{D8EFC235-7F96-4789-921B-FBC134E50B2C}"/>
    <cellStyle name="Normal 2 29 11" xfId="5428" xr:uid="{664FABB7-9FBC-47AA-91E9-4F5B50A1F443}"/>
    <cellStyle name="Normal 2 29 12" xfId="5429" xr:uid="{FC843671-D6A5-4EF3-AB62-46A6AF0696F6}"/>
    <cellStyle name="Normal 2 29 13" xfId="5430" xr:uid="{9EF45794-7B51-4706-829D-A8B1437E8DD5}"/>
    <cellStyle name="Normal 2 29 14" xfId="5431" xr:uid="{A009E9E7-AB41-46C8-B535-CC81DD60497B}"/>
    <cellStyle name="Normal 2 29 15" xfId="5432" xr:uid="{73980CC2-589E-4439-8027-462DF12E7F8D}"/>
    <cellStyle name="Normal 2 29 16" xfId="5433" xr:uid="{9B4ED1E4-16B0-4900-B63F-EF7D78EB57E1}"/>
    <cellStyle name="Normal 2 29 17" xfId="5434" xr:uid="{D3ED4D6E-182E-4BD2-BA13-6D44C121152C}"/>
    <cellStyle name="Normal 2 29 18" xfId="5435" xr:uid="{EB827A9B-3CBC-47AC-80EB-82523460FB36}"/>
    <cellStyle name="Normal 2 29 19" xfId="5436" xr:uid="{E72557B3-43AD-4707-BAA8-1636F7D65E22}"/>
    <cellStyle name="Normal 2 29 2" xfId="5437" xr:uid="{76DA53C5-8723-4FAE-BCF5-4930EFF1F4D7}"/>
    <cellStyle name="Normal 2 29 20" xfId="5438" xr:uid="{2C704BEF-0A14-4932-ACE6-D643F5A9469F}"/>
    <cellStyle name="Normal 2 29 21" xfId="5439" xr:uid="{A73F002A-E932-4FF6-A7CA-11F2B8F86061}"/>
    <cellStyle name="Normal 2 29 22" xfId="5440" xr:uid="{1C58AB58-1927-46DC-BEAE-C665A7CB4C06}"/>
    <cellStyle name="Normal 2 29 23" xfId="5441" xr:uid="{8BEBAF9E-6B26-4660-9C4B-890393497364}"/>
    <cellStyle name="Normal 2 29 24" xfId="5442" xr:uid="{6427D9E4-0D58-4AF2-BEED-1106B54CD4C9}"/>
    <cellStyle name="Normal 2 29 25" xfId="5443" xr:uid="{229A6AC0-7AED-4222-87B0-61045E6B84D2}"/>
    <cellStyle name="Normal 2 29 26" xfId="5444" xr:uid="{68145536-6E7C-4FFC-BE96-318E19A10EF9}"/>
    <cellStyle name="Normal 2 29 27" xfId="5445" xr:uid="{82E60EF5-CDC4-4B6F-BAD9-C9E0AD5D4B01}"/>
    <cellStyle name="Normal 2 29 28" xfId="5446" xr:uid="{A12CF8F1-EC46-4CE4-A813-90BBA9C91202}"/>
    <cellStyle name="Normal 2 29 29" xfId="5447" xr:uid="{01CFAD10-CFCD-47CA-8EA4-3787ACE13208}"/>
    <cellStyle name="Normal 2 29 3" xfId="5448" xr:uid="{428ED9DE-8E9E-402B-8A81-35E8EBFCC74F}"/>
    <cellStyle name="Normal 2 29 30" xfId="5449" xr:uid="{4FFD4B24-1256-41CF-BB84-70A33A7B1FBB}"/>
    <cellStyle name="Normal 2 29 31" xfId="5450" xr:uid="{5A44351F-6CC8-4105-94C5-D6539775303F}"/>
    <cellStyle name="Normal 2 29 32" xfId="5451" xr:uid="{0D4E981E-7BC8-441E-91B8-A989B586548F}"/>
    <cellStyle name="Normal 2 29 33" xfId="5452" xr:uid="{F6B358B3-7ED0-465A-A2D3-71E6E1E4AA4E}"/>
    <cellStyle name="Normal 2 29 34" xfId="5453" xr:uid="{ADBEF5C3-9342-4844-99A9-A07D98209AD3}"/>
    <cellStyle name="Normal 2 29 35" xfId="5454" xr:uid="{BBC3476F-9BBC-40B3-9142-80A10453635C}"/>
    <cellStyle name="Normal 2 29 36" xfId="5455" xr:uid="{8B930879-234C-4B3F-BF6E-B3DC8655CCB7}"/>
    <cellStyle name="Normal 2 29 37" xfId="5456" xr:uid="{1461E98A-5AE8-47F8-B4B7-3069D38E0085}"/>
    <cellStyle name="Normal 2 29 38" xfId="5457" xr:uid="{1F332F1F-D61F-40EF-B49C-7A6130EEBFAA}"/>
    <cellStyle name="Normal 2 29 39" xfId="5458" xr:uid="{467589D7-0BF0-4376-B960-D6C7A039BDF3}"/>
    <cellStyle name="Normal 2 29 4" xfId="5459" xr:uid="{4B2B1091-DA92-46D1-8C1C-F8ACAC0FEE50}"/>
    <cellStyle name="Normal 2 29 40" xfId="5460" xr:uid="{7B2A6E02-84E7-461A-B71A-476E15605F79}"/>
    <cellStyle name="Normal 2 29 41" xfId="5461" xr:uid="{F7682814-EA9D-42F2-B0B8-5EB8124046C5}"/>
    <cellStyle name="Normal 2 29 42" xfId="5462" xr:uid="{DEBE3422-3A98-4474-A0C0-F3FEF87F5090}"/>
    <cellStyle name="Normal 2 29 43" xfId="5463" xr:uid="{8F92A914-910C-411F-A5EE-41C43AE9DD7B}"/>
    <cellStyle name="Normal 2 29 44" xfId="5464" xr:uid="{DF29A42B-8A56-4DB9-9C84-EE0F3D7DF4ED}"/>
    <cellStyle name="Normal 2 29 45" xfId="5465" xr:uid="{EA1D599B-0DAE-4FD4-94D7-C93750E38758}"/>
    <cellStyle name="Normal 2 29 46" xfId="5466" xr:uid="{C68316CD-A370-43E2-B9ED-2C1A4D1B3BF2}"/>
    <cellStyle name="Normal 2 29 47" xfId="5467" xr:uid="{6FEA1F0F-4003-476B-A737-3BF8ADBE7957}"/>
    <cellStyle name="Normal 2 29 48" xfId="5468" xr:uid="{9B058637-20A1-4124-B83F-B61F59A6DED1}"/>
    <cellStyle name="Normal 2 29 5" xfId="5469" xr:uid="{BD3CF70A-CFF1-41A7-BCCA-CC4EA1C22878}"/>
    <cellStyle name="Normal 2 29 6" xfId="5470" xr:uid="{6000A67D-A45E-4379-A4B3-5EFC300B6716}"/>
    <cellStyle name="Normal 2 29 7" xfId="5471" xr:uid="{8445DF45-21F8-4AA9-9A50-18131D5CDCD1}"/>
    <cellStyle name="Normal 2 29 8" xfId="5472" xr:uid="{9C2F8A86-955B-48D2-A388-09DC107AD611}"/>
    <cellStyle name="Normal 2 29 9" xfId="5473" xr:uid="{34F399BB-B974-49F2-990F-F67458134288}"/>
    <cellStyle name="Normal 2 3" xfId="28" xr:uid="{C7BA143B-7E29-4D52-9141-8253044AD941}"/>
    <cellStyle name="Normal 2 3 10" xfId="5474" xr:uid="{7A7CE62F-9300-4372-B6B6-E0D2FA0C3565}"/>
    <cellStyle name="Normal 2 3 11" xfId="5475" xr:uid="{22AD28C5-7A0B-4F66-B59A-70A7158E382C}"/>
    <cellStyle name="Normal 2 3 12" xfId="5476" xr:uid="{FDE4DB77-D62C-40C7-AC10-352F197E96DB}"/>
    <cellStyle name="Normal 2 3 13" xfId="5477" xr:uid="{D65A6FD7-4E9F-419D-86D5-9A0F97E1BA9B}"/>
    <cellStyle name="Normal 2 3 14" xfId="5478" xr:uid="{266E3E3E-7246-4875-8C7C-E13FDB198F07}"/>
    <cellStyle name="Normal 2 3 15" xfId="5479" xr:uid="{1041DFCC-FACC-4EC7-9ED2-C5D033FA65CC}"/>
    <cellStyle name="Normal 2 3 16" xfId="5480" xr:uid="{61F3466C-41BA-4AA6-97DC-5E4C2F432DD3}"/>
    <cellStyle name="Normal 2 3 17" xfId="5481" xr:uid="{A39D00F9-46EC-4986-B076-E58BD1B059B4}"/>
    <cellStyle name="Normal 2 3 18" xfId="5482" xr:uid="{44A99976-292E-48D8-8A24-36B5EFDB0514}"/>
    <cellStyle name="Normal 2 3 19" xfId="5483" xr:uid="{85E3F5FB-FB47-4A2B-887C-052B3E9D94BF}"/>
    <cellStyle name="Normal 2 3 2" xfId="5484" xr:uid="{35A00811-C6B7-4475-8E7C-A652865D9E7A}"/>
    <cellStyle name="Normal 2 3 20" xfId="5485" xr:uid="{356C081A-4254-4168-AC4E-E8CE5F5D5EC5}"/>
    <cellStyle name="Normal 2 3 21" xfId="5486" xr:uid="{B8A08CBD-6289-4F02-813D-84A53E75726C}"/>
    <cellStyle name="Normal 2 3 22" xfId="5487" xr:uid="{CFED17DF-3131-4DC3-98D8-7183D2B8B2B7}"/>
    <cellStyle name="Normal 2 3 23" xfId="5488" xr:uid="{F1FAEBA1-70CE-4EB6-BCB5-0231201770DF}"/>
    <cellStyle name="Normal 2 3 24" xfId="5489" xr:uid="{BED2DB62-238A-4A56-85A8-E4BE46AAD481}"/>
    <cellStyle name="Normal 2 3 25" xfId="5490" xr:uid="{A6D2511A-0175-483E-8403-F8E79C7243FB}"/>
    <cellStyle name="Normal 2 3 26" xfId="5491" xr:uid="{2068CDF2-4B64-499C-82A9-1DDBACDEEC4E}"/>
    <cellStyle name="Normal 2 3 27" xfId="5492" xr:uid="{CE4BD597-F695-4AA3-AA26-F80461250994}"/>
    <cellStyle name="Normal 2 3 28" xfId="5493" xr:uid="{21B6DCB2-A4BC-4D50-AA74-FD4BAF8717F1}"/>
    <cellStyle name="Normal 2 3 29" xfId="5494" xr:uid="{34DB70D1-15ED-4F99-A257-181276D1A980}"/>
    <cellStyle name="Normal 2 3 3" xfId="50" xr:uid="{00264BB3-59B8-41BF-9A38-D5A7F84393C5}"/>
    <cellStyle name="Normal 2 3 3 2" xfId="5495" xr:uid="{0E19997A-7B13-4268-B15C-08E7340E0202}"/>
    <cellStyle name="Normal 2 3 30" xfId="5496" xr:uid="{9E816132-C577-42E6-94BB-2C60885C49F6}"/>
    <cellStyle name="Normal 2 3 31" xfId="5497" xr:uid="{75B9375C-336F-473B-9CA3-26E1402FEE24}"/>
    <cellStyle name="Normal 2 3 32" xfId="5498" xr:uid="{F5AE9FB7-47A5-40D3-83E6-A45EB171463D}"/>
    <cellStyle name="Normal 2 3 33" xfId="5499" xr:uid="{A6E57114-AF77-4E14-8082-6EF80DF68154}"/>
    <cellStyle name="Normal 2 3 34" xfId="5500" xr:uid="{6E8B62E1-AA4B-4C20-85D8-17A4D5C637EF}"/>
    <cellStyle name="Normal 2 3 35" xfId="5501" xr:uid="{F0F94564-B007-4CA2-AB0B-543B10B8A0FE}"/>
    <cellStyle name="Normal 2 3 36" xfId="5502" xr:uid="{DDEBE5DE-F27E-4FFC-9DCE-B9222C589662}"/>
    <cellStyle name="Normal 2 3 37" xfId="5503" xr:uid="{1ECE071D-9C44-4516-89EF-E84E77251B33}"/>
    <cellStyle name="Normal 2 3 38" xfId="5504" xr:uid="{64EE3735-DC8C-40C9-B564-06BE74D34FCB}"/>
    <cellStyle name="Normal 2 3 39" xfId="5505" xr:uid="{E51876A4-B9B2-47B5-BE0A-9CBF87C4544F}"/>
    <cellStyle name="Normal 2 3 4" xfId="5506" xr:uid="{29FB5C79-DD4C-473C-A38A-45A72E09F855}"/>
    <cellStyle name="Normal 2 3 40" xfId="5507" xr:uid="{F74101AC-2A80-4F23-B611-9E74088100F7}"/>
    <cellStyle name="Normal 2 3 41" xfId="5508" xr:uid="{35E846C0-02CB-4C73-B716-7F893D8655E1}"/>
    <cellStyle name="Normal 2 3 42" xfId="5509" xr:uid="{23E0DD18-BE5F-4268-B9EB-4A9FFD5552C3}"/>
    <cellStyle name="Normal 2 3 43" xfId="5510" xr:uid="{E357620B-3B25-46F5-81F3-103A20867AF4}"/>
    <cellStyle name="Normal 2 3 44" xfId="5511" xr:uid="{7150C913-39BE-4FDF-8D51-D1C09FD8FC3C}"/>
    <cellStyle name="Normal 2 3 45" xfId="5512" xr:uid="{AC3ED67B-7B8E-4697-8DDC-0393B3D913E3}"/>
    <cellStyle name="Normal 2 3 46" xfId="5513" xr:uid="{1EA70D0D-7DC5-43A9-A16F-0B5C1AC365CD}"/>
    <cellStyle name="Normal 2 3 47" xfId="5514" xr:uid="{F4326C19-4C2E-4343-B6D8-805332F4A6F0}"/>
    <cellStyle name="Normal 2 3 48" xfId="5515" xr:uid="{6818D6FB-9C60-4E8E-A10D-D07952FAEC9E}"/>
    <cellStyle name="Normal 2 3 49" xfId="62" xr:uid="{812C6E62-EF0C-4C77-9457-120CC986DC08}"/>
    <cellStyle name="Normal 2 3 49 2" xfId="7409" xr:uid="{3CD8E991-EF0B-4ABC-933A-17395FB12927}"/>
    <cellStyle name="Normal 2 3 49 2 2" xfId="9049" xr:uid="{8D034ACC-410D-47E0-9F45-7B018BE1C681}"/>
    <cellStyle name="Normal 2 3 49 3" xfId="8275" xr:uid="{A3EE0C74-3DA0-4482-8E1F-7B3A7DF79C50}"/>
    <cellStyle name="Normal 2 3 5" xfId="5516" xr:uid="{146B374B-959D-4BEA-8936-115DA0802B39}"/>
    <cellStyle name="Normal 2 3 50" xfId="53" xr:uid="{09DF0596-B39D-4055-86D3-9D22AE6CB1CB}"/>
    <cellStyle name="Normal 2 3 6" xfId="5517" xr:uid="{865FE8C8-B1C9-46C9-8FAB-84630EB955C0}"/>
    <cellStyle name="Normal 2 3 7" xfId="5518" xr:uid="{D7EA4E1B-1C30-4498-8D1E-500BB2B12E54}"/>
    <cellStyle name="Normal 2 3 8" xfId="5519" xr:uid="{DFFEFD0C-3E3B-4F97-A8AB-6E766A58A7B1}"/>
    <cellStyle name="Normal 2 3 9" xfId="5520" xr:uid="{91119CEB-0FC9-43C4-B187-193172FA3943}"/>
    <cellStyle name="Normal 2 30" xfId="5521" xr:uid="{FDD3F582-F6DC-4383-B575-7311C99E9518}"/>
    <cellStyle name="Normal 2 31" xfId="5522" xr:uid="{25987543-8D4F-49B7-A3FC-3DC37D429429}"/>
    <cellStyle name="Normal 2 31 10" xfId="5523" xr:uid="{0F32E6A8-D37F-47FF-9CFD-9B1CCA195FE4}"/>
    <cellStyle name="Normal 2 31 11" xfId="5524" xr:uid="{CFA61A72-4C3F-4D33-9966-74F2E33983F6}"/>
    <cellStyle name="Normal 2 31 12" xfId="5525" xr:uid="{FB0C4BDF-C848-47AC-A504-DA38000E85FD}"/>
    <cellStyle name="Normal 2 31 13" xfId="5526" xr:uid="{AE12BAA3-56A4-4760-B81F-8EA6360E2F1A}"/>
    <cellStyle name="Normal 2 31 14" xfId="5527" xr:uid="{B80066C2-10D8-4667-BF47-B65C4170A530}"/>
    <cellStyle name="Normal 2 31 15" xfId="5528" xr:uid="{B2854C86-796B-492F-BF06-93ACD26E8574}"/>
    <cellStyle name="Normal 2 31 16" xfId="5529" xr:uid="{6B8C63B4-58D4-4DD9-81FE-F4B9D61D04FC}"/>
    <cellStyle name="Normal 2 31 17" xfId="5530" xr:uid="{B761B2F5-624A-4FBA-ACA3-618281AFA329}"/>
    <cellStyle name="Normal 2 31 18" xfId="5531" xr:uid="{5FFEB5B7-9FBF-40B8-8ACD-9E68F6D43473}"/>
    <cellStyle name="Normal 2 31 19" xfId="5532" xr:uid="{5D861918-8D8F-4437-8FC5-5F7019ED0A50}"/>
    <cellStyle name="Normal 2 31 2" xfId="5533" xr:uid="{90777CEC-1E46-41E6-8D4F-7DA087D9C226}"/>
    <cellStyle name="Normal 2 31 20" xfId="5534" xr:uid="{E36EFD84-061C-420F-A2BA-AE178D65A9C1}"/>
    <cellStyle name="Normal 2 31 21" xfId="5535" xr:uid="{0C978396-2A7C-4178-A872-3AA3309889E4}"/>
    <cellStyle name="Normal 2 31 22" xfId="5536" xr:uid="{95BA6AF4-837F-4940-A37C-B32B16F4748E}"/>
    <cellStyle name="Normal 2 31 23" xfId="5537" xr:uid="{5C8A6E9C-7089-47A6-B1CA-3976540CCFF8}"/>
    <cellStyle name="Normal 2 31 24" xfId="5538" xr:uid="{0817A1B3-7102-4672-9C4D-FC91EE44C7B0}"/>
    <cellStyle name="Normal 2 31 25" xfId="5539" xr:uid="{850159A5-2AEE-40AC-8C13-528E7FB6DB1E}"/>
    <cellStyle name="Normal 2 31 26" xfId="5540" xr:uid="{188A0F3B-A48E-42F9-9EB9-57B463DA25FE}"/>
    <cellStyle name="Normal 2 31 27" xfId="5541" xr:uid="{BEC5BC8C-7F2B-4CA0-B32C-43097F9B4742}"/>
    <cellStyle name="Normal 2 31 28" xfId="5542" xr:uid="{0829EC0D-1943-4D5D-B286-E1F4BF86050F}"/>
    <cellStyle name="Normal 2 31 29" xfId="5543" xr:uid="{722EF4C8-BAE5-4263-8536-1E2489D6DAE5}"/>
    <cellStyle name="Normal 2 31 3" xfId="5544" xr:uid="{8F1CFE6B-BD43-444F-A712-88FA9D59DA5A}"/>
    <cellStyle name="Normal 2 31 30" xfId="5545" xr:uid="{EFF96A1D-DE6E-4701-BCF6-0D4D7E199BF4}"/>
    <cellStyle name="Normal 2 31 31" xfId="5546" xr:uid="{49710943-2347-4ECC-A54B-200A9CCD0CDC}"/>
    <cellStyle name="Normal 2 31 32" xfId="5547" xr:uid="{6E71F6BF-CD52-416A-A2A2-C59E99AF8B59}"/>
    <cellStyle name="Normal 2 31 33" xfId="5548" xr:uid="{EFDF4B33-0806-4419-B326-B55DC26A4CF8}"/>
    <cellStyle name="Normal 2 31 34" xfId="5549" xr:uid="{689D9EBF-ECCF-45E4-A18C-2FB6A84C3629}"/>
    <cellStyle name="Normal 2 31 35" xfId="5550" xr:uid="{58ACCE51-96A4-464E-829F-CA1E603DF180}"/>
    <cellStyle name="Normal 2 31 36" xfId="5551" xr:uid="{4017EE04-2CCF-4A1C-991D-EEEF55F7C7D3}"/>
    <cellStyle name="Normal 2 31 37" xfId="5552" xr:uid="{53E73633-32DB-45D0-A025-C204D78B5E43}"/>
    <cellStyle name="Normal 2 31 38" xfId="5553" xr:uid="{338D3898-69F7-4A73-884B-3BBF952D493C}"/>
    <cellStyle name="Normal 2 31 39" xfId="5554" xr:uid="{4AA3C0ED-FFB5-4E01-BB7C-F78ED2C83F61}"/>
    <cellStyle name="Normal 2 31 4" xfId="5555" xr:uid="{BC6C72FB-8B0C-4031-B7E1-DC9D60B4757F}"/>
    <cellStyle name="Normal 2 31 40" xfId="5556" xr:uid="{BA9FF935-900E-4A85-9624-3FA82AB2C24F}"/>
    <cellStyle name="Normal 2 31 41" xfId="5557" xr:uid="{8070C278-C9C5-4EDD-8645-529D30471967}"/>
    <cellStyle name="Normal 2 31 42" xfId="5558" xr:uid="{FCF4E20A-74AF-47BF-A73E-D0E70904079D}"/>
    <cellStyle name="Normal 2 31 43" xfId="5559" xr:uid="{6052C2AD-E5B7-4EEB-950A-872D67EA2355}"/>
    <cellStyle name="Normal 2 31 44" xfId="5560" xr:uid="{9B69AC33-A564-47BC-86B9-8F86EF189390}"/>
    <cellStyle name="Normal 2 31 45" xfId="5561" xr:uid="{9C8F319E-31EA-4954-9934-252B6106FD43}"/>
    <cellStyle name="Normal 2 31 46" xfId="5562" xr:uid="{09F5A34F-54A4-47AA-A40C-03711340BCA7}"/>
    <cellStyle name="Normal 2 31 47" xfId="5563" xr:uid="{814CB2EA-6E5F-452A-8973-9FAE4F93F435}"/>
    <cellStyle name="Normal 2 31 48" xfId="5564" xr:uid="{914BF5DD-2B6D-4C71-B7B7-F405F45035EF}"/>
    <cellStyle name="Normal 2 31 5" xfId="5565" xr:uid="{0D8FE08E-E721-4D6E-9B08-9D42854067BA}"/>
    <cellStyle name="Normal 2 31 6" xfId="5566" xr:uid="{16DE087E-D58B-4281-B235-D0F3AD149AE7}"/>
    <cellStyle name="Normal 2 31 7" xfId="5567" xr:uid="{07436C26-578B-4702-B6F3-708E2ED389FE}"/>
    <cellStyle name="Normal 2 31 8" xfId="5568" xr:uid="{F46774ED-AA9E-4867-A12C-7B2411DD2155}"/>
    <cellStyle name="Normal 2 31 9" xfId="5569" xr:uid="{A2911DCD-B70C-41A0-B77C-7B152F419650}"/>
    <cellStyle name="Normal 2 32" xfId="5570" xr:uid="{A0B35404-8C39-494F-9170-FFB88A9677D0}"/>
    <cellStyle name="Normal 2 32 10" xfId="5571" xr:uid="{44A1C943-BCFA-4FA5-9A64-A7FB3DFF76AC}"/>
    <cellStyle name="Normal 2 32 11" xfId="5572" xr:uid="{C8D2B53C-1A68-4CBE-942B-F2275BAD5CDF}"/>
    <cellStyle name="Normal 2 32 12" xfId="5573" xr:uid="{88163CC0-21DD-4430-98DF-9C50AE221D4C}"/>
    <cellStyle name="Normal 2 32 13" xfId="5574" xr:uid="{753A87E5-BC6E-4F3F-956A-3F67A5FC1776}"/>
    <cellStyle name="Normal 2 32 14" xfId="5575" xr:uid="{F093C88E-0F8A-4EC0-9FDC-4997C68614DA}"/>
    <cellStyle name="Normal 2 32 15" xfId="5576" xr:uid="{ED05794B-5AA5-45AC-8BAA-6190E7304117}"/>
    <cellStyle name="Normal 2 32 16" xfId="5577" xr:uid="{2A1CE425-A0A0-4CD2-8C5B-AB03FB99A82F}"/>
    <cellStyle name="Normal 2 32 17" xfId="5578" xr:uid="{B5574807-735F-41E3-965B-2DC71B651B56}"/>
    <cellStyle name="Normal 2 32 18" xfId="5579" xr:uid="{AE9A5CAB-445A-4CDB-A290-AE4C794AF61E}"/>
    <cellStyle name="Normal 2 32 19" xfId="5580" xr:uid="{CE75F4D6-3A98-4618-A4C9-50BB940E719A}"/>
    <cellStyle name="Normal 2 32 2" xfId="5581" xr:uid="{A504FC32-61D0-41C4-B330-EBC29A3BD07F}"/>
    <cellStyle name="Normal 2 32 20" xfId="5582" xr:uid="{6EA2C2EB-2E7F-489F-8252-16AB08C58F06}"/>
    <cellStyle name="Normal 2 32 21" xfId="5583" xr:uid="{865C1C18-A625-4076-8949-49BF0CEB3B31}"/>
    <cellStyle name="Normal 2 32 22" xfId="5584" xr:uid="{D876E36E-DF51-4582-B92A-2B7BF44138B0}"/>
    <cellStyle name="Normal 2 32 23" xfId="5585" xr:uid="{AA662904-1889-4B1D-A1FA-11E81982FBCE}"/>
    <cellStyle name="Normal 2 32 24" xfId="5586" xr:uid="{61396C90-42E4-436B-ADDF-695394ABA4C7}"/>
    <cellStyle name="Normal 2 32 25" xfId="5587" xr:uid="{D77B26AB-0E87-4A50-8960-E0B32F00EB18}"/>
    <cellStyle name="Normal 2 32 26" xfId="5588" xr:uid="{CD803383-795C-482C-9C5F-A8EC9E0EA5F8}"/>
    <cellStyle name="Normal 2 32 27" xfId="5589" xr:uid="{7518C11B-BCC7-4ECD-8E04-4B1F87C2472B}"/>
    <cellStyle name="Normal 2 32 28" xfId="5590" xr:uid="{946763C8-1E0D-463E-941E-90DA85FD2820}"/>
    <cellStyle name="Normal 2 32 29" xfId="5591" xr:uid="{84C1FB64-8B49-4796-A6FB-2FBCF2FB0B82}"/>
    <cellStyle name="Normal 2 32 3" xfId="5592" xr:uid="{CEA06CA1-74FD-41E1-895F-C915B5212FAB}"/>
    <cellStyle name="Normal 2 32 30" xfId="5593" xr:uid="{FED30907-49D9-4AE4-8A78-4C704686150D}"/>
    <cellStyle name="Normal 2 32 31" xfId="5594" xr:uid="{564B71EC-A890-41D3-BAD2-7CDAFE89F7C5}"/>
    <cellStyle name="Normal 2 32 32" xfId="5595" xr:uid="{2B414578-B39A-4075-ADE7-A477F42D4152}"/>
    <cellStyle name="Normal 2 32 33" xfId="5596" xr:uid="{59FCBFAD-E145-4FB5-8569-40D899333947}"/>
    <cellStyle name="Normal 2 32 34" xfId="5597" xr:uid="{47661217-BA49-4E19-8F03-A83A0B3466F5}"/>
    <cellStyle name="Normal 2 32 35" xfId="5598" xr:uid="{0B9E6194-5215-4786-BF07-B71EE5615BF4}"/>
    <cellStyle name="Normal 2 32 36" xfId="5599" xr:uid="{55620309-DA37-48F6-9C83-F4FF702B0A8F}"/>
    <cellStyle name="Normal 2 32 37" xfId="5600" xr:uid="{1AFF58D8-ECAC-44F6-833E-65497D4286B1}"/>
    <cellStyle name="Normal 2 32 38" xfId="5601" xr:uid="{1CEA4E8B-FA29-4932-8043-48C95D0EF34F}"/>
    <cellStyle name="Normal 2 32 39" xfId="5602" xr:uid="{101CFA7F-9FA6-4C6C-A1C4-B4B8F11206AC}"/>
    <cellStyle name="Normal 2 32 4" xfId="5603" xr:uid="{B2EEAAD8-87CF-4FEE-B06E-D3FEE54F2846}"/>
    <cellStyle name="Normal 2 32 40" xfId="5604" xr:uid="{BD2315A2-57B1-4E3C-A19F-606996010409}"/>
    <cellStyle name="Normal 2 32 41" xfId="5605" xr:uid="{AF591D9E-EAE1-4677-992D-D0E79E14F0C7}"/>
    <cellStyle name="Normal 2 32 42" xfId="5606" xr:uid="{75D9EC4E-C0C9-4540-88DF-83E8CACA3B43}"/>
    <cellStyle name="Normal 2 32 43" xfId="5607" xr:uid="{FEB43C15-9444-4392-81A6-B63943F2A8AB}"/>
    <cellStyle name="Normal 2 32 44" xfId="5608" xr:uid="{139BC90D-472B-46FA-88D9-B1DD3E8EFA9D}"/>
    <cellStyle name="Normal 2 32 45" xfId="5609" xr:uid="{0CE8C583-003A-4D26-90A0-6458A3E918B6}"/>
    <cellStyle name="Normal 2 32 46" xfId="5610" xr:uid="{6A13FB81-41D8-41FA-8075-BE0F50D91407}"/>
    <cellStyle name="Normal 2 32 47" xfId="5611" xr:uid="{0DF4014F-1E9E-444B-A4F8-22B04A757D9E}"/>
    <cellStyle name="Normal 2 32 48" xfId="5612" xr:uid="{B7723695-F0DF-438F-935E-6C5D470C4E6C}"/>
    <cellStyle name="Normal 2 32 5" xfId="5613" xr:uid="{5C08B147-E405-4313-8F03-0FFEDCB88C98}"/>
    <cellStyle name="Normal 2 32 6" xfId="5614" xr:uid="{8FDE9EBF-5A9C-4072-9895-E569FE7CFAAA}"/>
    <cellStyle name="Normal 2 32 7" xfId="5615" xr:uid="{2B93D115-D623-4796-92F5-7F8C7CDFA707}"/>
    <cellStyle name="Normal 2 32 8" xfId="5616" xr:uid="{FC696E49-5841-43CA-8255-F7A09ECBA050}"/>
    <cellStyle name="Normal 2 32 9" xfId="5617" xr:uid="{306AC3C4-50C5-4D29-B85F-9F8CA99F8829}"/>
    <cellStyle name="Normal 2 33" xfId="5618" xr:uid="{2AE91C61-3154-4604-A628-60513DA1BDF2}"/>
    <cellStyle name="Normal 2 33 10" xfId="5619" xr:uid="{43744B90-5C9B-4502-8062-0A2D6580BC06}"/>
    <cellStyle name="Normal 2 33 11" xfId="5620" xr:uid="{57E67FEB-EDBA-4BBD-9CD8-2EBECF735F09}"/>
    <cellStyle name="Normal 2 33 12" xfId="5621" xr:uid="{D828ED29-0141-451A-852E-19E757E924E4}"/>
    <cellStyle name="Normal 2 33 13" xfId="5622" xr:uid="{21DD6931-9D1F-43CC-970D-215FD7C12497}"/>
    <cellStyle name="Normal 2 33 14" xfId="5623" xr:uid="{269E8534-951C-4D84-AB12-40AE67B17889}"/>
    <cellStyle name="Normal 2 33 15" xfId="5624" xr:uid="{45989E21-3261-4B23-8C30-152FE8B1E4F5}"/>
    <cellStyle name="Normal 2 33 16" xfId="5625" xr:uid="{ED8F1824-A37B-469C-B3B7-614473A078A9}"/>
    <cellStyle name="Normal 2 33 17" xfId="5626" xr:uid="{73293D60-F76E-49AD-9A52-8F4A37261378}"/>
    <cellStyle name="Normal 2 33 18" xfId="5627" xr:uid="{40F1DDAD-9579-4330-AD0F-F86404AC0E6D}"/>
    <cellStyle name="Normal 2 33 19" xfId="5628" xr:uid="{63A54EAE-D0DE-4801-A1BB-254B0837EA78}"/>
    <cellStyle name="Normal 2 33 2" xfId="5629" xr:uid="{1AD4B2CC-E2F1-40D0-9A5A-092B9B15E4CE}"/>
    <cellStyle name="Normal 2 33 20" xfId="5630" xr:uid="{43FC47B6-83F3-4316-9DF1-7B6EDF033952}"/>
    <cellStyle name="Normal 2 33 21" xfId="5631" xr:uid="{19DD07B0-F209-4B7A-8949-57F3FB5D13B5}"/>
    <cellStyle name="Normal 2 33 22" xfId="5632" xr:uid="{1A36CEC7-D1D1-4907-BBB1-65EBFE6021C4}"/>
    <cellStyle name="Normal 2 33 23" xfId="5633" xr:uid="{CCD7EEE6-2E3D-4840-B4EC-665D7361355F}"/>
    <cellStyle name="Normal 2 33 24" xfId="5634" xr:uid="{2C36BAAB-034B-4FC2-9E70-3DD84AE582AF}"/>
    <cellStyle name="Normal 2 33 25" xfId="5635" xr:uid="{5112EAC3-732C-4033-A55C-FE57F2DF9327}"/>
    <cellStyle name="Normal 2 33 26" xfId="5636" xr:uid="{BD089818-7319-4580-BEAE-159E75C50BED}"/>
    <cellStyle name="Normal 2 33 27" xfId="5637" xr:uid="{82C92206-A81E-4A84-A33F-0DB72A636CC5}"/>
    <cellStyle name="Normal 2 33 28" xfId="5638" xr:uid="{F5577F99-96D8-48A8-991C-65F6320F28CF}"/>
    <cellStyle name="Normal 2 33 29" xfId="5639" xr:uid="{1E3F485C-4171-47F6-97C8-18E94E3C705A}"/>
    <cellStyle name="Normal 2 33 3" xfId="5640" xr:uid="{170B7336-7FDC-48F4-99FF-C15138159871}"/>
    <cellStyle name="Normal 2 33 30" xfId="5641" xr:uid="{973769DA-4412-4F01-B293-AB5C5C79D5A2}"/>
    <cellStyle name="Normal 2 33 31" xfId="5642" xr:uid="{C9E45677-2861-43D1-B650-A15A65F70415}"/>
    <cellStyle name="Normal 2 33 32" xfId="5643" xr:uid="{CDEDD4E5-1151-49CB-BC8C-7DC2F685366B}"/>
    <cellStyle name="Normal 2 33 33" xfId="5644" xr:uid="{99B9AF31-88D9-4655-96E7-37146CDB1229}"/>
    <cellStyle name="Normal 2 33 34" xfId="5645" xr:uid="{FC20B20A-3C10-4BB3-8FEE-24BF9A73C833}"/>
    <cellStyle name="Normal 2 33 35" xfId="5646" xr:uid="{377C1AC7-FABD-44B1-9918-0953F373F01E}"/>
    <cellStyle name="Normal 2 33 36" xfId="5647" xr:uid="{C90FD460-19AB-4211-8D58-A6AD87EA2FFB}"/>
    <cellStyle name="Normal 2 33 37" xfId="5648" xr:uid="{E5F76995-05BF-42C2-A600-22D9DCBF6CE3}"/>
    <cellStyle name="Normal 2 33 38" xfId="5649" xr:uid="{E91378F4-D5F2-4D60-8D14-6FB7D6C7325B}"/>
    <cellStyle name="Normal 2 33 39" xfId="5650" xr:uid="{433E4FA8-7719-49DB-8275-436795DB15CA}"/>
    <cellStyle name="Normal 2 33 4" xfId="5651" xr:uid="{DCB35FF5-94A8-47D1-A792-583C9E690AA8}"/>
    <cellStyle name="Normal 2 33 40" xfId="5652" xr:uid="{4F331C81-1928-4F91-9616-A7E9CC93AF23}"/>
    <cellStyle name="Normal 2 33 41" xfId="5653" xr:uid="{A0EC5D77-E645-4EF5-94A8-F3BE2B25CFA8}"/>
    <cellStyle name="Normal 2 33 42" xfId="5654" xr:uid="{3E220585-E21A-47D4-8991-A4C0D3BA5F18}"/>
    <cellStyle name="Normal 2 33 43" xfId="5655" xr:uid="{DA55F1AE-AD7C-484E-8F1D-BED95116A484}"/>
    <cellStyle name="Normal 2 33 44" xfId="5656" xr:uid="{6DF1C4AC-DF72-4DF2-8531-7FD2B0BA321E}"/>
    <cellStyle name="Normal 2 33 45" xfId="5657" xr:uid="{3D02193F-FA3E-4F77-894A-3A40D59BDBC0}"/>
    <cellStyle name="Normal 2 33 46" xfId="5658" xr:uid="{BCDC35C1-03B5-419F-9F53-945B0BC143FA}"/>
    <cellStyle name="Normal 2 33 47" xfId="5659" xr:uid="{AE415948-013A-401E-B556-32D53BD65CFA}"/>
    <cellStyle name="Normal 2 33 48" xfId="5660" xr:uid="{BF2BA647-44B5-4FE5-A06E-B81F2D74EE19}"/>
    <cellStyle name="Normal 2 33 5" xfId="5661" xr:uid="{98014A03-A4FB-4311-A6A7-7E4CC991190E}"/>
    <cellStyle name="Normal 2 33 6" xfId="5662" xr:uid="{8C9A6EB8-7DB5-4998-8A41-7DA28BF03650}"/>
    <cellStyle name="Normal 2 33 7" xfId="5663" xr:uid="{974CAB04-0CD6-4059-B3A0-556110624761}"/>
    <cellStyle name="Normal 2 33 8" xfId="5664" xr:uid="{0FFEBF45-3CCE-456B-BAAD-9E4DD1029EDA}"/>
    <cellStyle name="Normal 2 33 9" xfId="5665" xr:uid="{01EB18D5-925A-4A8C-979C-B9EBD2FCED39}"/>
    <cellStyle name="Normal 2 34" xfId="5666" xr:uid="{D4D40FD1-A0B8-4D89-BA4D-6B3AD0B3A39B}"/>
    <cellStyle name="Normal 2 35" xfId="5667" xr:uid="{B9BB87AB-2214-4795-BDC0-40B7ADB7536A}"/>
    <cellStyle name="Normal 2 36" xfId="5668" xr:uid="{075A4002-0733-4BD4-A446-EF58AB2CD568}"/>
    <cellStyle name="Normal 2 36 10" xfId="5669" xr:uid="{DA6E90D7-6C19-4E29-8145-292794C16152}"/>
    <cellStyle name="Normal 2 36 11" xfId="5670" xr:uid="{7B5F272D-8BA1-4D40-92A8-C1592CA6DB12}"/>
    <cellStyle name="Normal 2 36 12" xfId="5671" xr:uid="{78E2721C-EA89-43EC-8275-FE002777109A}"/>
    <cellStyle name="Normal 2 36 13" xfId="5672" xr:uid="{3C00586C-403D-43B4-A141-DC6BB2674090}"/>
    <cellStyle name="Normal 2 36 14" xfId="5673" xr:uid="{D2F5E91F-0144-4C06-B092-651A29D8D859}"/>
    <cellStyle name="Normal 2 36 15" xfId="5674" xr:uid="{FF749E76-1323-480F-8F6D-6F175779893B}"/>
    <cellStyle name="Normal 2 36 16" xfId="5675" xr:uid="{79D12B56-3796-4DF8-8C2F-F413EDB80919}"/>
    <cellStyle name="Normal 2 36 17" xfId="5676" xr:uid="{BD92F0CE-6BEA-41BE-88BF-632082060EE8}"/>
    <cellStyle name="Normal 2 36 18" xfId="5677" xr:uid="{F88BA198-72CC-407B-BF71-3F54009C1B50}"/>
    <cellStyle name="Normal 2 36 19" xfId="5678" xr:uid="{F0F5FE7A-B662-4674-B10E-30B0E389F6A6}"/>
    <cellStyle name="Normal 2 36 2" xfId="5679" xr:uid="{EF013B72-3219-4858-B5EF-A9CC12E332D5}"/>
    <cellStyle name="Normal 2 36 20" xfId="5680" xr:uid="{25290624-182C-40E5-8F3E-D63130BAAA5A}"/>
    <cellStyle name="Normal 2 36 3" xfId="5681" xr:uid="{4383957C-8BAD-4A2B-881F-8213F90BE45E}"/>
    <cellStyle name="Normal 2 36 4" xfId="5682" xr:uid="{C76ACA14-B734-4BB7-86E0-9AA6DB4459F1}"/>
    <cellStyle name="Normal 2 36 5" xfId="5683" xr:uid="{1A72F105-CC4F-45FE-AAE2-9003EE9151EF}"/>
    <cellStyle name="Normal 2 36 6" xfId="5684" xr:uid="{C92FC665-D67D-4588-9416-695AF16421CC}"/>
    <cellStyle name="Normal 2 36 7" xfId="5685" xr:uid="{1F813021-62D8-4FF9-8159-195C35561BA0}"/>
    <cellStyle name="Normal 2 36 8" xfId="5686" xr:uid="{FF406E41-E4ED-48DC-A142-641E65BBEB06}"/>
    <cellStyle name="Normal 2 36 9" xfId="5687" xr:uid="{CC057293-A238-4D42-874B-E3F000056932}"/>
    <cellStyle name="Normal 2 37" xfId="5688" xr:uid="{FB53216D-0DB8-42D3-BD26-6BCED492DD98}"/>
    <cellStyle name="Normal 2 38" xfId="5689" xr:uid="{8BDF6BF8-7BB9-463C-90DD-0D55488C1A0F}"/>
    <cellStyle name="Normal 2 39" xfId="5690" xr:uid="{F7D1942F-2CB7-4ABE-A343-7346C47FB6DB}"/>
    <cellStyle name="Normal 2 4" xfId="45" xr:uid="{D703AA10-AFA9-4C57-91AC-711D4DA9DDF9}"/>
    <cellStyle name="Normal 2 4 2" xfId="5691" xr:uid="{1948D41F-BF85-4899-90E4-7C55BDA4EC57}"/>
    <cellStyle name="Normal 2 40" xfId="5692" xr:uid="{4D87EB27-7588-4546-AFEF-34722921A069}"/>
    <cellStyle name="Normal 2 40 10" xfId="5693" xr:uid="{C6F9AEBA-6FA0-40F2-ACD5-1AC0520ACE84}"/>
    <cellStyle name="Normal 2 40 11" xfId="5694" xr:uid="{3F745C83-B8EE-4F6C-A1FD-9DD1DB269185}"/>
    <cellStyle name="Normal 2 40 12" xfId="5695" xr:uid="{1F182AA9-CD0E-4FC1-A429-0AA3D62F6FA7}"/>
    <cellStyle name="Normal 2 40 13" xfId="5696" xr:uid="{D2275ADD-A2CD-40FD-ABEB-1F5CB2ACB77B}"/>
    <cellStyle name="Normal 2 40 14" xfId="5697" xr:uid="{2E544A29-B0DF-4DA2-AD19-5096028B418E}"/>
    <cellStyle name="Normal 2 40 15" xfId="5698" xr:uid="{1003E5E8-FCBA-415D-B872-33DCFAEBDF3F}"/>
    <cellStyle name="Normal 2 40 16" xfId="5699" xr:uid="{09983812-178D-42FB-904F-1BA0A894FA59}"/>
    <cellStyle name="Normal 2 40 17" xfId="5700" xr:uid="{355E0072-0186-45AA-AB16-BCEDDDBB4508}"/>
    <cellStyle name="Normal 2 40 18" xfId="5701" xr:uid="{C557111E-41E0-4ABB-8463-CE68297A7065}"/>
    <cellStyle name="Normal 2 40 19" xfId="5702" xr:uid="{C960553F-193D-4BAD-A722-50D8F99F849B}"/>
    <cellStyle name="Normal 2 40 2" xfId="5703" xr:uid="{C8773A95-D0F6-485E-AA93-F44DB2D0053A}"/>
    <cellStyle name="Normal 2 40 20" xfId="5704" xr:uid="{364A1282-75E2-4CA5-AB1E-422534154390}"/>
    <cellStyle name="Normal 2 40 3" xfId="5705" xr:uid="{4A6A23B5-BE8B-4DE8-9278-40D84A94B337}"/>
    <cellStyle name="Normal 2 40 4" xfId="5706" xr:uid="{2D4C3758-4DF5-4848-A598-1AD80D6C7EAC}"/>
    <cellStyle name="Normal 2 40 5" xfId="5707" xr:uid="{398508AD-F997-414E-B79B-0D742FAF64D9}"/>
    <cellStyle name="Normal 2 40 6" xfId="5708" xr:uid="{DB3A1BBE-B39F-421C-9782-4C69C2A558DD}"/>
    <cellStyle name="Normal 2 40 7" xfId="5709" xr:uid="{0A90428C-A3D9-49A8-9FCA-1E01BA86BDB8}"/>
    <cellStyle name="Normal 2 40 8" xfId="5710" xr:uid="{D6E84086-D109-40FD-8924-A3FE7899843D}"/>
    <cellStyle name="Normal 2 40 9" xfId="5711" xr:uid="{893F2752-2FE4-41D0-9722-E5607A40F497}"/>
    <cellStyle name="Normal 2 41" xfId="5712" xr:uid="{F490BC00-499D-4540-9C3C-C3BFD1A4EA2D}"/>
    <cellStyle name="Normal 2 41 10" xfId="5713" xr:uid="{CD7D3A9D-5476-4F60-89EE-39C260A99CE1}"/>
    <cellStyle name="Normal 2 41 11" xfId="5714" xr:uid="{9FDB5C19-658C-44D6-966F-BA45F570CD8C}"/>
    <cellStyle name="Normal 2 41 12" xfId="5715" xr:uid="{76BA1B5C-B828-4E12-A162-0190EC04F4E2}"/>
    <cellStyle name="Normal 2 41 13" xfId="5716" xr:uid="{D51B5D1F-743E-4A44-9D7F-4CE2A1896134}"/>
    <cellStyle name="Normal 2 41 14" xfId="5717" xr:uid="{FEB547B8-D79C-4B8C-8414-FC3D71B69836}"/>
    <cellStyle name="Normal 2 41 15" xfId="5718" xr:uid="{2A3DBF5A-A062-4180-B214-32A1543C9489}"/>
    <cellStyle name="Normal 2 41 16" xfId="5719" xr:uid="{3057A234-AEEF-4173-AB34-C7C27E4AA2FA}"/>
    <cellStyle name="Normal 2 41 17" xfId="5720" xr:uid="{CA8B387A-244C-422C-B403-26080803A70C}"/>
    <cellStyle name="Normal 2 41 18" xfId="5721" xr:uid="{7EDEC2ED-5464-49E3-B84A-7C05F8007F15}"/>
    <cellStyle name="Normal 2 41 19" xfId="5722" xr:uid="{1EA63F2D-766E-4849-8E78-8D87E25A0310}"/>
    <cellStyle name="Normal 2 41 2" xfId="5723" xr:uid="{C5D0D5E5-82CA-4DFB-A23F-5BD52CFF4FDF}"/>
    <cellStyle name="Normal 2 41 20" xfId="5724" xr:uid="{0D09DB08-059D-4872-BCC3-B5E4B3E18821}"/>
    <cellStyle name="Normal 2 41 3" xfId="5725" xr:uid="{49196F85-DD16-4051-BAD7-E121074EB5A5}"/>
    <cellStyle name="Normal 2 41 4" xfId="5726" xr:uid="{6C58005B-6BA0-42F1-8F37-BB8F1DF898C4}"/>
    <cellStyle name="Normal 2 41 5" xfId="5727" xr:uid="{131EA678-2D49-44B3-81D3-86BDFA6722EA}"/>
    <cellStyle name="Normal 2 41 6" xfId="5728" xr:uid="{0A5F1564-FF38-410A-8325-E78FD5A9E084}"/>
    <cellStyle name="Normal 2 41 7" xfId="5729" xr:uid="{A677DE38-99A0-4FA6-A651-86C3C9FE3184}"/>
    <cellStyle name="Normal 2 41 8" xfId="5730" xr:uid="{3EDA9EAA-C8B9-4D0F-90BF-145BCB8FC8EE}"/>
    <cellStyle name="Normal 2 41 9" xfId="5731" xr:uid="{2E74E2D9-5E06-49A8-9BB9-3450694EFD5E}"/>
    <cellStyle name="Normal 2 42" xfId="5732" xr:uid="{9335CCE1-9E10-4DC2-962F-CD29D0FDC65D}"/>
    <cellStyle name="Normal 2 42 10" xfId="5733" xr:uid="{43851AAF-418E-4E31-81C5-FA2A17558D28}"/>
    <cellStyle name="Normal 2 42 11" xfId="5734" xr:uid="{116764D2-8DDA-4D60-A0DF-0C6D8BEFF7C2}"/>
    <cellStyle name="Normal 2 42 12" xfId="5735" xr:uid="{8A23379B-8816-42E6-854B-EAFE0928F6C6}"/>
    <cellStyle name="Normal 2 42 13" xfId="5736" xr:uid="{36BEACB4-7E42-448E-B256-225A58CF84EE}"/>
    <cellStyle name="Normal 2 42 14" xfId="5737" xr:uid="{DD9A6721-DB43-4BE6-8D4D-433758B17A3F}"/>
    <cellStyle name="Normal 2 42 15" xfId="5738" xr:uid="{9DE25856-7F88-403D-B1F2-CE193C81E8D0}"/>
    <cellStyle name="Normal 2 42 16" xfId="5739" xr:uid="{3A5F7F2E-99AA-4469-A884-D97A114C3F74}"/>
    <cellStyle name="Normal 2 42 17" xfId="5740" xr:uid="{7850EC11-F445-4D56-BC72-B4464D8E582D}"/>
    <cellStyle name="Normal 2 42 18" xfId="5741" xr:uid="{9109FE57-E4E4-4D9B-873C-CB90A1F17E8B}"/>
    <cellStyle name="Normal 2 42 19" xfId="5742" xr:uid="{55D782C6-74A1-46C5-B02B-0BA9D23D4290}"/>
    <cellStyle name="Normal 2 42 2" xfId="5743" xr:uid="{A72074B2-2011-4635-A8BA-D1AB1694ED47}"/>
    <cellStyle name="Normal 2 42 20" xfId="5744" xr:uid="{92EE5BBA-3485-48C1-9E2C-985A12C3F195}"/>
    <cellStyle name="Normal 2 42 3" xfId="5745" xr:uid="{123AD7B5-0FF4-4B25-980B-9C9CD6BC104C}"/>
    <cellStyle name="Normal 2 42 4" xfId="5746" xr:uid="{319C6630-C8BB-4B53-801E-AD85DA7A7E70}"/>
    <cellStyle name="Normal 2 42 5" xfId="5747" xr:uid="{6B979BDE-48CB-443A-BF33-AC9E5D8DB86D}"/>
    <cellStyle name="Normal 2 42 6" xfId="5748" xr:uid="{A2CBCB86-FED6-43B5-BC40-E7B4B8B723E2}"/>
    <cellStyle name="Normal 2 42 7" xfId="5749" xr:uid="{65D0A8B7-95CF-4E92-9EC0-D0CE2A76BD29}"/>
    <cellStyle name="Normal 2 42 8" xfId="5750" xr:uid="{90F4C2EF-B6CD-407B-A9B4-555474695D5F}"/>
    <cellStyle name="Normal 2 42 9" xfId="5751" xr:uid="{036C49CD-FD65-4E41-8D1A-975583076065}"/>
    <cellStyle name="Normal 2 43" xfId="5752" xr:uid="{6BC7B97E-139B-4D2F-90FF-98D0AD487117}"/>
    <cellStyle name="Normal 2 44" xfId="5753" xr:uid="{270E8A79-B4E6-4809-853B-0309F2B8F040}"/>
    <cellStyle name="Normal 2 45" xfId="5754" xr:uid="{9DB4B3CD-B99C-406B-BC61-69262A4373F8}"/>
    <cellStyle name="Normal 2 45 10" xfId="5755" xr:uid="{986C5C1F-33A9-4FBF-8395-6009D3102B40}"/>
    <cellStyle name="Normal 2 45 11" xfId="5756" xr:uid="{9867DCC3-4806-4873-942C-92A9309E455E}"/>
    <cellStyle name="Normal 2 45 12" xfId="5757" xr:uid="{07EDB85C-D5DF-430B-8E1C-A1989833BEEF}"/>
    <cellStyle name="Normal 2 45 13" xfId="5758" xr:uid="{DBF20BB5-E2B7-4852-B314-F6230F61F873}"/>
    <cellStyle name="Normal 2 45 14" xfId="5759" xr:uid="{8E3C47EF-6FF2-4431-978A-063623DB217F}"/>
    <cellStyle name="Normal 2 45 15" xfId="5760" xr:uid="{FCEBDF9E-19C1-440A-ADFA-F11C3C46C4EB}"/>
    <cellStyle name="Normal 2 45 16" xfId="5761" xr:uid="{A0A785D1-EDFB-46F3-9DD6-DAB19DE946B5}"/>
    <cellStyle name="Normal 2 45 17" xfId="5762" xr:uid="{AF4CF54A-75AD-44CB-B098-71E17C7F5C73}"/>
    <cellStyle name="Normal 2 45 18" xfId="5763" xr:uid="{4278DFAB-E4BE-4F7C-A674-9FE1F0886044}"/>
    <cellStyle name="Normal 2 45 19" xfId="5764" xr:uid="{CBF82B80-5633-443A-BE94-A3D57854EADB}"/>
    <cellStyle name="Normal 2 45 2" xfId="5765" xr:uid="{36C8717A-F925-4E7E-AA6C-83463B9754D5}"/>
    <cellStyle name="Normal 2 45 3" xfId="5766" xr:uid="{1D8B5610-1F86-4FFE-B156-37016D6292F2}"/>
    <cellStyle name="Normal 2 45 4" xfId="5767" xr:uid="{FB4BFBCB-F79B-49CC-9172-3CE479E23879}"/>
    <cellStyle name="Normal 2 45 5" xfId="5768" xr:uid="{D455E287-6ACA-4B27-9614-6C8F0E7BF5B0}"/>
    <cellStyle name="Normal 2 45 6" xfId="5769" xr:uid="{950D5FDB-FC7F-409B-9455-1D6AB856A219}"/>
    <cellStyle name="Normal 2 45 7" xfId="5770" xr:uid="{2453D516-F074-488A-AF25-A2F6C537863A}"/>
    <cellStyle name="Normal 2 45 8" xfId="5771" xr:uid="{D7586341-13E0-487C-95FC-DFC97D0200E3}"/>
    <cellStyle name="Normal 2 45 9" xfId="5772" xr:uid="{9D8C3FED-84FB-4D1E-A203-9BF0642F1A38}"/>
    <cellStyle name="Normal 2 46" xfId="5773" xr:uid="{D2F4BF81-14EB-40DA-9731-EC184B963621}"/>
    <cellStyle name="Normal 2 46 10" xfId="5774" xr:uid="{08FEF1E4-8C93-4C1A-9889-6E3278F1F753}"/>
    <cellStyle name="Normal 2 46 11" xfId="5775" xr:uid="{B65F0DEB-B1F0-485C-8151-7B1A3C098E31}"/>
    <cellStyle name="Normal 2 46 12" xfId="5776" xr:uid="{1A310F0E-488F-49D2-901C-55B4F5A674CC}"/>
    <cellStyle name="Normal 2 46 13" xfId="5777" xr:uid="{19D1AE3B-62F2-4F0C-A44E-D796E123D6CC}"/>
    <cellStyle name="Normal 2 46 14" xfId="5778" xr:uid="{5017605B-2EE5-49E3-9A3E-138288E86DE4}"/>
    <cellStyle name="Normal 2 46 15" xfId="5779" xr:uid="{BEE82D9C-08D2-4069-AA03-F898C93FC385}"/>
    <cellStyle name="Normal 2 46 16" xfId="5780" xr:uid="{B41BCAE1-C0B3-4F4D-BA30-4DD429C33097}"/>
    <cellStyle name="Normal 2 46 17" xfId="5781" xr:uid="{EC245C17-F653-4545-8AC8-59ECCA15CC31}"/>
    <cellStyle name="Normal 2 46 18" xfId="5782" xr:uid="{DE8F1DA9-1530-4349-8008-A61D4087D40C}"/>
    <cellStyle name="Normal 2 46 19" xfId="5783" xr:uid="{AEBF490F-9D64-44C4-BC46-C3621794E4F9}"/>
    <cellStyle name="Normal 2 46 2" xfId="5784" xr:uid="{7A7C615E-BCFB-46DA-AF6C-BBC19E9C1CB4}"/>
    <cellStyle name="Normal 2 46 3" xfId="5785" xr:uid="{6728BCF0-7D7E-4D42-828D-925AC8D11899}"/>
    <cellStyle name="Normal 2 46 4" xfId="5786" xr:uid="{587BEC42-4BB2-401D-BBC4-124F6E292CFA}"/>
    <cellStyle name="Normal 2 46 5" xfId="5787" xr:uid="{08CE7087-2680-432D-BACA-1C0051F148E5}"/>
    <cellStyle name="Normal 2 46 6" xfId="5788" xr:uid="{B40A2B56-9768-45C9-BE93-24C2F7609411}"/>
    <cellStyle name="Normal 2 46 7" xfId="5789" xr:uid="{0B920B6B-C1D1-4F04-93BF-292E86C8A61A}"/>
    <cellStyle name="Normal 2 46 8" xfId="5790" xr:uid="{FF5ED9CB-F1C5-435E-AE3A-259DEA8B6429}"/>
    <cellStyle name="Normal 2 46 9" xfId="5791" xr:uid="{F24C9B27-C36E-4224-9D60-2C19FC11CE3A}"/>
    <cellStyle name="Normal 2 47" xfId="5792" xr:uid="{A86C40E7-BC20-4380-9546-4AA32D36415D}"/>
    <cellStyle name="Normal 2 47 10" xfId="5793" xr:uid="{F12E1850-C661-4C0C-A06D-E5F02E134E4F}"/>
    <cellStyle name="Normal 2 47 11" xfId="5794" xr:uid="{7F51B5AB-DFF9-48A6-BEEE-F51E593D7D8D}"/>
    <cellStyle name="Normal 2 47 12" xfId="5795" xr:uid="{436B891B-D5EE-418E-AF6E-4394B6E66858}"/>
    <cellStyle name="Normal 2 47 13" xfId="5796" xr:uid="{88B426F7-BC4B-4D0F-ABE0-1BB1887691EE}"/>
    <cellStyle name="Normal 2 47 14" xfId="5797" xr:uid="{8E74361F-7472-4D80-91B0-0CE5F65CEBDF}"/>
    <cellStyle name="Normal 2 47 15" xfId="5798" xr:uid="{B8B25EFE-8284-4FB0-9E04-CC1F013259EF}"/>
    <cellStyle name="Normal 2 47 16" xfId="5799" xr:uid="{37F173EA-5F7D-476E-A10B-B6C87651AEA0}"/>
    <cellStyle name="Normal 2 47 17" xfId="5800" xr:uid="{FBEEAA89-9BF2-46AE-A960-1783A2A3E0B3}"/>
    <cellStyle name="Normal 2 47 18" xfId="5801" xr:uid="{2D829E23-1E7B-46B7-83E4-EABFCE07CDFE}"/>
    <cellStyle name="Normal 2 47 19" xfId="5802" xr:uid="{B0E8B974-6EE0-4E48-9DD1-DE5837E67C5B}"/>
    <cellStyle name="Normal 2 47 2" xfId="5803" xr:uid="{16ECF804-C0F6-4A2D-8385-FC79A914210E}"/>
    <cellStyle name="Normal 2 47 3" xfId="5804" xr:uid="{8437183B-C42B-43EE-B025-37811C98A5CE}"/>
    <cellStyle name="Normal 2 47 4" xfId="5805" xr:uid="{EEB11E21-3587-42D6-9514-5C99F0FAE004}"/>
    <cellStyle name="Normal 2 47 5" xfId="5806" xr:uid="{3F73D055-2979-4B92-A73F-DF82728AD0A7}"/>
    <cellStyle name="Normal 2 47 6" xfId="5807" xr:uid="{5DA16B67-D895-4B30-AF69-F34E24D036D5}"/>
    <cellStyle name="Normal 2 47 7" xfId="5808" xr:uid="{D1C430EF-4BC2-4161-9ABA-A77F793F9B87}"/>
    <cellStyle name="Normal 2 47 8" xfId="5809" xr:uid="{818EC1BF-733E-41EF-ADA9-204339B0B241}"/>
    <cellStyle name="Normal 2 47 9" xfId="5810" xr:uid="{96C5BBF4-F177-4C77-AAE7-61C67AF26470}"/>
    <cellStyle name="Normal 2 48" xfId="5811" xr:uid="{46308954-A421-449F-9180-B977533949E4}"/>
    <cellStyle name="Normal 2 48 10" xfId="5812" xr:uid="{D57760FE-4140-4204-A259-91A02885FD54}"/>
    <cellStyle name="Normal 2 48 11" xfId="5813" xr:uid="{61F44DEF-AFDB-445C-8801-D8CA84020B9E}"/>
    <cellStyle name="Normal 2 48 12" xfId="5814" xr:uid="{708601B5-E5C3-4691-92FF-3806EA631E2A}"/>
    <cellStyle name="Normal 2 48 13" xfId="5815" xr:uid="{9B09D08E-ABFF-4AA4-B766-59D9DF46BEFB}"/>
    <cellStyle name="Normal 2 48 14" xfId="5816" xr:uid="{CD712039-37C3-4F5F-8C5B-24462F250913}"/>
    <cellStyle name="Normal 2 48 15" xfId="5817" xr:uid="{579039B3-AA36-4CA5-A0A7-F4ABE9460E8C}"/>
    <cellStyle name="Normal 2 48 16" xfId="5818" xr:uid="{2141F119-0D56-4E58-88E3-D2C55F042140}"/>
    <cellStyle name="Normal 2 48 17" xfId="5819" xr:uid="{EBB2623C-A736-4993-AB5C-BF5EF2973D10}"/>
    <cellStyle name="Normal 2 48 18" xfId="5820" xr:uid="{B9005DD3-B13B-45B5-AC1B-BE3F3B4C67E5}"/>
    <cellStyle name="Normal 2 48 19" xfId="5821" xr:uid="{261927A3-8C2D-4486-BCF8-BC75C0A921AC}"/>
    <cellStyle name="Normal 2 48 2" xfId="5822" xr:uid="{F8B85BF2-BA43-49CD-B6FD-00BBD8013866}"/>
    <cellStyle name="Normal 2 48 2 2" xfId="5823" xr:uid="{8EED4677-5F63-482E-9EE5-7DD3A4828681}"/>
    <cellStyle name="Normal 2 48 2 3" xfId="5824" xr:uid="{B53DBD0E-2B0B-41C4-BDA6-D9E7B3BE52D6}"/>
    <cellStyle name="Normal 2 48 2 4" xfId="5825" xr:uid="{6023D2EA-0E7A-4C09-A219-B065BFB94663}"/>
    <cellStyle name="Normal 2 48 3" xfId="5826" xr:uid="{BECBA593-9B47-441D-9E46-17133403EDAB}"/>
    <cellStyle name="Normal 2 48 4" xfId="5827" xr:uid="{A00D0EF0-F51A-4089-8F50-D93B8C4F3E95}"/>
    <cellStyle name="Normal 2 48 5" xfId="5828" xr:uid="{AE4C8FB7-953B-4757-B145-C38B5654A683}"/>
    <cellStyle name="Normal 2 48 6" xfId="5829" xr:uid="{F0CC1A07-9FC0-45D7-891D-0D8E61520790}"/>
    <cellStyle name="Normal 2 48 7" xfId="5830" xr:uid="{E34D0696-1766-41BE-850E-E1A8843FBD41}"/>
    <cellStyle name="Normal 2 48 8" xfId="5831" xr:uid="{CE7BD091-4C68-476C-9E87-4A73A8CA98CC}"/>
    <cellStyle name="Normal 2 48 9" xfId="5832" xr:uid="{41B74A59-CEC2-4C55-ADDB-811ACE44D918}"/>
    <cellStyle name="Normal 2 49" xfId="5833" xr:uid="{FF92DCB7-5004-4E6A-AFF4-B7790218D014}"/>
    <cellStyle name="Normal 2 5" xfId="5834" xr:uid="{94539E7A-CCD1-4E6D-B161-1589476FE5AF}"/>
    <cellStyle name="Normal 2 50" xfId="5835" xr:uid="{AD68DF85-18AF-433A-A365-F64775276481}"/>
    <cellStyle name="Normal 2 51" xfId="5836" xr:uid="{F74736D9-5778-48F0-B957-F72B489B444B}"/>
    <cellStyle name="Normal 2 52" xfId="5837" xr:uid="{8D05579C-8945-4C73-8624-FDB3465E685E}"/>
    <cellStyle name="Normal 2 52 10" xfId="5838" xr:uid="{EA4CEF27-C6EF-4159-B83A-FEB440C5AB43}"/>
    <cellStyle name="Normal 2 52 11" xfId="5839" xr:uid="{43966FB7-761E-44A0-9B7F-BACE150FD881}"/>
    <cellStyle name="Normal 2 52 12" xfId="5840" xr:uid="{D663FDF4-DE41-48FE-9221-F99637002921}"/>
    <cellStyle name="Normal 2 52 13" xfId="5841" xr:uid="{672D6BB7-E76B-4FAD-913C-F3D0FF5B9EE5}"/>
    <cellStyle name="Normal 2 52 14" xfId="5842" xr:uid="{A70293AA-E61F-4F17-B57A-FCAB3F5893F9}"/>
    <cellStyle name="Normal 2 52 15" xfId="5843" xr:uid="{075EAC80-FF75-4C9D-AF49-573720CF3F13}"/>
    <cellStyle name="Normal 2 52 16" xfId="5844" xr:uid="{A5439960-49EF-4A1D-B0AE-62045DBC551D}"/>
    <cellStyle name="Normal 2 52 2" xfId="5845" xr:uid="{C35D3529-6E7D-457D-A3E3-3703E5A36103}"/>
    <cellStyle name="Normal 2 52 3" xfId="5846" xr:uid="{0AF39EE2-E301-4C2F-A739-AD3BC1AE10A0}"/>
    <cellStyle name="Normal 2 52 4" xfId="5847" xr:uid="{10584B28-8B4D-4F26-A0D2-C6376D30A8A6}"/>
    <cellStyle name="Normal 2 52 5" xfId="5848" xr:uid="{895ABCB4-D648-4419-9250-2274C67CB526}"/>
    <cellStyle name="Normal 2 52 6" xfId="5849" xr:uid="{5B6A7A61-D237-462D-8490-DF9F5846C697}"/>
    <cellStyle name="Normal 2 52 7" xfId="5850" xr:uid="{0A8CB069-A82E-4DF0-BE3F-7197A04C96F0}"/>
    <cellStyle name="Normal 2 52 8" xfId="5851" xr:uid="{D18C6512-B9F2-4F10-831E-527BB1F5A0A6}"/>
    <cellStyle name="Normal 2 52 9" xfId="5852" xr:uid="{383AB63B-DAD8-4033-865C-8B11BC182D94}"/>
    <cellStyle name="Normal 2 53" xfId="5853" xr:uid="{7C38B2FA-F5F6-4060-8578-C8892C4075BC}"/>
    <cellStyle name="Normal 2 53 10" xfId="5854" xr:uid="{310DEC95-D8AE-4CAE-A386-498C9759A7B5}"/>
    <cellStyle name="Normal 2 53 11" xfId="5855" xr:uid="{606229E5-42B4-4407-9AC1-4D6698E0459A}"/>
    <cellStyle name="Normal 2 53 12" xfId="5856" xr:uid="{1EB0F2C8-445F-4F15-997E-E5D4D7C1203B}"/>
    <cellStyle name="Normal 2 53 13" xfId="5857" xr:uid="{9BB85544-F262-4B59-9756-9962909C1095}"/>
    <cellStyle name="Normal 2 53 14" xfId="5858" xr:uid="{D97C3B70-457B-405C-83BD-BC602844B57E}"/>
    <cellStyle name="Normal 2 53 15" xfId="5859" xr:uid="{57ABF09C-BA8E-4F73-8E85-478ADF0D463C}"/>
    <cellStyle name="Normal 2 53 16" xfId="5860" xr:uid="{E46C8359-7FAA-4601-AF39-7A6B72C345EC}"/>
    <cellStyle name="Normal 2 53 2" xfId="5861" xr:uid="{F5A9B8B6-58C2-4F2F-8FD4-45C92DB1E2AD}"/>
    <cellStyle name="Normal 2 53 3" xfId="5862" xr:uid="{EF576547-A54D-48F8-A96D-DA46B98C3743}"/>
    <cellStyle name="Normal 2 53 4" xfId="5863" xr:uid="{1831C11B-E341-499E-B458-B71BE13E58ED}"/>
    <cellStyle name="Normal 2 53 5" xfId="5864" xr:uid="{C8CD2D97-ACB9-4A27-8580-8542715C8B71}"/>
    <cellStyle name="Normal 2 53 6" xfId="5865" xr:uid="{511D5AE3-AF81-4261-B86A-B6BE961AB9D5}"/>
    <cellStyle name="Normal 2 53 7" xfId="5866" xr:uid="{7329B193-E3F6-464F-AAF4-0C9391C4283D}"/>
    <cellStyle name="Normal 2 53 8" xfId="5867" xr:uid="{24DA9D67-370E-4B66-9401-54ED56B527CB}"/>
    <cellStyle name="Normal 2 53 9" xfId="5868" xr:uid="{82714243-3B24-4E43-A670-D9113E341CC1}"/>
    <cellStyle name="Normal 2 54" xfId="5869" xr:uid="{A4B02C11-6C96-4A69-8546-0D8E6A7EA8DC}"/>
    <cellStyle name="Normal 2 55" xfId="5870" xr:uid="{CFF38963-B092-4C4E-837F-883585E19A68}"/>
    <cellStyle name="Normal 2 56" xfId="5871" xr:uid="{8A6AA85F-8234-43D2-9B96-19C7254497C3}"/>
    <cellStyle name="Normal 2 57" xfId="5872" xr:uid="{9A6F3B57-3452-44B5-959A-75261B126D95}"/>
    <cellStyle name="Normal 2 58" xfId="5873" xr:uid="{BDA47C34-180D-41D0-884D-424B14A5B867}"/>
    <cellStyle name="Normal 2 59" xfId="5874" xr:uid="{3F5B1392-25FA-402B-A37B-6F258B341B2D}"/>
    <cellStyle name="Normal 2 6" xfId="5875" xr:uid="{9C4F66A6-0FC1-4649-8AE5-A393AE874AAC}"/>
    <cellStyle name="Normal 2 60" xfId="5876" xr:uid="{CD1ED8AE-8DC4-4FD8-902F-0B1864375A7A}"/>
    <cellStyle name="Normal 2 61" xfId="5877" xr:uid="{A217A181-DD10-43A3-9FF7-4982BFF82BE1}"/>
    <cellStyle name="Normal 2 62" xfId="5878" xr:uid="{BA5E66B4-F9AB-4BF6-B0A0-77E0EBC89913}"/>
    <cellStyle name="Normal 2 63" xfId="5879" xr:uid="{64E38203-2EA9-412D-A7C9-923B75A8150E}"/>
    <cellStyle name="Normal 2 64" xfId="5880" xr:uid="{DB84CF9A-7F2D-4EF3-81F1-ABDE3A19856C}"/>
    <cellStyle name="Normal 2 65" xfId="5881" xr:uid="{B9565EA9-642B-48D9-867D-8E393091FCCF}"/>
    <cellStyle name="Normal 2 66" xfId="5882" xr:uid="{4D674D1A-852E-413F-9F8B-E91346EAA308}"/>
    <cellStyle name="Normal 2 67" xfId="5883" xr:uid="{A0BFD415-89D2-4CB7-A02E-F933F69757C4}"/>
    <cellStyle name="Normal 2 67 2" xfId="6626" xr:uid="{70B2A3DC-F303-4075-B8F9-38257BC8CC74}"/>
    <cellStyle name="Normal 2 68" xfId="101" xr:uid="{7EDE4746-B6B9-469C-BD96-3FBCD6D5B313}"/>
    <cellStyle name="Normal 2 7" xfId="5884" xr:uid="{AFAD2CA1-F890-4EBF-9A9B-AEB80C7CE575}"/>
    <cellStyle name="Normal 2 7 2" xfId="6627" xr:uid="{F8D0CB21-BBCE-4E1A-890E-90170A06E89A}"/>
    <cellStyle name="Normal 2 7 2 2" xfId="7410" xr:uid="{E739CAD5-D6E0-402C-BE76-956D82E53E11}"/>
    <cellStyle name="Normal 2 7 2 2 2" xfId="9050" xr:uid="{E7708294-930A-4DBB-8E6F-A5838DBACDB2}"/>
    <cellStyle name="Normal 2 7 2 3" xfId="8276" xr:uid="{FD0ECAB2-6A1C-4764-AE8E-42EAE3D2C724}"/>
    <cellStyle name="Normal 2 7 3" xfId="6628" xr:uid="{F32815AF-8420-41A4-B812-01C0FBB5EAFA}"/>
    <cellStyle name="Normal 2 7 3 2" xfId="7411" xr:uid="{1CCC9DB9-DF36-49DD-9ED2-A0B282BE6914}"/>
    <cellStyle name="Normal 2 7 3 2 2" xfId="9051" xr:uid="{CD5ACB93-A2E9-4D5B-AFEC-C438989DD3FF}"/>
    <cellStyle name="Normal 2 7 3 3" xfId="8277" xr:uid="{CE3698C6-CB6F-4205-9EB6-F508DF3C23E6}"/>
    <cellStyle name="Normal 2 7 4" xfId="6396" xr:uid="{DD3BBEDA-EACA-4737-A362-209C92742DE1}"/>
    <cellStyle name="Normal 2 7 4 2" xfId="7412" xr:uid="{BDA72FDF-8C87-4C59-9009-FFA75A908648}"/>
    <cellStyle name="Normal 2 7 4 2 2" xfId="9052" xr:uid="{118DCCB5-6A78-4A28-8167-4C873446C7ED}"/>
    <cellStyle name="Normal 2 7 4 3" xfId="8103" xr:uid="{3AD931D2-D393-4D55-A817-2670B787F5D7}"/>
    <cellStyle name="Normal 2 7 5" xfId="7068" xr:uid="{DBFD207F-B926-4F56-BBB6-7A86E0F031D8}"/>
    <cellStyle name="Normal 2 7 5 2" xfId="8708" xr:uid="{AAF22BAE-1EB9-48F6-B4EC-FBC96924DFD6}"/>
    <cellStyle name="Normal 2 7 6" xfId="7912" xr:uid="{0F307B2E-4744-47E5-9FE2-BB139ADFE33C}"/>
    <cellStyle name="Normal 2 8" xfId="5885" xr:uid="{2D485246-2B02-43F4-83D0-8DB411800FAC}"/>
    <cellStyle name="Normal 2 8 2" xfId="6629" xr:uid="{EE4B299E-CCB9-4AEE-B581-3783513FAA6B}"/>
    <cellStyle name="Normal 2 8 2 2" xfId="7413" xr:uid="{8402D68F-2563-4926-96AA-64FB372588B6}"/>
    <cellStyle name="Normal 2 8 2 2 2" xfId="9053" xr:uid="{FE8F6805-0E37-40D4-8878-623522CD24CC}"/>
    <cellStyle name="Normal 2 8 2 3" xfId="8278" xr:uid="{DD2077AF-D989-4747-8DEC-AAD18C2A5A4F}"/>
    <cellStyle name="Normal 2 8 3" xfId="6630" xr:uid="{53D9709B-4BF4-4237-8655-1691ED681961}"/>
    <cellStyle name="Normal 2 8 3 2" xfId="7414" xr:uid="{0B77D36D-1915-46C0-BB70-AE748D19AC67}"/>
    <cellStyle name="Normal 2 8 3 2 2" xfId="9054" xr:uid="{79019E4C-101E-494C-A68B-E07E0BFC6AFB}"/>
    <cellStyle name="Normal 2 8 3 3" xfId="8279" xr:uid="{34FBC7A3-75AA-46AC-9C05-706928799B80}"/>
    <cellStyle name="Normal 2 8 4" xfId="6397" xr:uid="{15D1B4F8-24B6-40C4-8295-A52C5A8EBBD2}"/>
    <cellStyle name="Normal 2 8 4 2" xfId="7415" xr:uid="{376CB591-856C-4147-8CEA-82155F25B000}"/>
    <cellStyle name="Normal 2 8 4 2 2" xfId="9055" xr:uid="{C7B0113B-0B2D-4A28-B299-DF40E0488A71}"/>
    <cellStyle name="Normal 2 8 4 3" xfId="8104" xr:uid="{84FCEBA9-5635-4EC5-83E3-B47049D642AF}"/>
    <cellStyle name="Normal 2 8 5" xfId="7069" xr:uid="{875BC15B-9DE2-4109-B638-272A35623852}"/>
    <cellStyle name="Normal 2 8 5 2" xfId="8709" xr:uid="{89DD029B-54D1-4689-BEBE-0E87156F2B4B}"/>
    <cellStyle name="Normal 2 8 6" xfId="7913" xr:uid="{9BE8A205-1A25-41B6-8990-B61CE8A4D222}"/>
    <cellStyle name="Normal 2 9" xfId="5886" xr:uid="{6FDD3D33-06FD-4B7E-BB76-AD43219DDE9B}"/>
    <cellStyle name="Normal 2 9 2" xfId="6631" xr:uid="{A70D153C-5F0A-4CCA-B3A5-138C6B91DD54}"/>
    <cellStyle name="Normal 2 9 2 2" xfId="7416" xr:uid="{9C724A71-FB1D-47D8-B3E2-15A270993100}"/>
    <cellStyle name="Normal 2 9 2 2 2" xfId="9056" xr:uid="{14BCA908-A7D4-40F4-971D-798CF38BB30E}"/>
    <cellStyle name="Normal 2 9 2 3" xfId="8280" xr:uid="{AF748680-FCF7-4EB7-8155-B68766DB4393}"/>
    <cellStyle name="Normal 2 9 3" xfId="6632" xr:uid="{8404CE0A-8FB8-42E0-B5B7-0FE5CF40CDA2}"/>
    <cellStyle name="Normal 2 9 3 2" xfId="7417" xr:uid="{FDEFC2BB-97B7-482B-B00A-259F454B39A0}"/>
    <cellStyle name="Normal 2 9 3 2 2" xfId="9057" xr:uid="{1747A362-8E53-44F5-AA28-C691FF7CFCE8}"/>
    <cellStyle name="Normal 2 9 3 3" xfId="8281" xr:uid="{5E13B932-9F55-48F8-A6D1-2CB9F0F32EAA}"/>
    <cellStyle name="Normal 2 9 4" xfId="6398" xr:uid="{A206F040-F50D-4ECE-8801-BF7E4CD40F14}"/>
    <cellStyle name="Normal 2 9 4 2" xfId="7418" xr:uid="{7191823B-A13B-4868-A7F4-A83697B93DA6}"/>
    <cellStyle name="Normal 2 9 4 2 2" xfId="9058" xr:uid="{DD72351D-534B-48B9-80F9-C4CB20540C61}"/>
    <cellStyle name="Normal 2 9 4 3" xfId="8105" xr:uid="{024910ED-F69D-4482-B615-B4FCBACC7223}"/>
    <cellStyle name="Normal 2 9 5" xfId="7070" xr:uid="{A8D9FC25-7D78-4F13-8392-8594EAE5AAF8}"/>
    <cellStyle name="Normal 2 9 5 2" xfId="8710" xr:uid="{66760760-C463-4CC1-812A-DB852A52346C}"/>
    <cellStyle name="Normal 2 9 6" xfId="7914" xr:uid="{9B001E3B-C0AE-4621-984E-0F8084070E32}"/>
    <cellStyle name="Normal 20" xfId="5887" xr:uid="{BB688858-8DDC-443E-BC2F-6B529B3E7681}"/>
    <cellStyle name="Normal 20 2" xfId="5888" xr:uid="{6DB01A43-B7AE-4958-AEA1-B3FE0A50E4DA}"/>
    <cellStyle name="Normal 20 2 2" xfId="6512" xr:uid="{1DA72E98-0AD1-412D-963E-4D50C49F99F9}"/>
    <cellStyle name="Normal 20 2 3" xfId="6400" xr:uid="{ECBFBCE9-E7A0-4991-89AA-C9B57BAC67D1}"/>
    <cellStyle name="Normal 20 2 3 2" xfId="7419" xr:uid="{9091785A-441E-4D8E-9FD4-F6063A66EBF7}"/>
    <cellStyle name="Normal 20 2 3 2 2" xfId="9059" xr:uid="{BAED185B-D1C7-4AF8-B286-65049533BBEE}"/>
    <cellStyle name="Normal 20 2 3 3" xfId="8107" xr:uid="{D7D8312B-9D50-4252-9687-00D8256C519E}"/>
    <cellStyle name="Normal 20 2 4" xfId="7072" xr:uid="{AC4CFE64-13C1-44C3-959E-5BA2F0F87CB7}"/>
    <cellStyle name="Normal 20 2 4 2" xfId="8712" xr:uid="{268AF039-B58E-4A5F-A0C3-EDD9213ECF16}"/>
    <cellStyle name="Normal 20 2 5" xfId="7916" xr:uid="{2AC45685-8199-4578-A859-FDE6AFFC8EFA}"/>
    <cellStyle name="Normal 20 3" xfId="6633" xr:uid="{A2936623-1324-4EF2-BFA5-27BCF53403F4}"/>
    <cellStyle name="Normal 20 3 2" xfId="7420" xr:uid="{7AAC78EE-F2F0-4B0F-B412-07A408D720E1}"/>
    <cellStyle name="Normal 20 3 2 2" xfId="9060" xr:uid="{E0D42C22-D727-4218-92E0-86E80F78F787}"/>
    <cellStyle name="Normal 20 3 3" xfId="8282" xr:uid="{37B6D7B2-3A33-45C6-B825-2001ECE7F1A8}"/>
    <cellStyle name="Normal 20 4" xfId="6634" xr:uid="{31F6A793-C13F-4C3D-8924-A51101F075AB}"/>
    <cellStyle name="Normal 20 4 2" xfId="7421" xr:uid="{BF6A1425-5D02-4E5C-9FDC-B34325FF7FFB}"/>
    <cellStyle name="Normal 20 4 2 2" xfId="9061" xr:uid="{8771FEC4-910F-43B9-9E46-854B5C0A1CBB}"/>
    <cellStyle name="Normal 20 4 3" xfId="8283" xr:uid="{92F7AE2B-E175-4E1D-84A7-361981FD5903}"/>
    <cellStyle name="Normal 20 5" xfId="6399" xr:uid="{5E61C87B-DBD7-4C45-A7EE-0BAF8869F06E}"/>
    <cellStyle name="Normal 20 5 2" xfId="7422" xr:uid="{BA3DD500-623E-484C-96DB-22769265B927}"/>
    <cellStyle name="Normal 20 5 2 2" xfId="9062" xr:uid="{7C68FCF4-0915-4C58-A142-9A3630BD9BCE}"/>
    <cellStyle name="Normal 20 5 3" xfId="8106" xr:uid="{8095DB81-A98C-4295-9A51-8C21E6F4240A}"/>
    <cellStyle name="Normal 20 6" xfId="7071" xr:uid="{CB1001E3-E162-4D23-B3E3-A4579661277C}"/>
    <cellStyle name="Normal 20 6 2" xfId="8711" xr:uid="{01F0142C-E48F-45D0-BCB9-F3D0FD8711FD}"/>
    <cellStyle name="Normal 20 7" xfId="7915" xr:uid="{07F3ADBC-40E5-409A-9FD2-4362BEB0B6D9}"/>
    <cellStyle name="Normal 20_1_solis_MK Nr 595 " xfId="5889" xr:uid="{4B022EFF-D0E6-4912-A5DF-70D312FFE559}"/>
    <cellStyle name="Normal 21" xfId="5890" xr:uid="{16A70213-FBAB-485F-8B66-69D3432D5B9D}"/>
    <cellStyle name="Normal 21 2" xfId="5891" xr:uid="{A343426E-AFFB-4781-8001-5D0F334B465E}"/>
    <cellStyle name="Normal 21 3" xfId="6635" xr:uid="{4449B70A-3476-44A6-AF73-A8AEB6C6FAB6}"/>
    <cellStyle name="Normal 21 3 2" xfId="7423" xr:uid="{82ADE9A0-D65B-4E02-BBFB-79475BBA8C23}"/>
    <cellStyle name="Normal 21 3 2 2" xfId="9063" xr:uid="{3CC3A026-2427-4382-8FFF-1D7203289E46}"/>
    <cellStyle name="Normal 21 3 3" xfId="8284" xr:uid="{7384CAC4-F650-48F9-AF78-325016701BA1}"/>
    <cellStyle name="Normal 21 4" xfId="6636" xr:uid="{A5CB1721-8DB9-4F6E-A392-8E0E0378D1C1}"/>
    <cellStyle name="Normal 21 4 2" xfId="7424" xr:uid="{CA45E159-F86C-421D-B9F7-92D54A0D809D}"/>
    <cellStyle name="Normal 21 4 2 2" xfId="9064" xr:uid="{50E9055B-95F9-4BBF-935C-630A66E37C7B}"/>
    <cellStyle name="Normal 21 4 3" xfId="8285" xr:uid="{24525DD6-DECF-4B15-8871-2516531CED15}"/>
    <cellStyle name="Normal 21 5" xfId="6401" xr:uid="{7601C9E4-DED4-4FEE-83DF-95D1BD213B8F}"/>
    <cellStyle name="Normal 21 5 2" xfId="7425" xr:uid="{A1B925F7-F8FA-4B3A-9F44-75B2D2DC66BE}"/>
    <cellStyle name="Normal 21 5 2 2" xfId="9065" xr:uid="{509C59EF-4CCB-492F-806A-03D9989160CA}"/>
    <cellStyle name="Normal 21 5 3" xfId="8108" xr:uid="{047D552D-3F3D-4E8C-AA15-D3B1BBCA59BF}"/>
    <cellStyle name="Normal 21 6" xfId="7073" xr:uid="{CEDBF07D-42DF-430C-89A5-B4B77B115088}"/>
    <cellStyle name="Normal 21 6 2" xfId="8713" xr:uid="{02D813D1-9BC5-4AEA-BD0B-E1788EBFBE20}"/>
    <cellStyle name="Normal 21 7" xfId="7917" xr:uid="{3C3E0455-08D8-4EDB-B3F3-F63FC700BABB}"/>
    <cellStyle name="Normal 21_1_solis_MK Nr 595 " xfId="5892" xr:uid="{66DA2D62-126E-434F-81B3-9660D13308FB}"/>
    <cellStyle name="Normal 22" xfId="5893" xr:uid="{F4EA365A-CE59-47E5-A57A-3DD9B0507B31}"/>
    <cellStyle name="Normal 22 2" xfId="5894" xr:uid="{7B140178-D4A9-4DEB-ABFD-0F2CB4CDF7C3}"/>
    <cellStyle name="Normal 22 3" xfId="6637" xr:uid="{5586732E-5066-4685-9AC8-B7B8D355D0A3}"/>
    <cellStyle name="Normal 22 3 2" xfId="7426" xr:uid="{C9476375-A838-4883-998C-883B2F0EFB43}"/>
    <cellStyle name="Normal 22 3 2 2" xfId="9066" xr:uid="{54CE19D1-BD9E-4F55-B99B-FD6994364619}"/>
    <cellStyle name="Normal 22 3 3" xfId="8286" xr:uid="{52C8AC13-55E5-4ABA-AFF6-7424A25757A3}"/>
    <cellStyle name="Normal 22 4" xfId="6638" xr:uid="{D65FEE38-B23A-48DD-906D-EDDEEDE228BD}"/>
    <cellStyle name="Normal 22 4 2" xfId="7427" xr:uid="{D489E42E-BAA2-4594-AC42-5694C9BF2BBE}"/>
    <cellStyle name="Normal 22 4 2 2" xfId="9067" xr:uid="{5F858ABF-1607-40C5-A962-4D34E8513512}"/>
    <cellStyle name="Normal 22 4 3" xfId="8287" xr:uid="{174A0202-C5CD-4506-B673-E1B9DCCF5330}"/>
    <cellStyle name="Normal 22 5" xfId="6402" xr:uid="{D905247E-020C-489B-AD9A-29FED7F0A363}"/>
    <cellStyle name="Normal 22 5 2" xfId="7428" xr:uid="{7EBD28DF-6BFC-4003-B2E4-87D262A235F7}"/>
    <cellStyle name="Normal 22 5 2 2" xfId="9068" xr:uid="{E8C29A53-D764-4363-9C6B-3E1948A7A918}"/>
    <cellStyle name="Normal 22 5 3" xfId="8109" xr:uid="{DEB923D2-8410-409C-9D9B-5E5D0A2588EC}"/>
    <cellStyle name="Normal 22 6" xfId="7074" xr:uid="{0E3F28E3-9C68-402E-86B4-EF4FB1F459A4}"/>
    <cellStyle name="Normal 22 6 2" xfId="8714" xr:uid="{8697D5C3-B40D-4E5D-86CA-CBC568D7D5F0}"/>
    <cellStyle name="Normal 22 7" xfId="7918" xr:uid="{865B3B13-36FB-42EA-80B3-1D83388E45E4}"/>
    <cellStyle name="Normal 22_1_solis_MK Nr 595 " xfId="5895" xr:uid="{1F483440-7C45-436B-BA99-021D283F2B99}"/>
    <cellStyle name="Normal 23" xfId="5896" xr:uid="{2FAF011E-BA81-4B5B-A348-7B22D8E761E4}"/>
    <cellStyle name="Normal 23 10" xfId="7919" xr:uid="{8F402736-FAF4-48CE-BF3E-6A0821AD39B4}"/>
    <cellStyle name="Normal 23 2" xfId="5897" xr:uid="{EECACB30-90E1-416B-A82B-F90AD73A33A7}"/>
    <cellStyle name="Normal 23 2 2" xfId="5898" xr:uid="{E6C4928C-E36F-461E-B8C6-EAA501D87C2A}"/>
    <cellStyle name="Normal 23 2 3" xfId="6639" xr:uid="{894BBF97-B0F4-4758-B13E-3D613F102DC3}"/>
    <cellStyle name="Normal 23 2 3 2" xfId="7429" xr:uid="{5EFC55BB-0739-42AF-9C7D-47C5694ED3DD}"/>
    <cellStyle name="Normal 23 2 3 2 2" xfId="9069" xr:uid="{250C011D-1841-4BF1-9AF4-B32642008FC0}"/>
    <cellStyle name="Normal 23 2 3 3" xfId="8288" xr:uid="{4B989440-16C5-47FE-B63B-D7E550F288CB}"/>
    <cellStyle name="Normal 23 2 4" xfId="6640" xr:uid="{B19356CE-B96D-431C-9D94-845226E2F171}"/>
    <cellStyle name="Normal 23 2 4 2" xfId="7430" xr:uid="{5AE8707C-AC6C-4AA0-9E81-2942E41CD207}"/>
    <cellStyle name="Normal 23 2 4 2 2" xfId="9070" xr:uid="{C3CD4AF2-6B4E-43EB-BDF1-D63941A8D4D6}"/>
    <cellStyle name="Normal 23 2 4 3" xfId="8289" xr:uid="{96595F8E-E412-40B2-89C3-808A82F2700D}"/>
    <cellStyle name="Normal 23 2 5" xfId="6404" xr:uid="{EC48B146-61F8-465E-AC3A-DA270F8DB507}"/>
    <cellStyle name="Normal 23 2 5 2" xfId="7431" xr:uid="{86CFC339-AC7D-42FC-9DA5-FBCFF0C686F0}"/>
    <cellStyle name="Normal 23 2 5 2 2" xfId="9071" xr:uid="{0CFD731C-72F7-4CD6-A01D-51F7CB8A05E8}"/>
    <cellStyle name="Normal 23 2 5 3" xfId="8111" xr:uid="{AF8114CB-A272-47AC-946D-910576925D6B}"/>
    <cellStyle name="Normal 23 2 6" xfId="7076" xr:uid="{83FF8D18-21D9-49B2-A959-EFA2D3D31E89}"/>
    <cellStyle name="Normal 23 2 6 2" xfId="8716" xr:uid="{6119E576-9A11-4CB3-B9A1-D43EE08F33D2}"/>
    <cellStyle name="Normal 23 2 7" xfId="7920" xr:uid="{4855C088-D112-4213-B1DF-9389B24ABE4C}"/>
    <cellStyle name="Normal 23 2_1_solis_MK Nr 595 " xfId="5899" xr:uid="{A9774F28-69D6-4BB7-A71B-04939EDB8688}"/>
    <cellStyle name="Normal 23 3" xfId="5900" xr:uid="{3AAC0C04-C6AD-4744-9635-ACA12DC55F1B}"/>
    <cellStyle name="Normal 23 3 2" xfId="5901" xr:uid="{746BAC84-4BBC-4F29-A59F-66A0EC2B3E1D}"/>
    <cellStyle name="Normal 23 3 2 2" xfId="6641" xr:uid="{D06A8CE5-BBE1-41A4-A033-FFDAD3F02114}"/>
    <cellStyle name="Normal 23 3 2 2 2" xfId="7432" xr:uid="{F3BB6BB4-F88A-43FE-B23E-086FE191D3BD}"/>
    <cellStyle name="Normal 23 3 2 2 2 2" xfId="9072" xr:uid="{5C29E8E5-4A56-4D3B-AB4D-DFB1671A9B12}"/>
    <cellStyle name="Normal 23 3 2 2 3" xfId="8290" xr:uid="{65F38B22-AB34-49B1-91F0-354E199AC1F5}"/>
    <cellStyle name="Normal 23 3 2 3" xfId="6642" xr:uid="{258AB79E-0897-4D14-A037-C47772E6A412}"/>
    <cellStyle name="Normal 23 3 2 3 2" xfId="7433" xr:uid="{76005167-D1FB-46CA-85B9-65270C44E429}"/>
    <cellStyle name="Normal 23 3 2 3 2 2" xfId="9073" xr:uid="{389F6E67-6766-42F7-8FAE-862BE87C2454}"/>
    <cellStyle name="Normal 23 3 2 3 3" xfId="8291" xr:uid="{E23576A9-F90B-4B7F-A1CE-1FBEF12CC126}"/>
    <cellStyle name="Normal 23 3 2 4" xfId="6406" xr:uid="{35857F31-0462-45BB-8F46-FA63C5B3DA8F}"/>
    <cellStyle name="Normal 23 3 2 4 2" xfId="7434" xr:uid="{2A63FD9B-1DBF-4BB9-AF94-8DE07B27A9FB}"/>
    <cellStyle name="Normal 23 3 2 4 2 2" xfId="9074" xr:uid="{5006F6D4-BE9F-4C95-9754-3B7B483986D4}"/>
    <cellStyle name="Normal 23 3 2 4 3" xfId="8113" xr:uid="{0D3C248D-E5FD-47CD-AD72-3E2749BF4000}"/>
    <cellStyle name="Normal 23 3 2 5" xfId="7078" xr:uid="{6D86D275-0ABB-469F-9A9C-E55FFB880790}"/>
    <cellStyle name="Normal 23 3 2 5 2" xfId="8718" xr:uid="{5B3CCF6F-FB19-4CA6-988F-149847C4953D}"/>
    <cellStyle name="Normal 23 3 2 6" xfId="7922" xr:uid="{E517B0A7-34E4-49BF-9ADF-8AA8A7F9EA72}"/>
    <cellStyle name="Normal 23 3 3" xfId="5902" xr:uid="{D8136432-D978-4E0A-8A47-82B57A7DD920}"/>
    <cellStyle name="Normal 23 3 4" xfId="6643" xr:uid="{E86AA7BE-2A31-40CF-94A6-8CB6DC5807DA}"/>
    <cellStyle name="Normal 23 3 4 2" xfId="7435" xr:uid="{99899D95-758A-44F8-821E-1ED147BB50C2}"/>
    <cellStyle name="Normal 23 3 4 2 2" xfId="9075" xr:uid="{03C98856-6857-4AFB-B659-BA1D70AB104B}"/>
    <cellStyle name="Normal 23 3 4 3" xfId="8292" xr:uid="{BB7B220E-375F-47D1-B51C-A08FE332D367}"/>
    <cellStyle name="Normal 23 3 5" xfId="6644" xr:uid="{7F90CAED-1E93-475D-9547-835BE523DD63}"/>
    <cellStyle name="Normal 23 3 5 2" xfId="7436" xr:uid="{A3646792-1C64-4868-8BA9-0CA14B3BE438}"/>
    <cellStyle name="Normal 23 3 5 2 2" xfId="9076" xr:uid="{888503DE-0B93-4B53-A098-6398BE3EB003}"/>
    <cellStyle name="Normal 23 3 5 3" xfId="8293" xr:uid="{25AC256E-BF4E-44A7-B9B8-0F2C106FE563}"/>
    <cellStyle name="Normal 23 3 6" xfId="6405" xr:uid="{49E7410C-D2FC-4524-A648-EB8A02A30406}"/>
    <cellStyle name="Normal 23 3 6 2" xfId="7437" xr:uid="{2FD2217D-350D-44C9-8547-33E16FCC931C}"/>
    <cellStyle name="Normal 23 3 6 2 2" xfId="9077" xr:uid="{3FAF453D-96F1-4428-8D1A-41B36A0ADDA1}"/>
    <cellStyle name="Normal 23 3 6 3" xfId="8112" xr:uid="{41C20791-D5C7-49EC-89E7-C6108BBD1065}"/>
    <cellStyle name="Normal 23 3 7" xfId="7077" xr:uid="{20C09B37-9D72-42CA-86D5-D909E1199056}"/>
    <cellStyle name="Normal 23 3 7 2" xfId="8717" xr:uid="{B04FE769-BFB3-4DE7-A964-F5655B153E09}"/>
    <cellStyle name="Normal 23 3 8" xfId="7921" xr:uid="{4899EB40-90B9-443D-8139-77889CBF8511}"/>
    <cellStyle name="Normal 23 3_1_solis_MK Nr 595 " xfId="5903" xr:uid="{79AB7957-2AD3-4B04-B8A6-E36CB9B9AA11}"/>
    <cellStyle name="Normal 23 4" xfId="5904" xr:uid="{37837426-E21A-451B-A257-FEF155D4019A}"/>
    <cellStyle name="Normal 23 4 2" xfId="6645" xr:uid="{35A64F93-6C37-4872-A0C0-B2D150D23F9A}"/>
    <cellStyle name="Normal 23 4 2 2" xfId="7438" xr:uid="{857042E7-7253-43E4-B17E-C23911A192D8}"/>
    <cellStyle name="Normal 23 4 2 2 2" xfId="9078" xr:uid="{1140103B-DCFC-4728-BAE8-733B0F61F6C2}"/>
    <cellStyle name="Normal 23 4 2 3" xfId="8294" xr:uid="{72F8299D-C239-4C4F-B80C-19AD06257164}"/>
    <cellStyle name="Normal 23 4 3" xfId="6646" xr:uid="{EB9FFADE-AF62-41B2-B8CB-415EF1828FBF}"/>
    <cellStyle name="Normal 23 4 3 2" xfId="7439" xr:uid="{9C756646-D07C-4526-8461-2DA8F89938FE}"/>
    <cellStyle name="Normal 23 4 3 2 2" xfId="9079" xr:uid="{3CF3C128-B48D-4613-AE7D-C0A20D845BFF}"/>
    <cellStyle name="Normal 23 4 3 3" xfId="8295" xr:uid="{E86506AE-3F82-451D-9C24-024E62960058}"/>
    <cellStyle name="Normal 23 4 4" xfId="6407" xr:uid="{511B224B-D4BF-4DE9-BCA9-FD248CF8DB25}"/>
    <cellStyle name="Normal 23 4 4 2" xfId="7440" xr:uid="{30C9628B-DE44-442B-B30A-00B8CDF19011}"/>
    <cellStyle name="Normal 23 4 4 2 2" xfId="9080" xr:uid="{6B4631F5-A1C4-410B-A26D-80B4506E02B7}"/>
    <cellStyle name="Normal 23 4 4 3" xfId="8114" xr:uid="{18AF69B7-D571-4A94-8F05-1BC5F776A3D0}"/>
    <cellStyle name="Normal 23 4 5" xfId="7079" xr:uid="{8B060772-73D9-4237-BD77-27DE666B36C9}"/>
    <cellStyle name="Normal 23 4 5 2" xfId="8719" xr:uid="{9E38C9ED-C1B7-4EC4-B577-655DE1E2B114}"/>
    <cellStyle name="Normal 23 4 6" xfId="7923" xr:uid="{704E422D-BDDC-463A-B222-99520F5AD3E4}"/>
    <cellStyle name="Normal 23 5" xfId="5905" xr:uid="{4477A08B-233A-43D6-A135-940843ADBD1C}"/>
    <cellStyle name="Normal 23 6" xfId="6647" xr:uid="{9058622B-E912-4102-85B7-197744DA1BF0}"/>
    <cellStyle name="Normal 23 6 2" xfId="7441" xr:uid="{180100F0-020F-4570-9895-A5C5DCFB3FE5}"/>
    <cellStyle name="Normal 23 6 2 2" xfId="9081" xr:uid="{5D1B9673-5DDA-49CF-9AC3-0519C6CB197C}"/>
    <cellStyle name="Normal 23 6 3" xfId="8296" xr:uid="{E8FCCF7A-BCCC-438C-B65E-476A426410BB}"/>
    <cellStyle name="Normal 23 7" xfId="6648" xr:uid="{58CA74AB-E6A6-4130-B453-61CA79D93961}"/>
    <cellStyle name="Normal 23 7 2" xfId="7442" xr:uid="{DF5AD0B5-08BF-4F21-9B91-ACDEA60854E2}"/>
    <cellStyle name="Normal 23 7 2 2" xfId="9082" xr:uid="{30244BD9-FE60-44F8-8CBC-4B85BA15C193}"/>
    <cellStyle name="Normal 23 7 3" xfId="8297" xr:uid="{CF66028D-523B-4914-9640-02A27CF10CCB}"/>
    <cellStyle name="Normal 23 8" xfId="6403" xr:uid="{67A6CF93-BE5D-4AA0-905D-B39A6986DCD9}"/>
    <cellStyle name="Normal 23 8 2" xfId="7443" xr:uid="{68C3D8DE-15FD-46F2-B07A-6C6FAC25FCD2}"/>
    <cellStyle name="Normal 23 8 2 2" xfId="9083" xr:uid="{E29B19AC-B96C-4194-9B61-969210C0FDA3}"/>
    <cellStyle name="Normal 23 8 3" xfId="8110" xr:uid="{1C446016-B88D-4077-9ECD-0889FA828733}"/>
    <cellStyle name="Normal 23 9" xfId="7075" xr:uid="{DB37272F-9B10-4C2F-8AB0-882ECE4780B7}"/>
    <cellStyle name="Normal 23 9 2" xfId="8715" xr:uid="{0BF48202-F1B2-493C-8AE4-CF77028011CB}"/>
    <cellStyle name="Normal 23_1_solis_MK Nr 595 " xfId="5906" xr:uid="{62487D21-6894-4BA0-AA57-BD719451F8C8}"/>
    <cellStyle name="Normal 24" xfId="5907" xr:uid="{EEC87369-1569-4A93-A97A-8C29736AF2E8}"/>
    <cellStyle name="Normal 24 2" xfId="5908" xr:uid="{C3B82A71-98B9-43F9-8DC3-5AB610F7A1F2}"/>
    <cellStyle name="Normal 24 2 2" xfId="5909" xr:uid="{5573FCD5-096A-482E-BFC7-38837E6FDF0F}"/>
    <cellStyle name="Normal 24 2 2 2" xfId="5910" xr:uid="{7C817772-DF0E-454B-9B7B-FCC6440E61C9}"/>
    <cellStyle name="Normal 24 2 2 3" xfId="6649" xr:uid="{72B171CA-4B7C-4B5F-894A-CDF57742DE84}"/>
    <cellStyle name="Normal 24 2 2 3 2" xfId="7444" xr:uid="{2ABDDF21-35F3-4070-BE90-401A8FDAF5C6}"/>
    <cellStyle name="Normal 24 2 2 3 2 2" xfId="9084" xr:uid="{E7370D2C-8676-4ED4-8A91-4F0D0EECF61B}"/>
    <cellStyle name="Normal 24 2 2 3 3" xfId="8298" xr:uid="{25B3734D-9C5F-42D4-83F7-9E634F2226DC}"/>
    <cellStyle name="Normal 24 2 2 4" xfId="6650" xr:uid="{3D9A5661-BAB0-4CBF-A779-0DD54F466734}"/>
    <cellStyle name="Normal 24 2 2 4 2" xfId="7445" xr:uid="{72E6C321-2DF6-4A1A-9CD3-C4E654CA13AE}"/>
    <cellStyle name="Normal 24 2 2 4 2 2" xfId="9085" xr:uid="{72E4B0EB-AFDF-4DA5-AE94-30BF5FCFFB80}"/>
    <cellStyle name="Normal 24 2 2 4 3" xfId="8299" xr:uid="{590C6F38-480A-4E21-98E5-8AE2F5EF58D5}"/>
    <cellStyle name="Normal 24 2 2 5" xfId="6410" xr:uid="{F7CE9104-4F43-486E-8A98-045D63E7FDF3}"/>
    <cellStyle name="Normal 24 2 2 5 2" xfId="7446" xr:uid="{FE9C62DF-20D3-42D1-95AC-F22860A5C6E9}"/>
    <cellStyle name="Normal 24 2 2 5 2 2" xfId="9086" xr:uid="{11FFF362-A7AA-4484-A4B4-8C2A44408603}"/>
    <cellStyle name="Normal 24 2 2 5 3" xfId="8117" xr:uid="{49C9AD10-7C10-4240-88ED-1F1DB2A53D15}"/>
    <cellStyle name="Normal 24 2 2 6" xfId="7082" xr:uid="{1740C3B9-CCA8-4728-BEEF-B3FC1C005C2A}"/>
    <cellStyle name="Normal 24 2 2 6 2" xfId="8722" xr:uid="{647D2E29-5703-4B1A-AB1A-2EBC28B6949D}"/>
    <cellStyle name="Normal 24 2 2 7" xfId="7926" xr:uid="{210FB88A-1F59-45A9-8F27-509BF7094AFD}"/>
    <cellStyle name="Normal 24 2 2_1_solis_MK Nr 595 " xfId="5911" xr:uid="{89217ED2-FB48-4861-AE3D-3A4A78D49199}"/>
    <cellStyle name="Normal 24 2 3" xfId="5912" xr:uid="{8FE3558E-E4BE-4DA7-8E56-03DAF1BD8F80}"/>
    <cellStyle name="Normal 24 2 3 10" xfId="6341" xr:uid="{0F70F38E-9DF7-4712-986F-D937D11F72C6}"/>
    <cellStyle name="Normal 24 2 3 10 2" xfId="7447" xr:uid="{8972DA79-6103-4533-9ED0-EEBC6315303A}"/>
    <cellStyle name="Normal 24 2 3 10 2 2" xfId="9087" xr:uid="{DE3ABC5E-F20B-4B79-936D-3F723A5B2570}"/>
    <cellStyle name="Normal 24 2 3 10 3" xfId="8048" xr:uid="{B298516C-7DDB-49C5-B3B2-B4F5B4D41A0E}"/>
    <cellStyle name="Normal 24 2 3 11" xfId="7083" xr:uid="{246FAE32-DB8A-46CD-8DE1-57C71FACE8F5}"/>
    <cellStyle name="Normal 24 2 3 11 2" xfId="8723" xr:uid="{AB82CE7C-439F-4B52-9FDC-749959EE689E}"/>
    <cellStyle name="Normal 24 2 3 12" xfId="7927" xr:uid="{775CAA26-B141-4396-9BCB-1F48F4C0EAFE}"/>
    <cellStyle name="Normal 24 2 3 2" xfId="5913" xr:uid="{4D15F568-3102-490B-AB75-D67361A15BBC}"/>
    <cellStyle name="Normal 24 2 3 2 2" xfId="5914" xr:uid="{8388D479-2AC2-4408-9965-C90693990A96}"/>
    <cellStyle name="Normal 24 2 3 2_1_solis_MK Nr 595 " xfId="5915" xr:uid="{95DF0B22-2127-4F79-8FB3-BA6D010C6C77}"/>
    <cellStyle name="Normal 24 2 3 3" xfId="5916" xr:uid="{F2BCF0D1-3BE6-49AB-B267-711457EE7DE9}"/>
    <cellStyle name="Normal 24 2 3 3 2" xfId="5917" xr:uid="{B3C7F7C5-8116-4E4A-891E-32F607F91885}"/>
    <cellStyle name="Normal 24 2 3 3 2 2" xfId="6651" xr:uid="{0B6F44EF-A7F1-438A-A977-14D8C161C149}"/>
    <cellStyle name="Normal 24 2 3 3 2 2 2" xfId="6652" xr:uid="{4E94C06D-74EB-4DE0-BF65-E9546DF71A1C}"/>
    <cellStyle name="Normal 24 2 3 3 2 2 2 2" xfId="7449" xr:uid="{4B381690-FADA-4517-87D1-732B97089F34}"/>
    <cellStyle name="Normal 24 2 3 3 2 2 2 2 2" xfId="9089" xr:uid="{8669207A-2B3B-4B89-A8D6-84E48058EC01}"/>
    <cellStyle name="Normal 24 2 3 3 2 2 2 3" xfId="8301" xr:uid="{AB39830F-45CB-43EB-AD3B-18D2D37F9436}"/>
    <cellStyle name="Normal 24 2 3 3 2 2 3" xfId="7448" xr:uid="{7CF94A5E-CC60-48D9-B952-E3530974459E}"/>
    <cellStyle name="Normal 24 2 3 3 2 2 3 2" xfId="9088" xr:uid="{7CF3B010-855D-4A23-8916-03271AD898B1}"/>
    <cellStyle name="Normal 24 2 3 3 2 2 4" xfId="8300" xr:uid="{DD04D067-564B-4F6B-8BB6-9FC67BDA0394}"/>
    <cellStyle name="Normal 24 2 3 3 2 3" xfId="6653" xr:uid="{10F8F1C0-AAEF-478E-BDB5-C058C4644879}"/>
    <cellStyle name="Normal 24 2 3 3 2 3 2" xfId="7450" xr:uid="{FDB5A9AC-C980-4FD8-8CBD-54412C951475}"/>
    <cellStyle name="Normal 24 2 3 3 2 3 2 2" xfId="9090" xr:uid="{E251B7A1-953D-4709-9911-3120BC92BA68}"/>
    <cellStyle name="Normal 24 2 3 3 2 3 3" xfId="8302" xr:uid="{1420EE15-0697-433F-8DF3-A7E8517FFD0B}"/>
    <cellStyle name="Normal 24 2 3 3 2 4" xfId="6654" xr:uid="{F5A298F0-16B6-44E0-B99A-1ACF08D6EAD3}"/>
    <cellStyle name="Normal 24 2 3 3 2 4 2" xfId="7451" xr:uid="{E44FC94F-2A1E-47CA-9399-4230C31A0AB0}"/>
    <cellStyle name="Normal 24 2 3 3 2 4 2 2" xfId="9091" xr:uid="{5AC4BA74-E206-41C6-9EF3-D7B28DB3D2EE}"/>
    <cellStyle name="Normal 24 2 3 3 2 4 3" xfId="8303" xr:uid="{155FA4E8-C096-4D14-AAC9-3209423B1FCD}"/>
    <cellStyle name="Normal 24 2 3 3 2 5" xfId="6413" xr:uid="{818E3690-93B7-4D85-9E8C-CFCE7767ADEF}"/>
    <cellStyle name="Normal 24 2 3 3 2 5 2" xfId="7452" xr:uid="{F51E888B-6BA8-4B4F-B1BC-230218DBB39D}"/>
    <cellStyle name="Normal 24 2 3 3 2 5 2 2" xfId="9092" xr:uid="{6BE0E564-9F8F-492B-9FFC-BC47DA4A683C}"/>
    <cellStyle name="Normal 24 2 3 3 2 5 3" xfId="8120" xr:uid="{5BD9A5CA-827F-41B8-BAAC-F66106F6C691}"/>
    <cellStyle name="Normal 24 2 3 3 2 6" xfId="7085" xr:uid="{D94634E7-D897-44AB-AE22-185615BF3D6E}"/>
    <cellStyle name="Normal 24 2 3 3 2 6 2" xfId="8725" xr:uid="{E19EDFCE-BC77-4050-BF38-71DB07FD7609}"/>
    <cellStyle name="Normal 24 2 3 3 2 7" xfId="7929" xr:uid="{9F4838A0-FCB1-4319-B673-C35B5896C5D5}"/>
    <cellStyle name="Normal 24 2 3 3 3" xfId="5918" xr:uid="{63767A04-77D1-478D-B98F-A78E65781EA3}"/>
    <cellStyle name="Normal 24 2 3 3 3 2" xfId="6655" xr:uid="{CCFA59B3-FBC9-49B0-B46D-4E5CCB435EBB}"/>
    <cellStyle name="Normal 24 2 3 3 3 2 2" xfId="7453" xr:uid="{4FB27D50-1E3F-4DDC-B226-F9174B25A760}"/>
    <cellStyle name="Normal 24 2 3 3 3 2 2 2" xfId="9093" xr:uid="{B6A8F63D-2A10-4BCD-B79B-02358B1DA0D4}"/>
    <cellStyle name="Normal 24 2 3 3 3 2 3" xfId="8304" xr:uid="{FBE36AF4-47DA-4291-B8C9-2E40B7637ED1}"/>
    <cellStyle name="Normal 24 2 3 3 3 3" xfId="6656" xr:uid="{7A7AE72F-8B5A-4930-923F-CAA185808C3F}"/>
    <cellStyle name="Normal 24 2 3 3 3 3 2" xfId="7454" xr:uid="{C26A79AF-1F20-49B7-874E-B4B1FB14FB9E}"/>
    <cellStyle name="Normal 24 2 3 3 3 3 2 2" xfId="9094" xr:uid="{19581A7E-0426-4CA4-AEEF-0027AC097A68}"/>
    <cellStyle name="Normal 24 2 3 3 3 3 3" xfId="8305" xr:uid="{F28263E7-83DF-479C-9526-571F3BF34BCA}"/>
    <cellStyle name="Normal 24 2 3 3 3 4" xfId="6414" xr:uid="{73729BA3-E240-4D84-A48C-D0E155A94F91}"/>
    <cellStyle name="Normal 24 2 3 3 3 4 2" xfId="7455" xr:uid="{D657593C-6EEF-4463-90E8-8E32FEA196EE}"/>
    <cellStyle name="Normal 24 2 3 3 3 4 2 2" xfId="9095" xr:uid="{334B0365-A187-49C0-BC09-59E47D111BCE}"/>
    <cellStyle name="Normal 24 2 3 3 3 4 3" xfId="8121" xr:uid="{648B3F5C-B510-41C7-A76E-6872ECB364D2}"/>
    <cellStyle name="Normal 24 2 3 3 3 5" xfId="7086" xr:uid="{8CC8C2EE-49C5-44BC-B627-2947F0D32796}"/>
    <cellStyle name="Normal 24 2 3 3 3 5 2" xfId="8726" xr:uid="{7B2BC43D-435D-4D9F-ACE2-92D95A2697BD}"/>
    <cellStyle name="Normal 24 2 3 3 3 6" xfId="7930" xr:uid="{BEFD5274-E883-4176-A292-007B3C87D958}"/>
    <cellStyle name="Normal 24 2 3 3 4" xfId="5919" xr:uid="{B9627F3C-7B5A-4E78-AF4E-039B32E59851}"/>
    <cellStyle name="Normal 24 2 3 3 5" xfId="6657" xr:uid="{36586A7F-AE77-465A-84EB-C927E661DDFC}"/>
    <cellStyle name="Normal 24 2 3 3 5 2" xfId="7456" xr:uid="{3270DA3D-0CE9-488E-A231-90F82808D046}"/>
    <cellStyle name="Normal 24 2 3 3 5 2 2" xfId="9096" xr:uid="{EC19DCBB-FCFD-44AA-A53C-0CD2B6726AB2}"/>
    <cellStyle name="Normal 24 2 3 3 5 3" xfId="8306" xr:uid="{0E2126F0-B54A-4342-8677-0E11056C54AA}"/>
    <cellStyle name="Normal 24 2 3 3 6" xfId="6658" xr:uid="{494EE8EE-1222-411D-A959-1CBDFC66B8EA}"/>
    <cellStyle name="Normal 24 2 3 3 6 2" xfId="7457" xr:uid="{10F48BDA-03CC-4C5B-9153-2ABF8F6DBAE0}"/>
    <cellStyle name="Normal 24 2 3 3 6 2 2" xfId="9097" xr:uid="{70F8F25D-E2B5-4FA3-AA38-56FA72DB8BCC}"/>
    <cellStyle name="Normal 24 2 3 3 6 3" xfId="8307" xr:uid="{7DDA5D62-AF83-4103-97FF-46AFB05D8CE8}"/>
    <cellStyle name="Normal 24 2 3 3 7" xfId="6412" xr:uid="{C60C9072-A363-4CC2-87B7-0E6029726D68}"/>
    <cellStyle name="Normal 24 2 3 3 7 2" xfId="7458" xr:uid="{CE23440F-35E4-4740-820C-FE2DC8C6508F}"/>
    <cellStyle name="Normal 24 2 3 3 7 2 2" xfId="9098" xr:uid="{3C271176-1310-4925-89A9-077F63C4F088}"/>
    <cellStyle name="Normal 24 2 3 3 7 3" xfId="8119" xr:uid="{59BF2FF5-F709-42A9-8514-178BCB6F7A14}"/>
    <cellStyle name="Normal 24 2 3 3 8" xfId="7084" xr:uid="{9E74CA70-E430-40D8-A1E1-598011F6E6E8}"/>
    <cellStyle name="Normal 24 2 3 3 8 2" xfId="8724" xr:uid="{9C543491-913D-4415-916E-6BC3EC1F5E37}"/>
    <cellStyle name="Normal 24 2 3 3 9" xfId="7928" xr:uid="{E6940AC4-F5FD-4AE9-B578-D9D048FEB5D9}"/>
    <cellStyle name="Normal 24 2 3 3_1_solis_MK Nr 595 " xfId="5920" xr:uid="{A2BAAD55-0A45-499B-A451-604EDA9A9AE5}"/>
    <cellStyle name="Normal 24 2 3 4" xfId="5921" xr:uid="{902E5A80-5D6A-49A7-9627-74CE24D8B592}"/>
    <cellStyle name="Normal 24 2 3 4 2" xfId="5922" xr:uid="{7159E8F7-8E21-416D-A14C-C0F9CB442D6B}"/>
    <cellStyle name="Normal 24 2 3 4 2 2" xfId="5923" xr:uid="{0C6B1A66-2508-4990-AA9E-0ABCF6BAADD0}"/>
    <cellStyle name="Normal 24 2 3 4 2 2 2" xfId="6659" xr:uid="{45D5A81E-A37B-431D-8017-B92175166906}"/>
    <cellStyle name="Normal 24 2 3 4 2 2 2 10" xfId="8308" xr:uid="{5B71E525-9FD8-42D7-BE0A-91F376247F83}"/>
    <cellStyle name="Normal 24 2 3 4 2 2 2 2" xfId="6660" xr:uid="{0B948FB9-CA03-46CA-BDD3-CD8D1738B516}"/>
    <cellStyle name="Normal 24 2 3 4 2 2 2 2 2" xfId="7460" xr:uid="{5AC17627-E627-41BE-9BB9-AEE4050BC21D}"/>
    <cellStyle name="Normal 24 2 3 4 2 2 2 2 2 2" xfId="9100" xr:uid="{02E158E1-61E3-407C-A893-A115AC850B7D}"/>
    <cellStyle name="Normal 24 2 3 4 2 2 2 2 3" xfId="8309" xr:uid="{ABE5B412-FFBA-49D6-8623-E986AD25115E}"/>
    <cellStyle name="Normal 24 2 3 4 2 2 2 3" xfId="6661" xr:uid="{81898C3A-FC9C-4261-A508-55C07EC89A5E}"/>
    <cellStyle name="Normal 24 2 3 4 2 2 2 3 2" xfId="7461" xr:uid="{B093CCFA-EFBE-476D-848D-E65A97DBF180}"/>
    <cellStyle name="Normal 24 2 3 4 2 2 2 3 2 2" xfId="9101" xr:uid="{45EFEA7D-1564-436B-8E3F-F8E8DCB5AA86}"/>
    <cellStyle name="Normal 24 2 3 4 2 2 2 3 3" xfId="8310" xr:uid="{394B6614-F16A-40E3-A99D-C566A9C9D49A}"/>
    <cellStyle name="Normal 24 2 3 4 2 2 2 4" xfId="6662" xr:uid="{5ADBA7F7-FCCE-46DA-9BF9-AC743F87BC02}"/>
    <cellStyle name="Normal 24 2 3 4 2 2 2 4 2" xfId="7462" xr:uid="{BE0BAD9C-6D04-4514-B7B9-60AA6354086F}"/>
    <cellStyle name="Normal 24 2 3 4 2 2 2 4 2 2" xfId="9102" xr:uid="{522CC8CA-B27F-4CD0-B833-68CFCE8B94AD}"/>
    <cellStyle name="Normal 24 2 3 4 2 2 2 4 3" xfId="8311" xr:uid="{B3B24233-B677-4A10-97E5-53D358D8B977}"/>
    <cellStyle name="Normal 24 2 3 4 2 2 2 5" xfId="6663" xr:uid="{B3F132D0-9D0C-48F8-909D-B8EFCEF3E106}"/>
    <cellStyle name="Normal 24 2 3 4 2 2 2 5 2" xfId="7463" xr:uid="{CD27AD1B-F61C-4AB9-ADF8-C75D3F2C8244}"/>
    <cellStyle name="Normal 24 2 3 4 2 2 2 5 2 2" xfId="9103" xr:uid="{32329C2E-3A4B-4F39-8410-C6BB339C5691}"/>
    <cellStyle name="Normal 24 2 3 4 2 2 2 5 3" xfId="8312" xr:uid="{4556C1EE-9361-4D16-A3BA-A4C19D11EF29}"/>
    <cellStyle name="Normal 24 2 3 4 2 2 2 6" xfId="6664" xr:uid="{2E3DF285-B33C-481F-9BC8-6A950712DDED}"/>
    <cellStyle name="Normal 24 2 3 4 2 2 2 6 2" xfId="7464" xr:uid="{8D7764DB-FC66-4684-8169-5F4532025AB7}"/>
    <cellStyle name="Normal 24 2 3 4 2 2 2 6 2 2" xfId="9104" xr:uid="{AB554557-9B4D-425F-979E-98F4D6351D08}"/>
    <cellStyle name="Normal 24 2 3 4 2 2 2 6 3" xfId="8313" xr:uid="{6BE65D4A-BE7F-45A3-B550-F99DFE7D618F}"/>
    <cellStyle name="Normal 24 2 3 4 2 2 2 7" xfId="6665" xr:uid="{CE0AA52D-10CF-4DB9-B6A5-EF2A313B5D5A}"/>
    <cellStyle name="Normal 24 2 3 4 2 2 2 7 2" xfId="7465" xr:uid="{33EDDF80-5E68-420F-9EB2-4F347C0AE40E}"/>
    <cellStyle name="Normal 24 2 3 4 2 2 2 7 2 2" xfId="9105" xr:uid="{90130817-6086-49D0-BFEE-6BFF1A526B95}"/>
    <cellStyle name="Normal 24 2 3 4 2 2 2 7 3" xfId="8314" xr:uid="{0D5061D6-AFB0-48FB-9AEF-090D27B72706}"/>
    <cellStyle name="Normal 24 2 3 4 2 2 2 8" xfId="6666" xr:uid="{0C199345-4475-47AD-9D91-D4BF14D76094}"/>
    <cellStyle name="Normal 24 2 3 4 2 2 2 8 2" xfId="7466" xr:uid="{FC0B4857-F681-4E37-9529-F2971898E865}"/>
    <cellStyle name="Normal 24 2 3 4 2 2 2 8 2 2" xfId="9106" xr:uid="{27348B0C-774A-41AD-A092-3653377589E5}"/>
    <cellStyle name="Normal 24 2 3 4 2 2 2 8 3" xfId="8315" xr:uid="{55164358-AE72-4FF2-AB72-842441426351}"/>
    <cellStyle name="Normal 24 2 3 4 2 2 2 9" xfId="7459" xr:uid="{62995121-5B87-413A-AFDF-DE81CF162831}"/>
    <cellStyle name="Normal 24 2 3 4 2 2 2 9 2" xfId="9099" xr:uid="{D955AACE-C297-4088-91DE-38ABACE324E6}"/>
    <cellStyle name="Normal 24 2 3 4 2 2 3" xfId="6667" xr:uid="{AAA026EE-7FD9-4E84-B889-FBD7C7C2F572}"/>
    <cellStyle name="Normal 24 2 3 4 2 2 3 2" xfId="6668" xr:uid="{E96F56B6-530A-477A-A671-C214671A3AF1}"/>
    <cellStyle name="Normal 24 2 3 4 2 2 3 2 2" xfId="7468" xr:uid="{4AAA38ED-0F3D-42CD-9FE6-895E1B12D242}"/>
    <cellStyle name="Normal 24 2 3 4 2 2 3 2 2 2" xfId="9108" xr:uid="{07610A24-9F22-47DD-A6A8-069736055F84}"/>
    <cellStyle name="Normal 24 2 3 4 2 2 3 2 3" xfId="8317" xr:uid="{24254881-E95F-4307-B3EE-911BE6C95D0C}"/>
    <cellStyle name="Normal 24 2 3 4 2 2 3 3" xfId="6669" xr:uid="{84365715-D520-43D2-A90A-AA3807B3CF7B}"/>
    <cellStyle name="Normal 24 2 3 4 2 2 3 3 2" xfId="7469" xr:uid="{C55B1845-CC3A-4763-ABD7-DE30BC974BD4}"/>
    <cellStyle name="Normal 24 2 3 4 2 2 3 3 2 2" xfId="9109" xr:uid="{5328CFE9-20E8-426E-9377-A635CE4F339B}"/>
    <cellStyle name="Normal 24 2 3 4 2 2 3 3 3" xfId="8318" xr:uid="{A91DBAD2-766A-4FD1-BF71-5DF5B38A1090}"/>
    <cellStyle name="Normal 24 2 3 4 2 2 3 4" xfId="7467" xr:uid="{B6947B36-F0B0-459E-A5EA-DEC8D56092EC}"/>
    <cellStyle name="Normal 24 2 3 4 2 2 3 4 2" xfId="9107" xr:uid="{6D94F2F5-9244-4169-8A37-B60A2E35F10A}"/>
    <cellStyle name="Normal 24 2 3 4 2 2 3 5" xfId="8316" xr:uid="{FE50C992-C125-4816-B731-27E8CDFD59F7}"/>
    <cellStyle name="Normal 24 2 3 4 2 2 4" xfId="6670" xr:uid="{7F144602-0FD5-473B-9293-9D86BE58D891}"/>
    <cellStyle name="Normal 24 2 3 4 2 2 4 2" xfId="7470" xr:uid="{5E2D6548-22DE-4CB4-B8BD-909D24CAE6CE}"/>
    <cellStyle name="Normal 24 2 3 4 2 2 4 2 2" xfId="9110" xr:uid="{478CF3EB-EE72-4D53-89CA-4600F09F14E0}"/>
    <cellStyle name="Normal 24 2 3 4 2 2 4 3" xfId="8319" xr:uid="{BAD4F777-FDD1-4124-A057-19C76AB61A84}"/>
    <cellStyle name="Normal 24 2 3 4 2 2 5" xfId="6671" xr:uid="{A1C48DFB-7B3E-4DCC-82CA-3C0C0D3D2EA8}"/>
    <cellStyle name="Normal 24 2 3 4 2 2 5 2" xfId="7471" xr:uid="{C2924BA6-E59B-4133-854C-B51F3A0AD6E9}"/>
    <cellStyle name="Normal 24 2 3 4 2 2 5 2 2" xfId="9111" xr:uid="{B6C0025C-3201-4BED-BB1C-43806BD94951}"/>
    <cellStyle name="Normal 24 2 3 4 2 2 5 3" xfId="8320" xr:uid="{4060D76F-0942-49F8-96C8-8516F75983B3}"/>
    <cellStyle name="Normal 24 2 3 4 2 2 6" xfId="6672" xr:uid="{61D3BC9B-9333-49A1-A6BE-97BA69B4D650}"/>
    <cellStyle name="Normal 24 2 3 4 2 2 6 2" xfId="7472" xr:uid="{1B0643C9-5DEF-4F2E-AE47-E3D5BE88E98F}"/>
    <cellStyle name="Normal 24 2 3 4 2 2 6 2 2" xfId="9112" xr:uid="{D673E626-086A-4D8D-8F50-149248003C2E}"/>
    <cellStyle name="Normal 24 2 3 4 2 2 6 3" xfId="8321" xr:uid="{0AC371FF-FB02-49BD-9F97-A76CD0FABD79}"/>
    <cellStyle name="Normal 24 2 3 4 2 2 7" xfId="6415" xr:uid="{201CABE7-8CC9-4326-8530-51D33C774294}"/>
    <cellStyle name="Normal 24 2 3 4 2 2 7 2" xfId="7473" xr:uid="{F47B8FFC-5CC9-4A07-B520-4DF2421D4750}"/>
    <cellStyle name="Normal 24 2 3 4 2 2 7 2 2" xfId="9113" xr:uid="{272A1986-C904-4170-B6FD-230D8EBA7F35}"/>
    <cellStyle name="Normal 24 2 3 4 2 2 7 3" xfId="8122" xr:uid="{56C2BCE3-B0CF-4173-8C5C-827F12DE0FE8}"/>
    <cellStyle name="Normal 24 2 3 4 2 2 8" xfId="7087" xr:uid="{74B5DAB4-E6CB-4993-9F43-DA0C3ABD3A59}"/>
    <cellStyle name="Normal 24 2 3 4 2 2 8 2" xfId="8727" xr:uid="{F3D5F25F-EBC8-41C3-A2F4-712D7CB7A8D5}"/>
    <cellStyle name="Normal 24 2 3 4 2 2 9" xfId="7931" xr:uid="{3832B930-D0EA-4DA9-A2BC-4001D8661C79}"/>
    <cellStyle name="Normal 24 2 3 4 2 3" xfId="6673" xr:uid="{B40FE98D-7DC1-4864-B751-FE2ABB30B329}"/>
    <cellStyle name="Normal 24 2 3 4 2 3 2" xfId="6674" xr:uid="{12E74915-9936-4456-BB50-CAF4A3B11914}"/>
    <cellStyle name="Normal 24 2 3 4 2 3 2 2" xfId="7475" xr:uid="{71E4F3C2-B9FA-4D29-9AB5-C067D29F8F7C}"/>
    <cellStyle name="Normal 24 2 3 4 2 3 2 2 2" xfId="9115" xr:uid="{077B173A-0500-4EC4-A4F9-2618A10062D5}"/>
    <cellStyle name="Normal 24 2 3 4 2 3 2 3" xfId="8323" xr:uid="{EB7E4AA7-E2ED-49E1-A5E1-928AFA740D8D}"/>
    <cellStyle name="Normal 24 2 3 4 2 3 3" xfId="6675" xr:uid="{A3564E51-41A3-4AFC-832A-E20BF6945231}"/>
    <cellStyle name="Normal 24 2 3 4 2 3 3 2" xfId="7476" xr:uid="{C7D6127A-88BE-4F61-87CC-26997DFB5F81}"/>
    <cellStyle name="Normal 24 2 3 4 2 3 3 2 2" xfId="9116" xr:uid="{3FCCF887-44A9-4DBF-AD44-58D8934A66DF}"/>
    <cellStyle name="Normal 24 2 3 4 2 3 3 3" xfId="8324" xr:uid="{98B7EC41-56FA-41D0-A11E-C068E7AEC8C8}"/>
    <cellStyle name="Normal 24 2 3 4 2 3 4" xfId="6676" xr:uid="{850C1F0C-AF6C-4EEE-AA9D-7FB2BD62A1B1}"/>
    <cellStyle name="Normal 24 2 3 4 2 3 4 2" xfId="7477" xr:uid="{ED101305-1082-4AB4-80AA-F91CBAB668C0}"/>
    <cellStyle name="Normal 24 2 3 4 2 3 4 2 2" xfId="9117" xr:uid="{DD26BE24-A686-4FA4-96CF-191495060C45}"/>
    <cellStyle name="Normal 24 2 3 4 2 3 4 3" xfId="8325" xr:uid="{868FD466-34AA-44C7-9F77-6A16CA463FEA}"/>
    <cellStyle name="Normal 24 2 3 4 2 3 5" xfId="6677" xr:uid="{67BE9B6A-7737-498F-84C8-F02A211CAAB2}"/>
    <cellStyle name="Normal 24 2 3 4 2 3 5 2" xfId="6678" xr:uid="{43E3BBCE-8A20-4ED4-BA2C-23D6D543B068}"/>
    <cellStyle name="Normal 24 2 3 4 2 3 5 2 2" xfId="7479" xr:uid="{9B1BEDAC-39D5-4D17-BECA-ECA6065CB555}"/>
    <cellStyle name="Normal 24 2 3 4 2 3 5 2 2 2" xfId="9119" xr:uid="{4A58C6BE-7634-4C26-8F00-8B102FF1FAF0}"/>
    <cellStyle name="Normal 24 2 3 4 2 3 5 2 3" xfId="8327" xr:uid="{BFEAE776-540C-4289-9C35-91AC0E86813E}"/>
    <cellStyle name="Normal 24 2 3 4 2 3 5 3" xfId="7478" xr:uid="{0246A4E1-2F0C-46DC-A4B1-FAE3761CA3EC}"/>
    <cellStyle name="Normal 24 2 3 4 2 3 5 3 2" xfId="9118" xr:uid="{D1621E78-D107-473D-A84D-BB4569A22584}"/>
    <cellStyle name="Normal 24 2 3 4 2 3 5 4" xfId="8326" xr:uid="{EB766ED8-BFCB-4AF7-B2E3-F76F4101F0C4}"/>
    <cellStyle name="Normal 24 2 3 4 2 3 6" xfId="6679" xr:uid="{CD6A96F9-367A-439A-BDB3-B983C5D16103}"/>
    <cellStyle name="Normal 24 2 3 4 2 3 6 2" xfId="7480" xr:uid="{7CC58C02-0438-4800-A006-2380E90C3272}"/>
    <cellStyle name="Normal 24 2 3 4 2 3 6 2 2" xfId="9120" xr:uid="{FDFCD32B-40BC-4C18-AE00-909BA56B3C49}"/>
    <cellStyle name="Normal 24 2 3 4 2 3 6 3" xfId="8328" xr:uid="{6509F8C1-0E86-47D3-852F-0205DC67E675}"/>
    <cellStyle name="Normal 24 2 3 4 2 3 7" xfId="7474" xr:uid="{9B9B515D-DBFB-406C-9137-9F448A3928D9}"/>
    <cellStyle name="Normal 24 2 3 4 2 3 7 2" xfId="9114" xr:uid="{AE484999-6043-45F6-97D5-4A4D36ED1A23}"/>
    <cellStyle name="Normal 24 2 3 4 2 3 8" xfId="8322" xr:uid="{64AB6BCE-68D8-4D1E-9D98-947C38BA36ED}"/>
    <cellStyle name="Normal 24 2 3 4 2_1_solis_MK Nr 595 " xfId="5924" xr:uid="{82850ADD-4218-4140-99D4-B8FB827BF509}"/>
    <cellStyle name="Normal 24 2 3 4 3" xfId="5925" xr:uid="{1E8E44E1-E2E3-4C6B-837B-6127C7B056EB}"/>
    <cellStyle name="Normal 24 2 3 4_1_solis_MK Nr 595 " xfId="5926" xr:uid="{56D267D0-D3CB-4706-B070-38EB30A86993}"/>
    <cellStyle name="Normal 24 2 3 5" xfId="5927" xr:uid="{B10E873E-F6CA-4CF7-BD77-EBD5F87667F0}"/>
    <cellStyle name="Normal 24 2 3 5 2" xfId="6680" xr:uid="{4A28088D-A2C1-4EAF-A415-D7537EC61D37}"/>
    <cellStyle name="Normal 24 2 3 5 2 2" xfId="7481" xr:uid="{7AAACA52-432E-489E-87C4-A1E694D41262}"/>
    <cellStyle name="Normal 24 2 3 5 2 2 2" xfId="9121" xr:uid="{142CE5D4-B93D-4F3E-9219-E2420ADBF330}"/>
    <cellStyle name="Normal 24 2 3 5 2 3" xfId="8329" xr:uid="{61807F92-6508-4890-91E2-441FDC564EA0}"/>
    <cellStyle name="Normal 24 2 3 5 3" xfId="6681" xr:uid="{8A0D29D0-62C1-4B94-A58E-1BDC47546E73}"/>
    <cellStyle name="Normal 24 2 3 5 3 2" xfId="7482" xr:uid="{49E9159E-5CC3-4595-A9CC-EE39A3C6E4CC}"/>
    <cellStyle name="Normal 24 2 3 5 3 2 2" xfId="9122" xr:uid="{3CB8F6F2-70E6-4AAC-B822-E8B0707EF938}"/>
    <cellStyle name="Normal 24 2 3 5 3 3" xfId="8330" xr:uid="{00F77D40-6D8D-47C8-93AF-479123BC664D}"/>
    <cellStyle name="Normal 24 2 3 5 4" xfId="6416" xr:uid="{4B0AB259-2A81-45D4-A7C5-2B1774B4BBAC}"/>
    <cellStyle name="Normal 24 2 3 5 4 2" xfId="7483" xr:uid="{946BAAD9-D408-42E4-806A-29F65D405931}"/>
    <cellStyle name="Normal 24 2 3 5 4 2 2" xfId="9123" xr:uid="{F49A24FE-026B-49EA-B207-567CC98A3D31}"/>
    <cellStyle name="Normal 24 2 3 5 4 3" xfId="8123" xr:uid="{1AA6BFE9-9976-468D-BC1B-7DE32F130ED4}"/>
    <cellStyle name="Normal 24 2 3 5 5" xfId="7088" xr:uid="{11DDFD35-40E7-4F1C-99BA-F066BECE0A11}"/>
    <cellStyle name="Normal 24 2 3 5 5 2" xfId="8728" xr:uid="{BB89F946-49C4-4438-89C7-1AC31FE91849}"/>
    <cellStyle name="Normal 24 2 3 5 6" xfId="7932" xr:uid="{3F452E56-7BEF-4879-926D-0D1F49284A16}"/>
    <cellStyle name="Normal 24 2 3 6" xfId="5928" xr:uid="{1DFA8DB6-FF61-48C1-8F21-0EAC12C920FB}"/>
    <cellStyle name="Normal 24 2 3 7" xfId="6682" xr:uid="{A9E2217E-5029-4304-AE3F-E638BE5C4A7F}"/>
    <cellStyle name="Normal 24 2 3 7 2" xfId="7484" xr:uid="{EA61C742-8645-400C-9526-F02726C17034}"/>
    <cellStyle name="Normal 24 2 3 7 2 2" xfId="9124" xr:uid="{1C368F47-A76E-4213-9533-D34FD0346DC2}"/>
    <cellStyle name="Normal 24 2 3 7 3" xfId="8331" xr:uid="{87197D1B-79BC-4696-A454-B31C826A0F9A}"/>
    <cellStyle name="Normal 24 2 3 8" xfId="6683" xr:uid="{798BA3C0-B046-4ECF-BF83-A85742479427}"/>
    <cellStyle name="Normal 24 2 3 8 2" xfId="7485" xr:uid="{F23326D4-DE27-4B24-9B22-ED66C4543D07}"/>
    <cellStyle name="Normal 24 2 3 8 2 2" xfId="9125" xr:uid="{76DE1F94-340D-4493-B432-74AA06BDC25F}"/>
    <cellStyle name="Normal 24 2 3 8 3" xfId="8332" xr:uid="{A39B658C-E975-4A74-B0EA-6EC71217B0E8}"/>
    <cellStyle name="Normal 24 2 3 9" xfId="6411" xr:uid="{579D2E26-93A2-436A-853D-FE2CA52337BA}"/>
    <cellStyle name="Normal 24 2 3 9 2" xfId="7486" xr:uid="{20D01C04-7FE9-4C39-A8A8-D4FB50E99B67}"/>
    <cellStyle name="Normal 24 2 3 9 2 2" xfId="9126" xr:uid="{70DA6B6B-202D-4BAE-BF8C-2E9BE430E2F4}"/>
    <cellStyle name="Normal 24 2 3 9 3" xfId="8118" xr:uid="{2E98210E-9BF3-4A95-87BB-83B1EAF48680}"/>
    <cellStyle name="Normal 24 2 3_1_solis_MK Nr 595 " xfId="5929" xr:uid="{D20A4390-6438-4D7C-A7BA-51F41C6F0282}"/>
    <cellStyle name="Normal 24 2 4" xfId="5930" xr:uid="{846FC0A4-0449-46E9-9888-36BB51461D80}"/>
    <cellStyle name="Normal 24 2 5" xfId="6684" xr:uid="{0718EDB7-7B2A-459F-A2EF-470832B736DF}"/>
    <cellStyle name="Normal 24 2 5 2" xfId="7487" xr:uid="{64660560-6702-4049-9560-1D84E605BBB4}"/>
    <cellStyle name="Normal 24 2 5 2 2" xfId="9127" xr:uid="{A957862A-9D22-44FF-AAB9-ADBF60CB53A2}"/>
    <cellStyle name="Normal 24 2 5 3" xfId="8333" xr:uid="{C028162C-5835-4293-91F1-7A9D1AF2A25D}"/>
    <cellStyle name="Normal 24 2 6" xfId="6685" xr:uid="{7FA73285-9C07-409E-9B1D-AE9A78CEED4D}"/>
    <cellStyle name="Normal 24 2 6 2" xfId="7488" xr:uid="{113344DD-4920-48F8-BD77-F8640A043F11}"/>
    <cellStyle name="Normal 24 2 6 2 2" xfId="9128" xr:uid="{90C2B79B-00F5-4A7F-9A35-1E1BCCAC1729}"/>
    <cellStyle name="Normal 24 2 6 3" xfId="8334" xr:uid="{81E3FA8F-DBBB-4A63-A081-048A1E1D932A}"/>
    <cellStyle name="Normal 24 2 7" xfId="6409" xr:uid="{F785EEF0-78E3-40B5-BA5A-43B5EB70BE63}"/>
    <cellStyle name="Normal 24 2 7 2" xfId="7489" xr:uid="{339E6596-FCC5-416D-AAFF-7A41B7B5B49E}"/>
    <cellStyle name="Normal 24 2 7 2 2" xfId="9129" xr:uid="{058A7317-B99D-463A-A42F-6FFB3571259C}"/>
    <cellStyle name="Normal 24 2 7 3" xfId="8116" xr:uid="{D2790950-AC98-45AD-889C-60E7CE64FEC6}"/>
    <cellStyle name="Normal 24 2 8" xfId="7081" xr:uid="{A9830284-1576-455D-8F04-9249ACCBA4D5}"/>
    <cellStyle name="Normal 24 2 8 2" xfId="8721" xr:uid="{D1ABF4F5-A61D-4CE7-B778-BB68350721CE}"/>
    <cellStyle name="Normal 24 2 9" xfId="7925" xr:uid="{877CCDBB-E84A-4DAE-9422-87BF1E7E0E4F}"/>
    <cellStyle name="Normal 24 2_1_solis_MK Nr 595 " xfId="5931" xr:uid="{3DDB3FB9-819B-4E22-A4C3-33AD85C63663}"/>
    <cellStyle name="Normal 24 3" xfId="5932" xr:uid="{EDC85F64-2F23-4690-9E45-64E07FEEC280}"/>
    <cellStyle name="Normal 24 3 2" xfId="5933" xr:uid="{40DE380A-9AF7-4358-9465-4D34424ABBB3}"/>
    <cellStyle name="Normal 24 3 3" xfId="6686" xr:uid="{DE798C9D-C090-4636-8D12-42398029F20A}"/>
    <cellStyle name="Normal 24 3 3 2" xfId="7490" xr:uid="{198F7436-709A-445A-AEF2-7C45978F1747}"/>
    <cellStyle name="Normal 24 3 3 2 2" xfId="9130" xr:uid="{DC68C90D-C4FE-4E31-A50C-AF76C3F16997}"/>
    <cellStyle name="Normal 24 3 3 3" xfId="8335" xr:uid="{8331D5A0-A765-42B0-87F0-D0A654232BFD}"/>
    <cellStyle name="Normal 24 3 4" xfId="6687" xr:uid="{D1DF40C4-CB00-41E1-85D6-06AA7AAEFDCF}"/>
    <cellStyle name="Normal 24 3 4 2" xfId="7491" xr:uid="{322FD204-1068-463B-AF15-DB4A94598DDA}"/>
    <cellStyle name="Normal 24 3 4 2 2" xfId="9131" xr:uid="{E44B0BE7-5C4C-427C-9523-7837FC2EE8C5}"/>
    <cellStyle name="Normal 24 3 4 3" xfId="8336" xr:uid="{A1FFC45A-97F2-4F7B-AD4A-B9DCB9B2CA3E}"/>
    <cellStyle name="Normal 24 3 5" xfId="6417" xr:uid="{A3A4733A-84F7-46F3-B957-25300C75704C}"/>
    <cellStyle name="Normal 24 3 5 2" xfId="7492" xr:uid="{092479FB-62BD-4094-B638-3959DAA6196D}"/>
    <cellStyle name="Normal 24 3 5 2 2" xfId="9132" xr:uid="{9C433A30-AD2E-4E28-B7AF-A1A3D3C0C90B}"/>
    <cellStyle name="Normal 24 3 5 3" xfId="8124" xr:uid="{0B63A617-E4C2-4CF2-B0DF-FEFD6AAA2275}"/>
    <cellStyle name="Normal 24 3 6" xfId="7089" xr:uid="{F4D14438-030B-419D-9DA7-7E600E952194}"/>
    <cellStyle name="Normal 24 3 6 2" xfId="8729" xr:uid="{FA8AAB57-9F7D-40FC-A3EB-40CBCDF80CF3}"/>
    <cellStyle name="Normal 24 3 7" xfId="7933" xr:uid="{932F0A50-7552-49FC-9C68-33196BFA7A2D}"/>
    <cellStyle name="Normal 24 3_1_solis_MK Nr 595 " xfId="5934" xr:uid="{BCDEA92A-4999-4B6D-AC91-1DC629D82DBA}"/>
    <cellStyle name="Normal 24 4" xfId="5935" xr:uid="{2E202943-9D21-41BB-A547-6D30711C5F99}"/>
    <cellStyle name="Normal 24 5" xfId="6688" xr:uid="{DB9A03F8-E26F-4F41-B051-0382CBDC3FC7}"/>
    <cellStyle name="Normal 24 5 2" xfId="7493" xr:uid="{44431A5B-3148-4B24-A833-66097DA9ECC7}"/>
    <cellStyle name="Normal 24 5 2 2" xfId="9133" xr:uid="{0FEF340C-EE77-4B2A-83FF-ACF55C4AB720}"/>
    <cellStyle name="Normal 24 5 3" xfId="8337" xr:uid="{BD84600D-29FC-4BD6-ADEA-89AB7818F1DC}"/>
    <cellStyle name="Normal 24 6" xfId="6689" xr:uid="{B45B6573-F4FC-429D-9D46-B1CE2AEEC346}"/>
    <cellStyle name="Normal 24 6 2" xfId="7494" xr:uid="{FCEFB50A-7C28-4DF6-8E3E-F6A6F5E08B10}"/>
    <cellStyle name="Normal 24 6 2 2" xfId="9134" xr:uid="{85E43B88-A51B-4D09-BFCD-4AC0382B7AC3}"/>
    <cellStyle name="Normal 24 6 3" xfId="8338" xr:uid="{0A445F4F-F990-45D2-979D-5BCD9BCF2E4B}"/>
    <cellStyle name="Normal 24 7" xfId="6408" xr:uid="{24DD3EF5-FEFC-43D9-975E-3570260E6A9E}"/>
    <cellStyle name="Normal 24 7 2" xfId="7495" xr:uid="{246A8C78-C279-4CA7-9807-EC7B68C27A31}"/>
    <cellStyle name="Normal 24 7 2 2" xfId="9135" xr:uid="{26CAD203-3815-434F-8C83-3F7F1992D3A8}"/>
    <cellStyle name="Normal 24 7 3" xfId="8115" xr:uid="{7A9C263B-3154-47A7-B054-6F413D4A5DF0}"/>
    <cellStyle name="Normal 24 8" xfId="7080" xr:uid="{A5AB32A2-F9C6-4D1A-8FEE-55CE40067672}"/>
    <cellStyle name="Normal 24 8 2" xfId="8720" xr:uid="{025A5B41-CA50-404B-BE0F-62279DAA196C}"/>
    <cellStyle name="Normal 24 9" xfId="7924" xr:uid="{0AD045FC-985E-4249-A805-DA3C87E9D898}"/>
    <cellStyle name="Normal 24_1_solis_MK Nr 595 " xfId="5936" xr:uid="{493AAF74-3E3A-4E85-8080-4F8D551809A2}"/>
    <cellStyle name="Normal 25" xfId="5937" xr:uid="{B3BEAB5E-7F4C-4A15-9394-84A5E9A6E679}"/>
    <cellStyle name="Normal 25 2" xfId="6690" xr:uid="{0732E598-5E49-4E9F-ADC2-0AAA4E5382C4}"/>
    <cellStyle name="Normal 26" xfId="5938" xr:uid="{580FD7F4-800E-4D79-BE9A-50CAB43FAE95}"/>
    <cellStyle name="Normal 26 2" xfId="5939" xr:uid="{CEEFCA35-6AE3-40F9-8614-25B33766DA58}"/>
    <cellStyle name="Normal 26 3" xfId="5940" xr:uid="{6596289C-4DC7-4D2F-8826-72AAFF062A65}"/>
    <cellStyle name="Normal 26 4" xfId="6691" xr:uid="{2890A2E6-DAA7-4D38-B233-732ACC48D039}"/>
    <cellStyle name="Normal 26 4 2" xfId="7496" xr:uid="{BBA3C3A8-85D8-4216-87B7-FE7000E96169}"/>
    <cellStyle name="Normal 26 4 2 2" xfId="9136" xr:uid="{02792FB7-69F8-4844-AB7E-78D3ADEF016C}"/>
    <cellStyle name="Normal 26 4 3" xfId="8339" xr:uid="{94737428-6D97-48F1-A460-5CE827EA6CF8}"/>
    <cellStyle name="Normal 26 5" xfId="6692" xr:uid="{886D72BC-A246-4C41-97CF-9607FDB6D6B7}"/>
    <cellStyle name="Normal 26 5 2" xfId="7497" xr:uid="{C3019E53-F314-4F7C-AF4C-D131963114C9}"/>
    <cellStyle name="Normal 26 5 2 2" xfId="9137" xr:uid="{8E5D2C3E-9694-498B-8D19-E5AC29FA48B6}"/>
    <cellStyle name="Normal 26 5 3" xfId="8340" xr:uid="{F3BB49D6-014B-4687-A04A-33449B9837B1}"/>
    <cellStyle name="Normal 26 6" xfId="6418" xr:uid="{F77F00FF-6755-4AFE-8801-C16A92CA1463}"/>
    <cellStyle name="Normal 26 6 2" xfId="7498" xr:uid="{149DF4D9-179A-4CC4-B7FF-B02ACC0E8FAA}"/>
    <cellStyle name="Normal 26 6 2 2" xfId="9138" xr:uid="{F7ABA06F-53A9-43E7-9EE3-2734A615C665}"/>
    <cellStyle name="Normal 26 6 3" xfId="8125" xr:uid="{21DC53C4-DC94-4987-ABB8-9014E58C9784}"/>
    <cellStyle name="Normal 26 7" xfId="7090" xr:uid="{E9799187-5723-41F6-AACE-F858C0647962}"/>
    <cellStyle name="Normal 26 7 2" xfId="8730" xr:uid="{51C44C71-8B22-4932-8969-41ADF92E7182}"/>
    <cellStyle name="Normal 26 8" xfId="7934" xr:uid="{EDE8BD1A-FD3D-4B34-9346-8996E390F009}"/>
    <cellStyle name="Normal 26_1_solis_MK Nr 595 " xfId="5941" xr:uid="{FE4A0DD2-CCFD-4AEE-98BE-BB13C709C882}"/>
    <cellStyle name="Normal 27" xfId="5942" xr:uid="{76F9934E-1A7A-4B7F-9AB0-8FD57502A901}"/>
    <cellStyle name="Normal 27 10" xfId="6419" xr:uid="{8536E83D-1B31-4DFC-A398-7510E1042006}"/>
    <cellStyle name="Normal 27 10 2" xfId="7499" xr:uid="{8948AE72-01A3-4388-A2E8-4956D14D5FB2}"/>
    <cellStyle name="Normal 27 10 2 2" xfId="9139" xr:uid="{6647FD5B-F75B-456E-A4FE-AC2F7D4D72B2}"/>
    <cellStyle name="Normal 27 10 3" xfId="8126" xr:uid="{C6078824-69BE-44E9-BDD4-4A70F848036C}"/>
    <cellStyle name="Normal 27 11" xfId="7091" xr:uid="{03B0A23B-800D-4F0F-BF15-65F9950BE8A7}"/>
    <cellStyle name="Normal 27 11 2" xfId="8731" xr:uid="{90905258-9A0C-414E-8ABF-57736BD21CD6}"/>
    <cellStyle name="Normal 27 12" xfId="7935" xr:uid="{AB81D821-F618-4C8C-809C-60913AAACAAA}"/>
    <cellStyle name="Normal 27 2" xfId="5943" xr:uid="{E148F5C3-BA28-4521-A5A3-8CF7ACDA97EC}"/>
    <cellStyle name="Normal 27 3" xfId="5944" xr:uid="{2F55D47F-605F-42AA-8C66-85EAB2DBBD22}"/>
    <cellStyle name="Normal 27 4" xfId="5945" xr:uid="{25860F8C-2B09-4307-86E3-61025C477A77}"/>
    <cellStyle name="Normal 27 5" xfId="5946" xr:uid="{C02E3BB8-DF0A-479E-A759-7C7839B2DD4D}"/>
    <cellStyle name="Normal 27 6" xfId="5947" xr:uid="{DC885546-84A0-45A2-96EF-6FE70FB03A0E}"/>
    <cellStyle name="Normal 27 7" xfId="5948" xr:uid="{8E081A3E-BAB1-4F08-9167-B1453B46F601}"/>
    <cellStyle name="Normal 27 8" xfId="6693" xr:uid="{0DF9D675-CE05-4B0B-8286-BEECE110F943}"/>
    <cellStyle name="Normal 27 8 2" xfId="7500" xr:uid="{A07F4065-D973-45D1-B462-104B987E043C}"/>
    <cellStyle name="Normal 27 8 2 2" xfId="9140" xr:uid="{723FDC53-121B-44B8-B31F-5BAA76496BD1}"/>
    <cellStyle name="Normal 27 8 3" xfId="8341" xr:uid="{17D463DB-94E0-4BB8-BC36-787DC0D8EB7E}"/>
    <cellStyle name="Normal 27 9" xfId="6694" xr:uid="{1319E29D-9EA3-4F6F-9467-7DB847BBFDB4}"/>
    <cellStyle name="Normal 27 9 2" xfId="7501" xr:uid="{ED6BB43A-FB87-46E4-9667-B371CAF4342E}"/>
    <cellStyle name="Normal 27 9 2 2" xfId="9141" xr:uid="{135FB7D1-83A9-442F-93C1-0688E5793B33}"/>
    <cellStyle name="Normal 27 9 3" xfId="8342" xr:uid="{773B4979-057A-4C0D-B45A-4F5B1808EB33}"/>
    <cellStyle name="Normal 27_1_solis_MK Nr 595 " xfId="5949" xr:uid="{E44E8368-5A8F-4C68-805D-FECBD92A453A}"/>
    <cellStyle name="Normal 28" xfId="5950" xr:uid="{2A1F9E0C-EB85-4C93-9C7C-ADEA7F73F588}"/>
    <cellStyle name="Normal 28 2" xfId="5951" xr:uid="{F20A168F-602A-4351-87BD-3718D06FA878}"/>
    <cellStyle name="Normal 28 3" xfId="5952" xr:uid="{C6BA8A30-10A6-4083-A385-509236C0234A}"/>
    <cellStyle name="Normal 28 4" xfId="5953" xr:uid="{0AC8ECFF-CA53-448E-836D-934F79AB083B}"/>
    <cellStyle name="Normal 28 5" xfId="5954" xr:uid="{4E7DD1E6-C4CE-4E97-9A86-FD8702FC5388}"/>
    <cellStyle name="Normal 28 6" xfId="5955" xr:uid="{A8BFD3D4-AC1E-4559-849C-A45E3FB3961D}"/>
    <cellStyle name="Normal 28 7" xfId="5956" xr:uid="{8CC24176-6D8B-46F3-AA1B-EF8E939EDCFA}"/>
    <cellStyle name="Normal 29" xfId="5957" xr:uid="{249809F3-CEBF-4DDA-A27B-A1724C035902}"/>
    <cellStyle name="Normal 29 2" xfId="5958" xr:uid="{60E90C71-89FC-4608-94D6-9D7E28394679}"/>
    <cellStyle name="Normal 3" xfId="7" xr:uid="{D44A80B4-2D6D-41CF-BCE7-7F0AF82414AB}"/>
    <cellStyle name="Normal 3 10" xfId="58" xr:uid="{14EAEDFF-E671-41A0-B907-55F940E759C2}"/>
    <cellStyle name="Normal 3 10 2" xfId="6695" xr:uid="{B375D10A-E03D-4FFD-868F-A774D6116BD7}"/>
    <cellStyle name="Normal 3 10 2 2" xfId="7502" xr:uid="{EFA7DED6-9FC5-4CF9-AAAD-7C12AC6BEC48}"/>
    <cellStyle name="Normal 3 10 2 2 2" xfId="9142" xr:uid="{6079E5A3-3C86-4A26-935E-3093F61A78B2}"/>
    <cellStyle name="Normal 3 10 2 3" xfId="8343" xr:uid="{55CFFF47-BAA3-4076-B766-3CDA31D16446}"/>
    <cellStyle name="Normal 3 10 3" xfId="6696" xr:uid="{125F6F7A-F795-4EC0-8FE4-E036CF7CA27F}"/>
    <cellStyle name="Normal 3 10 3 2" xfId="7503" xr:uid="{4C3C2928-5246-4215-AAC6-681BB0204589}"/>
    <cellStyle name="Normal 3 10 3 2 2" xfId="9143" xr:uid="{6AF91EB2-5994-4E29-9D97-03B22D32C353}"/>
    <cellStyle name="Normal 3 10 3 3" xfId="8344" xr:uid="{180EA9FB-6551-4CF7-B93D-3217DE6EDB3E}"/>
    <cellStyle name="Normal 3 10 4" xfId="6420" xr:uid="{E2C42DFA-5A38-4B3D-8547-A83896D95699}"/>
    <cellStyle name="Normal 3 10 4 2" xfId="7504" xr:uid="{E4CC21BC-27D5-4E3E-987A-D0B1E5EFC85F}"/>
    <cellStyle name="Normal 3 10 4 2 2" xfId="9144" xr:uid="{5C8656FF-69EE-4500-9460-64DD184AB543}"/>
    <cellStyle name="Normal 3 10 4 3" xfId="8127" xr:uid="{C5E81798-D77F-4E13-A3FE-D2D9C58D8195}"/>
    <cellStyle name="Normal 3 10 5" xfId="7092" xr:uid="{BAC85C7D-CEE0-4D68-B4D3-36ADDAD20F4C}"/>
    <cellStyle name="Normal 3 10 5 2" xfId="8732" xr:uid="{CE86FED4-4E39-4322-9A11-A2164F78E283}"/>
    <cellStyle name="Normal 3 10 6" xfId="7936" xr:uid="{5886024A-7DD0-448D-B0F1-B68EE10E2F69}"/>
    <cellStyle name="Normal 3 11" xfId="22" xr:uid="{5F6B329C-DDE7-497C-BEDF-2A36A0626B5C}"/>
    <cellStyle name="Normal 3 12" xfId="5959" xr:uid="{3F019B43-E26E-4BF7-88D7-D51B0D237B10}"/>
    <cellStyle name="Normal 3 13" xfId="5960" xr:uid="{E11D839F-FD52-4D17-9D15-3B43F1BED718}"/>
    <cellStyle name="Normal 3 14" xfId="5961" xr:uid="{D29B4A53-F9E5-446F-A11E-ACFA679199A2}"/>
    <cellStyle name="Normal 3 15" xfId="5962" xr:uid="{60698284-9052-4131-81FF-E20A2507019E}"/>
    <cellStyle name="Normal 3 16" xfId="5963" xr:uid="{2E3326B2-EF61-49C2-92FC-F3442E576DA7}"/>
    <cellStyle name="Normal 3 17" xfId="5964" xr:uid="{8668E01C-6C88-4619-BE7E-1BE2EFC5751F}"/>
    <cellStyle name="Normal 3 18" xfId="5965" xr:uid="{F23FC84B-EC01-4999-AD65-9192F13ED73E}"/>
    <cellStyle name="Normal 3 19" xfId="5966" xr:uid="{686BBC2D-88AF-4DD4-9A09-923B90923B49}"/>
    <cellStyle name="Normal 3 2" xfId="17" xr:uid="{22F21483-B286-4FCA-8857-35F6CD4D03EA}"/>
    <cellStyle name="Normal 3 2 2" xfId="13" xr:uid="{E5D734D3-3F46-490E-B5A0-E80594B0145F}"/>
    <cellStyle name="Normal 3 2 2 2" xfId="5967" xr:uid="{BBD2417D-14C9-4BDC-A7B7-9F09BDB5B8B3}"/>
    <cellStyle name="Normal 3 2 2 2 2" xfId="5968" xr:uid="{48006C1E-87B6-45A9-A8F2-C7F8ABF32E7E}"/>
    <cellStyle name="Normal 3 2 2 2 2 2" xfId="5969" xr:uid="{AED06552-05E6-43E3-9912-DAB3E52649F6}"/>
    <cellStyle name="Normal 3 2 2 2 2 2 2" xfId="6697" xr:uid="{78960A5C-A95E-4061-B7C2-1104BD0B253C}"/>
    <cellStyle name="Normal 3 2 2 2 2 2 2 2" xfId="7505" xr:uid="{57480ADC-9437-4B8F-B445-EF9D9098A1A4}"/>
    <cellStyle name="Normal 3 2 2 2 2 2 2 2 2" xfId="9145" xr:uid="{41D1A49B-2D8E-4E40-839E-520265949E16}"/>
    <cellStyle name="Normal 3 2 2 2 2 2 2 3" xfId="8345" xr:uid="{93D23CAC-0D87-4372-8707-4BAE52DD8138}"/>
    <cellStyle name="Normal 3 2 2 2 2 2 3" xfId="6698" xr:uid="{5E582764-F2E8-4B5D-94E9-AFE6A9579970}"/>
    <cellStyle name="Normal 3 2 2 2 2 2 3 2" xfId="7506" xr:uid="{F5E1E182-3BF0-4D0D-8AEC-415EC1E98315}"/>
    <cellStyle name="Normal 3 2 2 2 2 2 3 2 2" xfId="9146" xr:uid="{691F8A54-8E6B-4199-80B7-FCABE5F0B285}"/>
    <cellStyle name="Normal 3 2 2 2 2 2 3 3" xfId="8346" xr:uid="{3316C829-619E-40DA-A26E-DB8FDB6E1984}"/>
    <cellStyle name="Normal 3 2 2 2 2 2 4" xfId="6422" xr:uid="{1665ECD9-D415-4C13-BA71-7D0B4874CF58}"/>
    <cellStyle name="Normal 3 2 2 2 2 2 4 2" xfId="7507" xr:uid="{C5E2F795-3EA4-42DE-B3E0-89F2E1E8D8B3}"/>
    <cellStyle name="Normal 3 2 2 2 2 2 4 2 2" xfId="9147" xr:uid="{EE257DD6-65C8-4074-A9D3-8C50CBD8BB54}"/>
    <cellStyle name="Normal 3 2 2 2 2 2 4 3" xfId="8129" xr:uid="{CBC8E106-2D3C-4A5D-85BC-686988DC2640}"/>
    <cellStyle name="Normal 3 2 2 2 2 2 5" xfId="7094" xr:uid="{5F1F0570-1083-49E2-88C4-C8E520FFA600}"/>
    <cellStyle name="Normal 3 2 2 2 2 2 5 2" xfId="8734" xr:uid="{D1397067-90EC-4319-962A-11298895913C}"/>
    <cellStyle name="Normal 3 2 2 2 2 2 6" xfId="7938" xr:uid="{EC4E9D6F-0250-4907-87FE-C40757485F2F}"/>
    <cellStyle name="Normal 3 2 2 2 2 3" xfId="5970" xr:uid="{E1A6E2C6-9066-426F-A9D4-03FF6F10E8F1}"/>
    <cellStyle name="Normal 3 2 2 2 2 3 2" xfId="6699" xr:uid="{4AC62FF3-75A4-406C-922B-D06E61706907}"/>
    <cellStyle name="Normal 3 2 2 2 2 3 2 2" xfId="7508" xr:uid="{93E15F0F-BBDF-4992-A67F-3468F5AD87EF}"/>
    <cellStyle name="Normal 3 2 2 2 2 3 2 2 2" xfId="9148" xr:uid="{66931717-38AF-46C8-B52F-8EFABF2AF323}"/>
    <cellStyle name="Normal 3 2 2 2 2 3 2 3" xfId="8347" xr:uid="{C07A827D-8DEF-46CF-9454-FE777BE77B0C}"/>
    <cellStyle name="Normal 3 2 2 2 2 3 3" xfId="6700" xr:uid="{8DFA104B-6BFC-4A23-B9E5-B5493587FAC7}"/>
    <cellStyle name="Normal 3 2 2 2 2 3 3 2" xfId="7509" xr:uid="{153694E5-C27C-4A35-8B62-8CCB641FAE06}"/>
    <cellStyle name="Normal 3 2 2 2 2 3 3 2 2" xfId="9149" xr:uid="{B0A72B12-C7A7-4133-AF18-13AF394AF6CB}"/>
    <cellStyle name="Normal 3 2 2 2 2 3 3 3" xfId="8348" xr:uid="{8CA6238B-EF7C-4CC2-9F58-233A11C45F78}"/>
    <cellStyle name="Normal 3 2 2 2 2 3 4" xfId="6423" xr:uid="{91B27246-00F5-47CF-8950-25095629D852}"/>
    <cellStyle name="Normal 3 2 2 2 2 3 4 2" xfId="7510" xr:uid="{B677B985-19AA-4D32-9212-21073383A0E9}"/>
    <cellStyle name="Normal 3 2 2 2 2 3 4 2 2" xfId="9150" xr:uid="{E678F213-B281-4CAC-8D17-43AECDF20B6A}"/>
    <cellStyle name="Normal 3 2 2 2 2 3 4 3" xfId="8130" xr:uid="{2F4BE5A8-13FF-4065-97FF-AD140FCA9724}"/>
    <cellStyle name="Normal 3 2 2 2 2 3 5" xfId="7095" xr:uid="{9D769C54-E3A6-4882-8236-1CD729F99E84}"/>
    <cellStyle name="Normal 3 2 2 2 2 3 5 2" xfId="8735" xr:uid="{6090BE50-928D-41FC-AA30-59C8AB80EA4F}"/>
    <cellStyle name="Normal 3 2 2 2 2 3 6" xfId="7939" xr:uid="{10BC7844-023A-4129-AC51-B7425327AAB7}"/>
    <cellStyle name="Normal 3 2 2 2 2 4" xfId="5971" xr:uid="{0FD6027A-A838-49CC-81FA-0C547082981C}"/>
    <cellStyle name="Normal 3 2 2 2 2 4 2" xfId="6701" xr:uid="{B43C33C9-597D-470C-8633-A0C9FC321D58}"/>
    <cellStyle name="Normal 3 2 2 2 2 4 2 2" xfId="7511" xr:uid="{9F89DDAB-6C5F-4EB1-BFA0-5315D65779F4}"/>
    <cellStyle name="Normal 3 2 2 2 2 4 2 2 2" xfId="9151" xr:uid="{3D6C2F4B-5368-404A-ABDF-48CAC5D29AAB}"/>
    <cellStyle name="Normal 3 2 2 2 2 4 2 3" xfId="8349" xr:uid="{0C4D147C-41C4-4205-8CF0-DF1ECD86314B}"/>
    <cellStyle name="Normal 3 2 2 2 2 4 3" xfId="6702" xr:uid="{A45A1473-DE73-4137-89BB-0C03E9726DF0}"/>
    <cellStyle name="Normal 3 2 2 2 2 4 3 2" xfId="7512" xr:uid="{0AC71991-EB28-437D-BC2E-0C456BC267B9}"/>
    <cellStyle name="Normal 3 2 2 2 2 4 3 2 2" xfId="9152" xr:uid="{5E2D2854-FF2A-4CF1-9579-92A16DB9ADD0}"/>
    <cellStyle name="Normal 3 2 2 2 2 4 3 3" xfId="8350" xr:uid="{E1C0BF11-0713-4E8E-8374-D261E0DF4652}"/>
    <cellStyle name="Normal 3 2 2 2 2 4 4" xfId="6424" xr:uid="{0795A5CB-D4E1-4470-B199-54D519483497}"/>
    <cellStyle name="Normal 3 2 2 2 2 4 4 2" xfId="7513" xr:uid="{60DCA741-44D0-4E6C-8BD6-5108C1F74607}"/>
    <cellStyle name="Normal 3 2 2 2 2 4 4 2 2" xfId="9153" xr:uid="{ABC217BE-D997-45A3-AE20-B1BF3BBF3F03}"/>
    <cellStyle name="Normal 3 2 2 2 2 4 4 3" xfId="8131" xr:uid="{687572DE-C308-4E1E-B63E-D976CA39C924}"/>
    <cellStyle name="Normal 3 2 2 2 2 4 5" xfId="7096" xr:uid="{7639B93E-6EE9-4263-9540-114FD974CA71}"/>
    <cellStyle name="Normal 3 2 2 2 2 4 5 2" xfId="8736" xr:uid="{D9CA3049-1666-471C-A56A-69AA51E76DC1}"/>
    <cellStyle name="Normal 3 2 2 2 2 4 6" xfId="7940" xr:uid="{C3D56BA7-D4CF-4DBD-91AE-FD4EB06DB7A3}"/>
    <cellStyle name="Normal 3 2 2 2 3" xfId="5972" xr:uid="{E7645952-687E-46CD-9D7B-FD731D4DFBA7}"/>
    <cellStyle name="Normal 3 2 2 2 4" xfId="5973" xr:uid="{95356BA0-3B06-4ABB-B00F-A57E756F7C4B}"/>
    <cellStyle name="Normal 3 2 2 2 5" xfId="6703" xr:uid="{4D4A3764-225B-439B-889B-F26DBC88DA26}"/>
    <cellStyle name="Normal 3 2 2 2 5 2" xfId="7514" xr:uid="{865CF099-A407-4D74-B1CE-8B6A72512FC0}"/>
    <cellStyle name="Normal 3 2 2 2 5 2 2" xfId="9154" xr:uid="{3D362CE4-2056-480E-8C90-70887955C32F}"/>
    <cellStyle name="Normal 3 2 2 2 5 3" xfId="8351" xr:uid="{FBD2665A-AA21-407D-BFC1-D9A4D2A8DD10}"/>
    <cellStyle name="Normal 3 2 2 2 6" xfId="6704" xr:uid="{56C83DFC-1F8D-4CFE-928C-152E7DEEA0DA}"/>
    <cellStyle name="Normal 3 2 2 2 6 2" xfId="7515" xr:uid="{16048ED7-1924-4D0A-99C7-8C16F840B56B}"/>
    <cellStyle name="Normal 3 2 2 2 6 2 2" xfId="9155" xr:uid="{AC37396D-D12F-423A-B73A-88DE541904D4}"/>
    <cellStyle name="Normal 3 2 2 2 6 3" xfId="8352" xr:uid="{007F690E-30DB-4A70-8163-79A3DE83D274}"/>
    <cellStyle name="Normal 3 2 2 2 7" xfId="6421" xr:uid="{FDDD727B-D1F5-4F9F-A36D-29A4A4F0402D}"/>
    <cellStyle name="Normal 3 2 2 2 7 2" xfId="7516" xr:uid="{6DCE4602-8E39-4834-95FF-4140BC4FD0DE}"/>
    <cellStyle name="Normal 3 2 2 2 7 2 2" xfId="9156" xr:uid="{759B0E51-1FE5-4EB5-9F1A-DB92EA93F003}"/>
    <cellStyle name="Normal 3 2 2 2 7 3" xfId="8128" xr:uid="{3906D71A-5C2B-41C6-9EB5-B86FE2E8DEB0}"/>
    <cellStyle name="Normal 3 2 2 2 8" xfId="7093" xr:uid="{3B4543AC-0B43-45F2-A111-44F67E1AC30E}"/>
    <cellStyle name="Normal 3 2 2 2 8 2" xfId="8733" xr:uid="{E5E1D381-FFA8-4314-8EFE-6C2D23BA769C}"/>
    <cellStyle name="Normal 3 2 2 2 9" xfId="7937" xr:uid="{45B2EEA2-98D9-4B81-B72F-F3374FCEF911}"/>
    <cellStyle name="Normal 3 2 2 3" xfId="5974" xr:uid="{AED05D1C-3424-42D6-B926-21F554785370}"/>
    <cellStyle name="Normal 3 2 2 3 2" xfId="6705" xr:uid="{8D578C85-A051-42E2-B8C6-E10BB12BC3CB}"/>
    <cellStyle name="Normal 3 2 2 3 2 2" xfId="7517" xr:uid="{184F4053-115F-471E-A6F5-9CF3B719E03E}"/>
    <cellStyle name="Normal 3 2 2 3 2 2 2" xfId="9157" xr:uid="{93F65E56-FAF5-4B08-B4FC-27A4D4CE84B2}"/>
    <cellStyle name="Normal 3 2 2 3 2 3" xfId="8353" xr:uid="{1AB19AA4-529E-41A1-99DD-32BCBDFB8D2A}"/>
    <cellStyle name="Normal 3 2 2 3 3" xfId="6706" xr:uid="{DDF60E48-B4C4-4167-938F-328809E4FC39}"/>
    <cellStyle name="Normal 3 2 2 3 3 2" xfId="7518" xr:uid="{9F2F64AE-8CDF-494F-B3AC-3304E24AEFFE}"/>
    <cellStyle name="Normal 3 2 2 3 3 2 2" xfId="9158" xr:uid="{7E811423-D5E9-4165-96CE-B0875ED55904}"/>
    <cellStyle name="Normal 3 2 2 3 3 3" xfId="8354" xr:uid="{5FC4E7C8-7729-4D79-B550-9C6B05B2A8D9}"/>
    <cellStyle name="Normal 3 2 2 3 4" xfId="6425" xr:uid="{37F204C7-1F9A-4BA7-8457-8AB265F340BD}"/>
    <cellStyle name="Normal 3 2 2 3 4 2" xfId="7519" xr:uid="{CD663D28-0547-4596-AD75-E0C4077EDCF7}"/>
    <cellStyle name="Normal 3 2 2 3 4 2 2" xfId="9159" xr:uid="{38266974-C574-4470-9D76-DB2FE3A0D145}"/>
    <cellStyle name="Normal 3 2 2 3 4 3" xfId="8132" xr:uid="{EBE7728C-88C5-48B9-86CB-57C5E007C40A}"/>
    <cellStyle name="Normal 3 2 2 3 5" xfId="7097" xr:uid="{E91B4FCA-0871-49D9-AF29-962DAC90452B}"/>
    <cellStyle name="Normal 3 2 2 3 5 2" xfId="8737" xr:uid="{E3F34CA8-58F4-4E75-B9A5-0ED98E0AB54C}"/>
    <cellStyle name="Normal 3 2 2 3 6" xfId="7941" xr:uid="{908E7911-D19F-46E9-88A9-D24C06BA4E3F}"/>
    <cellStyle name="Normal 3 2 2 4" xfId="5975" xr:uid="{4A426D3B-DCE9-417C-B7A4-B412DE2BE009}"/>
    <cellStyle name="Normal 3 2 2 4 2" xfId="6707" xr:uid="{C7DBFB59-78B5-4C94-B443-0CF41B9D6EF6}"/>
    <cellStyle name="Normal 3 2 2 4 2 2" xfId="7520" xr:uid="{CE14F9CC-6CF1-426B-83BE-F30484FEFAD6}"/>
    <cellStyle name="Normal 3 2 2 4 2 2 2" xfId="9160" xr:uid="{1CF2417A-4E0C-46EE-8AD1-84DB7D69789C}"/>
    <cellStyle name="Normal 3 2 2 4 2 3" xfId="8355" xr:uid="{0BA5C40C-496B-4840-802F-C5904F7B3C82}"/>
    <cellStyle name="Normal 3 2 2 4 3" xfId="6708" xr:uid="{888F6441-3C52-44A2-9B98-B075310E07B6}"/>
    <cellStyle name="Normal 3 2 2 4 3 2" xfId="7521" xr:uid="{B9554327-D14B-4006-9BFE-C2FD4EF9BD77}"/>
    <cellStyle name="Normal 3 2 2 4 3 2 2" xfId="9161" xr:uid="{B90C475B-0BF0-423C-BD61-BAB077DD7975}"/>
    <cellStyle name="Normal 3 2 2 4 3 3" xfId="8356" xr:uid="{C3B4B0F1-AEE4-4C6C-95A0-8E90C98C8A6C}"/>
    <cellStyle name="Normal 3 2 2 4 4" xfId="6426" xr:uid="{A29C38E8-BBC8-4F62-9465-D7CA7E44B905}"/>
    <cellStyle name="Normal 3 2 2 4 4 2" xfId="7522" xr:uid="{D0B44355-BEDB-4B4A-A94B-18CAA134BD28}"/>
    <cellStyle name="Normal 3 2 2 4 4 2 2" xfId="9162" xr:uid="{F0BEDAC8-A5AE-458F-8F83-68241532B1EC}"/>
    <cellStyle name="Normal 3 2 2 4 4 3" xfId="8133" xr:uid="{0E0D7AEC-95C6-4439-BDEF-9FE350AB17DB}"/>
    <cellStyle name="Normal 3 2 2 4 5" xfId="7098" xr:uid="{4FA0DB9E-5F95-44D7-97E5-03A58734D020}"/>
    <cellStyle name="Normal 3 2 2 4 5 2" xfId="8738" xr:uid="{C468EAC3-ED48-4901-A6A1-040142EFAD07}"/>
    <cellStyle name="Normal 3 2 2 4 6" xfId="7942" xr:uid="{63B17B68-93E5-4DB1-90F6-E9EE531E9023}"/>
    <cellStyle name="Normal 3 2 2 5" xfId="5976" xr:uid="{BC3F2581-ABB8-4376-94F0-40F82F286DEB}"/>
    <cellStyle name="Normal 3 2 2 5 2" xfId="6709" xr:uid="{0C4E02F3-4696-4088-BC5C-35839CCAA15B}"/>
    <cellStyle name="Normal 3 2 2 5 2 2" xfId="7523" xr:uid="{C9231F4A-CFA9-4008-978B-324BC2530C8B}"/>
    <cellStyle name="Normal 3 2 2 5 2 2 2" xfId="9163" xr:uid="{BADF3D9D-C764-4917-8EBF-C3DA7455A771}"/>
    <cellStyle name="Normal 3 2 2 5 2 3" xfId="8357" xr:uid="{3E0C3BFE-52E1-4B64-A000-66647E540314}"/>
    <cellStyle name="Normal 3 2 2 5 3" xfId="6710" xr:uid="{4207E7E0-0955-47F0-9E2F-C14D53FC5A2A}"/>
    <cellStyle name="Normal 3 2 2 5 3 2" xfId="7524" xr:uid="{21238012-A6AA-4931-AE93-15B121A4A864}"/>
    <cellStyle name="Normal 3 2 2 5 3 2 2" xfId="9164" xr:uid="{09E4984B-B63A-4631-96A5-7388005F7BDB}"/>
    <cellStyle name="Normal 3 2 2 5 3 3" xfId="8358" xr:uid="{7A182342-3AAA-49F9-AF19-9935F75D3FF7}"/>
    <cellStyle name="Normal 3 2 2 5 4" xfId="6427" xr:uid="{8F7B5328-EC77-4CE4-ABA8-5D82BC45D056}"/>
    <cellStyle name="Normal 3 2 2 5 4 2" xfId="7525" xr:uid="{94AA235E-355F-4941-A78F-DF2AED66115E}"/>
    <cellStyle name="Normal 3 2 2 5 4 2 2" xfId="9165" xr:uid="{306A10B9-778A-490F-8249-36453A103DF9}"/>
    <cellStyle name="Normal 3 2 2 5 4 3" xfId="8134" xr:uid="{C1305E8C-824C-465A-B1DB-FE1F5BB348CD}"/>
    <cellStyle name="Normal 3 2 2 5 5" xfId="7099" xr:uid="{061A5184-F472-4B0D-88DB-04398DE1350C}"/>
    <cellStyle name="Normal 3 2 2 5 5 2" xfId="8739" xr:uid="{9D891009-7D78-4E7F-AA25-832129F518A8}"/>
    <cellStyle name="Normal 3 2 2 5 6" xfId="7943" xr:uid="{F52D2785-D788-41CD-ACCF-76C6AFA2EDBE}"/>
    <cellStyle name="Normal 3 2 3" xfId="73" xr:uid="{177CC08F-37A0-45FB-9629-C4790613D242}"/>
    <cellStyle name="Normal 3 2 3 2" xfId="5978" xr:uid="{56A357ED-7EC4-4B52-AFBF-21D91BB408CD}"/>
    <cellStyle name="Normal 3 2 3 2 2" xfId="5979" xr:uid="{782E6583-CFB8-4EB9-A59F-1BA8AED74968}"/>
    <cellStyle name="Normal 3 2 3 2 3" xfId="6711" xr:uid="{4CA6F29F-8349-42DB-877D-22034F711565}"/>
    <cellStyle name="Normal 3 2 3 2 3 2" xfId="7526" xr:uid="{00582D34-AA2D-4A0A-9193-3206854CDF4F}"/>
    <cellStyle name="Normal 3 2 3 2 3 2 2" xfId="9166" xr:uid="{118E97BB-5300-49D7-A3C8-00F806A021D3}"/>
    <cellStyle name="Normal 3 2 3 2 3 3" xfId="8359" xr:uid="{C64C3794-A730-4FCC-935A-2CC130354945}"/>
    <cellStyle name="Normal 3 2 3 2 4" xfId="6712" xr:uid="{141D9EA9-7A90-4A53-BDC1-A36F99E43509}"/>
    <cellStyle name="Normal 3 2 3 2 4 2" xfId="7527" xr:uid="{5F856E4D-8392-41D8-9A47-7BDC5BE3F4F9}"/>
    <cellStyle name="Normal 3 2 3 2 4 2 2" xfId="9167" xr:uid="{7E6B4B3A-C225-4784-BE41-888381F62C5A}"/>
    <cellStyle name="Normal 3 2 3 2 4 3" xfId="8360" xr:uid="{A217AFD0-99D3-4751-8127-2844B52C8F78}"/>
    <cellStyle name="Normal 3 2 3 2 5" xfId="6428" xr:uid="{60C332EE-16F6-4378-8D40-E503D3EB4DDB}"/>
    <cellStyle name="Normal 3 2 3 2 5 2" xfId="7528" xr:uid="{CC14BEA0-5969-43B1-B91E-F9A48A630428}"/>
    <cellStyle name="Normal 3 2 3 2 5 2 2" xfId="9168" xr:uid="{E01800CE-D7F4-44B1-AE4C-848240706D44}"/>
    <cellStyle name="Normal 3 2 3 2 5 3" xfId="8135" xr:uid="{1AC149CB-A614-4BF8-89DB-7C59C801A6F3}"/>
    <cellStyle name="Normal 3 2 3 2 6" xfId="7100" xr:uid="{50EEC00B-E4E1-4CAD-AE97-657B9DBC44F1}"/>
    <cellStyle name="Normal 3 2 3 2 6 2" xfId="8740" xr:uid="{4D18A7D2-D9EB-49CB-A248-4DC836778C8C}"/>
    <cellStyle name="Normal 3 2 3 2 7" xfId="7944" xr:uid="{2E62AFCF-320F-4D0B-86E9-457B83C0F4AC}"/>
    <cellStyle name="Normal 3 2 3 2_1_solis_MK Nr 595 " xfId="5980" xr:uid="{CFC3B1FC-F178-4382-A349-D7FA76E76985}"/>
    <cellStyle name="Normal 3 2 3 3" xfId="5981" xr:uid="{AB0D67F8-05D3-48CA-A129-0B7B6F33B5AA}"/>
    <cellStyle name="Normal 3 2 3 3 2" xfId="6713" xr:uid="{E42A5BFE-2AE7-4C38-BD1D-0D5BEE6E6219}"/>
    <cellStyle name="Normal 3 2 3 3 2 2" xfId="7529" xr:uid="{86FEFEC8-ABCB-495F-BE11-90FCF7381089}"/>
    <cellStyle name="Normal 3 2 3 3 2 2 2" xfId="9169" xr:uid="{7EFF0DC5-F363-499F-AAAC-532E3A935EFB}"/>
    <cellStyle name="Normal 3 2 3 3 2 3" xfId="8361" xr:uid="{0F1A8DF1-92C6-4D2F-BF83-3A0A00918429}"/>
    <cellStyle name="Normal 3 2 3 3 3" xfId="6714" xr:uid="{BF3CE786-3CD0-4F18-86CE-2C343E4B7CAA}"/>
    <cellStyle name="Normal 3 2 3 3 3 2" xfId="7530" xr:uid="{B106E323-19E5-4996-A4FC-F6FD56A5D463}"/>
    <cellStyle name="Normal 3 2 3 3 3 2 2" xfId="9170" xr:uid="{5798653B-0ECF-49F3-A823-1C8ECACAF908}"/>
    <cellStyle name="Normal 3 2 3 3 3 3" xfId="8362" xr:uid="{D09F5594-338C-4F83-A1A4-800EC2C633BB}"/>
    <cellStyle name="Normal 3 2 3 3 4" xfId="6429" xr:uid="{AC131DE8-435C-40AE-8393-B2639F9402CF}"/>
    <cellStyle name="Normal 3 2 3 3 4 2" xfId="7531" xr:uid="{32DF5298-1FF0-490B-86D0-FB8B009C6A42}"/>
    <cellStyle name="Normal 3 2 3 3 4 2 2" xfId="9171" xr:uid="{F73C88E7-0A58-4F3C-AB0A-1A1A8F317F57}"/>
    <cellStyle name="Normal 3 2 3 3 4 3" xfId="8136" xr:uid="{59CB8246-A454-4937-83FA-2B338BC69F96}"/>
    <cellStyle name="Normal 3 2 3 3 5" xfId="7101" xr:uid="{CECA1D3F-CCDB-4AAA-93BF-95453A5BD5C1}"/>
    <cellStyle name="Normal 3 2 3 3 5 2" xfId="8741" xr:uid="{11EE6B71-9F65-4B21-9F1A-FE31F307CE33}"/>
    <cellStyle name="Normal 3 2 3 3 6" xfId="7945" xr:uid="{0618EC4C-CE2B-4C66-B8E4-36889289A531}"/>
    <cellStyle name="Normal 3 2 3 4" xfId="5982" xr:uid="{D3EBC480-D755-455D-98F3-A24C570AD8EF}"/>
    <cellStyle name="Normal 3 2 3 4 2" xfId="6715" xr:uid="{B5977274-9FD9-409E-99C9-32FEBE9D90CB}"/>
    <cellStyle name="Normal 3 2 3 4 2 2" xfId="7532" xr:uid="{4DFE533F-1447-4C37-8F8B-C6D10287AC09}"/>
    <cellStyle name="Normal 3 2 3 4 2 2 2" xfId="9172" xr:uid="{A3FB607A-CBA7-45BF-AA06-213D0FD31B4C}"/>
    <cellStyle name="Normal 3 2 3 4 2 3" xfId="8363" xr:uid="{1768282F-2847-46CF-8F4E-49114F035115}"/>
    <cellStyle name="Normal 3 2 3 4 3" xfId="6716" xr:uid="{2CB1D19C-7F77-498F-AAAA-0918D3430F3B}"/>
    <cellStyle name="Normal 3 2 3 4 3 2" xfId="7533" xr:uid="{CD400BFC-BBD1-4DC4-A83E-E4AE913DD194}"/>
    <cellStyle name="Normal 3 2 3 4 3 2 2" xfId="9173" xr:uid="{A88B85B0-BC67-42FA-AB3A-81B85C16C2C0}"/>
    <cellStyle name="Normal 3 2 3 4 3 3" xfId="8364" xr:uid="{82674C76-5685-4A5E-B3DB-BC90A268CAC0}"/>
    <cellStyle name="Normal 3 2 3 4 4" xfId="6430" xr:uid="{AD80F27D-02C1-4129-BF8B-53625DBB0892}"/>
    <cellStyle name="Normal 3 2 3 4 4 2" xfId="7534" xr:uid="{5C4F7461-1349-4877-89B5-B9CF073F46B5}"/>
    <cellStyle name="Normal 3 2 3 4 4 2 2" xfId="9174" xr:uid="{C52A5D41-9B8A-486A-B5E3-0AF54B9FC42D}"/>
    <cellStyle name="Normal 3 2 3 4 4 3" xfId="8137" xr:uid="{43A61111-3ED2-4BE2-8101-35AFDC434DDC}"/>
    <cellStyle name="Normal 3 2 3 4 5" xfId="7102" xr:uid="{7DBC87E5-A017-4FF4-B20A-37A67C7368CA}"/>
    <cellStyle name="Normal 3 2 3 4 5 2" xfId="8742" xr:uid="{38DF1C34-F79C-405E-B70C-3E57609B56B7}"/>
    <cellStyle name="Normal 3 2 3 4 6" xfId="7946" xr:uid="{A62D5DC7-5642-4B6A-8C19-FC4D7D90B947}"/>
    <cellStyle name="Normal 3 2 3 5" xfId="5983" xr:uid="{3460A961-DDCE-49A3-B5D0-9713117434DE}"/>
    <cellStyle name="Normal 3 2 3 6" xfId="5977" xr:uid="{5D400337-C8B9-4923-82EA-90AF2E5F57F8}"/>
    <cellStyle name="Normal 3 2 3 7" xfId="19408" xr:uid="{C79EAFBD-C541-4C56-B888-205E091AC93B}"/>
    <cellStyle name="Normal 3 2 3_1_solis_MK Nr 595 " xfId="5984" xr:uid="{333045D8-BF33-402B-A1E6-6BEF11E7B5AE}"/>
    <cellStyle name="Normal 3 2 4" xfId="5985" xr:uid="{B6AEE005-CADF-49E3-8604-79ED341E58E7}"/>
    <cellStyle name="Normal 3 2 5" xfId="5986" xr:uid="{7E2B79B1-EAC0-4F77-A1CE-BF0EEFD1339F}"/>
    <cellStyle name="Normal 3 2 6" xfId="6717" xr:uid="{2C3DE5CB-F728-4CD7-BC2D-06E67EF50D95}"/>
    <cellStyle name="Normal 3 20" xfId="5987" xr:uid="{D80486CB-AC21-4A41-8F69-6A4E5F20FFC4}"/>
    <cellStyle name="Normal 3 21" xfId="5988" xr:uid="{5BE9B3FC-8587-4A2D-80B0-1D96F8EBF7FC}"/>
    <cellStyle name="Normal 3 22" xfId="5989" xr:uid="{F71C2160-F3D0-40BA-9065-204C338A559F}"/>
    <cellStyle name="Normal 3 23" xfId="5990" xr:uid="{3C3E0C37-297D-4C40-BFE0-73FB23D3DA99}"/>
    <cellStyle name="Normal 3 24" xfId="5991" xr:uid="{3265C78F-08F1-46CE-9E31-95EF873EF0D2}"/>
    <cellStyle name="Normal 3 24 10" xfId="5992" xr:uid="{478EB5D3-2090-4672-B204-A2ED9FA6EC65}"/>
    <cellStyle name="Normal 3 24 11" xfId="5993" xr:uid="{EA675C65-1788-4CEF-B3F9-637C8AB89F74}"/>
    <cellStyle name="Normal 3 24 12" xfId="5994" xr:uid="{33DA168F-FD41-42EE-9792-B34A695FF773}"/>
    <cellStyle name="Normal 3 24 13" xfId="5995" xr:uid="{27155FE1-D3CF-408D-BF15-8D32DF75B38B}"/>
    <cellStyle name="Normal 3 24 14" xfId="5996" xr:uid="{C1E14A3A-14DF-49E5-B0D6-70BA928B7EBC}"/>
    <cellStyle name="Normal 3 24 15" xfId="5997" xr:uid="{8A69FEEE-4E51-4ADC-A035-531D3D4387EA}"/>
    <cellStyle name="Normal 3 24 16" xfId="5998" xr:uid="{C22FD3C7-D104-4DE9-BE9E-66A8EA06F9EB}"/>
    <cellStyle name="Normal 3 24 17" xfId="5999" xr:uid="{4373EA67-4934-4E2E-812E-6C8C4555F42E}"/>
    <cellStyle name="Normal 3 24 18" xfId="6000" xr:uid="{1B47E28F-90D5-4B0F-BBBA-9986EA3C646D}"/>
    <cellStyle name="Normal 3 24 19" xfId="6001" xr:uid="{7BD4A56B-50F1-409B-B634-4F5CEDB582A8}"/>
    <cellStyle name="Normal 3 24 2" xfId="6002" xr:uid="{83868CCA-08C4-43BF-9C4D-A4CC03290024}"/>
    <cellStyle name="Normal 3 24 20" xfId="6003" xr:uid="{A24D90EC-E6EE-4114-9342-A22C275CEDC1}"/>
    <cellStyle name="Normal 3 24 3" xfId="6004" xr:uid="{BEA28B07-7275-4988-A98F-74F2613D0A90}"/>
    <cellStyle name="Normal 3 24 4" xfId="6005" xr:uid="{C3FEE350-3692-45CB-8162-7F0390450939}"/>
    <cellStyle name="Normal 3 24 5" xfId="6006" xr:uid="{FC48E880-A6FD-4FCA-B9DC-0ABBD8CB2285}"/>
    <cellStyle name="Normal 3 24 6" xfId="6007" xr:uid="{6556F051-404B-479F-B731-2BAE1619A911}"/>
    <cellStyle name="Normal 3 24 7" xfId="6008" xr:uid="{218BD6E8-5CC5-469F-AE72-3DD29697E9D5}"/>
    <cellStyle name="Normal 3 24 8" xfId="6009" xr:uid="{D6682579-16F5-45BC-AB23-BEB09C0FBBE9}"/>
    <cellStyle name="Normal 3 24 9" xfId="6010" xr:uid="{8FA78EC1-ADF3-44BC-84AB-6C776178E990}"/>
    <cellStyle name="Normal 3 25" xfId="6011" xr:uid="{E1AB6F17-0B02-48F3-A935-AE78A33DD1F6}"/>
    <cellStyle name="Normal 3 26" xfId="6012" xr:uid="{520F6FED-A692-4C64-A168-03CEE4AEB2EC}"/>
    <cellStyle name="Normal 3 27" xfId="6013" xr:uid="{74FD97C5-D5A8-47AB-9CCE-4A34441D6639}"/>
    <cellStyle name="Normal 3 28" xfId="6014" xr:uid="{9A86563D-8E80-4A9A-AD3E-FDA27AE1DB7A}"/>
    <cellStyle name="Normal 3 29" xfId="6015" xr:uid="{93151226-6CA1-448F-A1C9-53BD80BC7CDE}"/>
    <cellStyle name="Normal 3 3" xfId="8" xr:uid="{EAAEE0DC-BC0B-45B1-BE36-5F2FA3DB2584}"/>
    <cellStyle name="Normal 3 3 2" xfId="34" xr:uid="{AE10721B-F43C-4289-89AD-2A30A0C8E260}"/>
    <cellStyle name="Normal 3 3 2 2" xfId="7535" xr:uid="{064C9105-F971-4D76-8F48-C0F10DB4F33E}"/>
    <cellStyle name="Normal 3 3 2 2 2" xfId="9175" xr:uid="{7104DE2F-428F-4AE4-B943-24CC0BBBC8FA}"/>
    <cellStyle name="Normal 3 3 2 3" xfId="8176" xr:uid="{EB25590F-0AB8-42D4-820E-E2F52DCE5366}"/>
    <cellStyle name="Normal 3 3 3" xfId="6" xr:uid="{57522002-2FBB-4A1A-9DAA-6D87ED8F73E3}"/>
    <cellStyle name="Normal 3 3 3 2" xfId="6016" xr:uid="{7341CD1E-11DC-4537-8D5B-05BE2AF991D9}"/>
    <cellStyle name="Normal 3 3 3 4" xfId="77" xr:uid="{EEC4023F-6C6B-43AD-8B4C-A84250EB8CE9}"/>
    <cellStyle name="Normal 3 3 4" xfId="19407" xr:uid="{5AD09591-5614-488E-B548-95BFC4750EA4}"/>
    <cellStyle name="Normal 3 30" xfId="6017" xr:uid="{2C1BC381-0723-4FCA-AEAD-423A7863F43A}"/>
    <cellStyle name="Normal 3 31" xfId="6018" xr:uid="{3070C536-C8C0-47DA-BA74-3CF0FE3CE048}"/>
    <cellStyle name="Normal 3 32" xfId="6019" xr:uid="{0F0A3E42-F2EE-4563-BAB0-E1A958E0ACF3}"/>
    <cellStyle name="Normal 3 33" xfId="6020" xr:uid="{EB75D0DE-3D5C-400C-9DB6-F0D4792A3267}"/>
    <cellStyle name="Normal 3 34" xfId="6021" xr:uid="{B1B3B50E-D0DB-400A-971E-93A708CD2A09}"/>
    <cellStyle name="Normal 3 35" xfId="6022" xr:uid="{EC344A2A-7B40-4C13-8439-DF9C18A437A3}"/>
    <cellStyle name="Normal 3 36" xfId="6023" xr:uid="{0E4C8D19-2FCD-46FA-824C-52223D8390B9}"/>
    <cellStyle name="Normal 3 37" xfId="6024" xr:uid="{0B7E60CC-D5BA-4E64-8686-84D85C18D39A}"/>
    <cellStyle name="Normal 3 38" xfId="6025" xr:uid="{21EA97D7-BE24-4ECD-BB07-66ED5B8C01E8}"/>
    <cellStyle name="Normal 3 38 10" xfId="6026" xr:uid="{AAA12D96-C6C9-4126-BF89-10507B5EB0D0}"/>
    <cellStyle name="Normal 3 38 11" xfId="6027" xr:uid="{D014624C-4386-42EE-8D88-4ACE1091AE4B}"/>
    <cellStyle name="Normal 3 38 12" xfId="6028" xr:uid="{393B4C58-66EC-4C1F-9CB8-8AD01366BD7E}"/>
    <cellStyle name="Normal 3 38 13" xfId="6029" xr:uid="{4D9A67AC-6DF8-4A9B-8479-E8D4EC95BEF0}"/>
    <cellStyle name="Normal 3 38 14" xfId="6030" xr:uid="{C8676248-B0A1-4831-964E-073BD3F1F36E}"/>
    <cellStyle name="Normal 3 38 15" xfId="6031" xr:uid="{06B57E61-C146-4BA8-811A-D1E251BAC38D}"/>
    <cellStyle name="Normal 3 38 16" xfId="6032" xr:uid="{2F119819-C704-4844-8794-A9B1584C9209}"/>
    <cellStyle name="Normal 3 38 17" xfId="6033" xr:uid="{E47ECF8F-22FF-48B3-A3B8-5F9E96371F96}"/>
    <cellStyle name="Normal 3 38 18" xfId="6034" xr:uid="{D03D55C3-A452-4B33-A9DD-ABAE7E9AB60F}"/>
    <cellStyle name="Normal 3 38 19" xfId="6035" xr:uid="{2FA8C354-F85B-43C2-B17D-7EAB7540EAA6}"/>
    <cellStyle name="Normal 3 38 2" xfId="6036" xr:uid="{3DBF5452-DE1C-44B5-97D8-5D2DF5FDB258}"/>
    <cellStyle name="Normal 3 38 3" xfId="6037" xr:uid="{80E047F6-673E-4448-9483-D1E6738E9672}"/>
    <cellStyle name="Normal 3 38 4" xfId="6038" xr:uid="{39D262F4-F736-43A5-A27F-252EDBDC398F}"/>
    <cellStyle name="Normal 3 38 5" xfId="6039" xr:uid="{304257C5-A32E-4E42-AFA7-4A698A76E950}"/>
    <cellStyle name="Normal 3 38 6" xfId="6040" xr:uid="{7DE6EAC8-7D2B-40E1-95C0-54A2DAB8BFA3}"/>
    <cellStyle name="Normal 3 38 7" xfId="6041" xr:uid="{1ED1B808-409F-4EB4-8D1B-1CF248B645D4}"/>
    <cellStyle name="Normal 3 38 8" xfId="6042" xr:uid="{6E3C84D0-350A-46F9-B983-33CE3DD669B9}"/>
    <cellStyle name="Normal 3 38 9" xfId="6043" xr:uid="{A93C3F06-74FB-4F7F-8788-241ADC723843}"/>
    <cellStyle name="Normal 3 39" xfId="6044" xr:uid="{3E55EEE0-8228-4A8D-BD8F-A81639CB1E72}"/>
    <cellStyle name="Normal 3 39 10" xfId="6045" xr:uid="{F0333A14-C1D9-41D5-98D7-75F97AC14C2C}"/>
    <cellStyle name="Normal 3 39 11" xfId="6046" xr:uid="{827DBC58-8556-4557-89C6-88DB1D8D84DD}"/>
    <cellStyle name="Normal 3 39 12" xfId="6047" xr:uid="{B20D3C7A-155B-4A28-B96F-CF720E524B10}"/>
    <cellStyle name="Normal 3 39 13" xfId="6048" xr:uid="{2EAD0B3F-F71F-46AB-A1E4-C37310CD7A91}"/>
    <cellStyle name="Normal 3 39 14" xfId="6049" xr:uid="{92AFD5D3-870A-4F67-B944-812100A87E2A}"/>
    <cellStyle name="Normal 3 39 15" xfId="6050" xr:uid="{8890EFBE-95B7-48A1-816A-42F3C0109EE6}"/>
    <cellStyle name="Normal 3 39 16" xfId="6051" xr:uid="{A0C9E668-B459-41D2-A3D6-E1C0658CFF22}"/>
    <cellStyle name="Normal 3 39 17" xfId="6052" xr:uid="{32CF7AEA-04FF-43EB-86E0-1420A974E683}"/>
    <cellStyle name="Normal 3 39 18" xfId="6053" xr:uid="{2817D8B8-CC75-4A07-846D-01291CF29AA0}"/>
    <cellStyle name="Normal 3 39 19" xfId="6054" xr:uid="{2D2E07CA-5CDE-4A68-AEEC-4C400AC9BDF0}"/>
    <cellStyle name="Normal 3 39 2" xfId="6055" xr:uid="{5B144A1B-B9EB-421E-A5D2-84DE0E690231}"/>
    <cellStyle name="Normal 3 39 3" xfId="6056" xr:uid="{1E01B5DB-CB08-49A8-ABD6-CA110AFCE71D}"/>
    <cellStyle name="Normal 3 39 4" xfId="6057" xr:uid="{718B7029-FF17-416A-AB65-689C13ED14E2}"/>
    <cellStyle name="Normal 3 39 5" xfId="6058" xr:uid="{118FEC26-FB72-4F33-9E1D-B81E47160913}"/>
    <cellStyle name="Normal 3 39 6" xfId="6059" xr:uid="{F6F3CCAE-EC8D-47E3-BAD3-60A12A5C6CE8}"/>
    <cellStyle name="Normal 3 39 7" xfId="6060" xr:uid="{CBAABFAC-F2F3-4A2B-B5CB-A367EC5295C4}"/>
    <cellStyle name="Normal 3 39 8" xfId="6061" xr:uid="{B4807349-C358-485D-BB2F-2066812CA28D}"/>
    <cellStyle name="Normal 3 39 9" xfId="6062" xr:uid="{1374A857-BCEB-45EB-8721-62A4B6868B31}"/>
    <cellStyle name="Normal 3 4" xfId="32" xr:uid="{143CDC77-8672-460A-A4B2-86BB56D07B95}"/>
    <cellStyle name="Normal 3 4 2" xfId="6718" xr:uid="{3452C9FF-7EBB-4CDC-B7E6-10CA87A2536B}"/>
    <cellStyle name="Normal 3 4 2 2" xfId="7536" xr:uid="{A0D4B7E7-977F-4492-B726-A5A97DA9D0E9}"/>
    <cellStyle name="Normal 3 4 2 2 2" xfId="9176" xr:uid="{AA00E18D-5D3F-4D0D-B76C-764568606149}"/>
    <cellStyle name="Normal 3 4 2 3" xfId="8365" xr:uid="{8ACF2834-BA21-4CAF-991D-48F3D545C65C}"/>
    <cellStyle name="Normal 3 4 3" xfId="6719" xr:uid="{A8A9CEFA-3090-44F8-A60A-065B7E59F2D4}"/>
    <cellStyle name="Normal 3 4 3 2" xfId="7537" xr:uid="{1B0292CF-773F-4D1C-8BD7-46CC57C95CF2}"/>
    <cellStyle name="Normal 3 4 3 2 2" xfId="9177" xr:uid="{8D5CCA59-809D-4C2A-9B6E-52A1CAB1C26F}"/>
    <cellStyle name="Normal 3 4 3 3" xfId="8366" xr:uid="{FEC56A7C-7A31-4673-B3E5-652B3EF38DED}"/>
    <cellStyle name="Normal 3 4 4" xfId="6431" xr:uid="{2D063B19-5ED2-480C-B717-ABA9CAFAFD05}"/>
    <cellStyle name="Normal 3 4 4 2" xfId="7538" xr:uid="{07C04D88-28CA-46FA-9FA7-DAA38F86F5AC}"/>
    <cellStyle name="Normal 3 4 4 2 2" xfId="9178" xr:uid="{FF18596B-D032-43C9-BBB2-4D6697731143}"/>
    <cellStyle name="Normal 3 4 4 3" xfId="8138" xr:uid="{50621B44-C996-4C68-9AE9-4B4CE9FE6955}"/>
    <cellStyle name="Normal 3 4 5" xfId="7103" xr:uid="{BBF32349-FE02-4C78-A4E5-F2F9B6FA74A2}"/>
    <cellStyle name="Normal 3 4 5 2" xfId="8743" xr:uid="{2829EB48-4AB2-4F0A-89FE-AA79B790BBF5}"/>
    <cellStyle name="Normal 3 4 6" xfId="7947" xr:uid="{6137AB28-0FD9-46FB-94BE-D69D0DFFCF0C}"/>
    <cellStyle name="Normal 3 40" xfId="6337" xr:uid="{794682A5-C705-4D22-93C8-575DE89D9749}"/>
    <cellStyle name="Normal 3 40 2" xfId="6720" xr:uid="{55925ED8-171E-400D-A8C4-7931973A6D1A}"/>
    <cellStyle name="Normal 3 40 2 2" xfId="7539" xr:uid="{CC752E79-88C8-4AF3-B2AF-2F4012B4587B}"/>
    <cellStyle name="Normal 3 40 2 2 2" xfId="9179" xr:uid="{C86B99A8-F121-4752-BEBD-06AFA1D13FDA}"/>
    <cellStyle name="Normal 3 40 2 3" xfId="8367" xr:uid="{49D882A1-981B-40C7-91B6-695649D25700}"/>
    <cellStyle name="Normal 3 40 3" xfId="6721" xr:uid="{C7C6CBBE-D1AA-4DF4-9E42-62A9C4B3C9A1}"/>
    <cellStyle name="Normal 3 40 3 2" xfId="7540" xr:uid="{502B0607-EC18-4955-873F-EC476081F096}"/>
    <cellStyle name="Normal 3 40 3 2 2" xfId="9180" xr:uid="{1204F159-F2F7-4AEE-BE52-2A783BB81289}"/>
    <cellStyle name="Normal 3 40 3 3" xfId="8368" xr:uid="{543BFBDE-9AE0-4ECE-B1EB-BB4A46F848FF}"/>
    <cellStyle name="Normal 3 40 4" xfId="6460" xr:uid="{094D0BC7-D649-4AF8-93B6-639F1022BF6B}"/>
    <cellStyle name="Normal 3 40 4 2" xfId="7541" xr:uid="{C1256386-EA71-48EE-B50B-B610246D5764}"/>
    <cellStyle name="Normal 3 40 4 2 2" xfId="9181" xr:uid="{2C094367-5DD6-4F98-9CE4-A1E0A6AE4C60}"/>
    <cellStyle name="Normal 3 40 4 3" xfId="8165" xr:uid="{1802A854-6342-4696-B522-15550C9A1E3A}"/>
    <cellStyle name="Normal 3 40 5" xfId="7207" xr:uid="{BAE210CC-8393-466F-8C5B-EE2FFEF9C645}"/>
    <cellStyle name="Normal 3 40 5 2" xfId="8847" xr:uid="{DBA0D9DC-6EE8-430A-94B7-5415B87E84C4}"/>
    <cellStyle name="Normal 3 41" xfId="6461" xr:uid="{E78DF297-B53C-482D-870B-4B7A895455F7}"/>
    <cellStyle name="Normal 3 42" xfId="6462" xr:uid="{C6F5A1BB-F805-40BC-A0B0-C98D0CBE8D7B}"/>
    <cellStyle name="Normal 3 43" xfId="6459" xr:uid="{5C9B1948-F602-4300-BDEB-4425CA9045F0}"/>
    <cellStyle name="Normal 3 44" xfId="6938" xr:uid="{21691A6C-EAF3-495C-ABDC-EA0674449F8C}"/>
    <cellStyle name="Normal 3 45" xfId="9821" xr:uid="{A1AE5C78-7036-441E-9F8A-3C6792BE1F02}"/>
    <cellStyle name="Normal 3 46" xfId="157" xr:uid="{CAA11EC8-87C7-42FF-BE3F-C85F3BDB4A29}"/>
    <cellStyle name="Normal 3 47" xfId="19406" xr:uid="{B35BA03A-99DF-4A29-8DF5-F0B1464E7FB3}"/>
    <cellStyle name="Normal 3 5" xfId="5" xr:uid="{F512C83E-9B74-40CE-9DFB-5CCE9D6343A0}"/>
    <cellStyle name="Normal 3 5 2" xfId="46" xr:uid="{96BF0287-DB8C-45AA-ABDC-CD9F60DF185C}"/>
    <cellStyle name="Normal 3 5 2 2" xfId="76" xr:uid="{97AB4E03-D1A8-4FD1-A8C6-3512A269C245}"/>
    <cellStyle name="Normal 3 5 3" xfId="61" xr:uid="{33EE4E80-9F51-4ACC-A46F-2292EB286FA3}"/>
    <cellStyle name="Normal 3 5 4" xfId="6063" xr:uid="{C3DF6CC1-0DA0-4E9A-BBD4-3B6FC847A600}"/>
    <cellStyle name="Normal 3 6" xfId="60" xr:uid="{485BACA0-6B68-484B-9A6A-361002703CDE}"/>
    <cellStyle name="Normal 3 6 2" xfId="6722" xr:uid="{38E4ED0D-DED3-4C21-8002-46B87C4097B4}"/>
    <cellStyle name="Normal 3 6 2 2" xfId="7542" xr:uid="{B56AE0FD-8040-405F-883B-828A5AE27D87}"/>
    <cellStyle name="Normal 3 6 2 2 2" xfId="9182" xr:uid="{3D2FC536-51F1-4A3F-89E0-31604AA88415}"/>
    <cellStyle name="Normal 3 6 2 3" xfId="8369" xr:uid="{511AF39E-DA76-4422-BE1A-18A89E78AC66}"/>
    <cellStyle name="Normal 3 6 3" xfId="6723" xr:uid="{5A28BC90-44C1-4A4F-86E3-47D4CF7315BE}"/>
    <cellStyle name="Normal 3 6 3 2" xfId="7543" xr:uid="{7C50BFFC-DB84-4A86-A326-C2102EE2AAD5}"/>
    <cellStyle name="Normal 3 6 3 2 2" xfId="9183" xr:uid="{5B667CB2-694A-4EB6-8DF0-0A434A391743}"/>
    <cellStyle name="Normal 3 6 3 3" xfId="8370" xr:uid="{E64F362A-CD60-4560-8E6E-9E7B2C337F65}"/>
    <cellStyle name="Normal 3 6 4" xfId="6432" xr:uid="{EF3F5F18-0F76-4436-A329-6D867FCE71D9}"/>
    <cellStyle name="Normal 3 6 4 2" xfId="7544" xr:uid="{2784E476-288E-4D8C-9529-D875A3151539}"/>
    <cellStyle name="Normal 3 6 4 2 2" xfId="9184" xr:uid="{4DB4732E-BBDD-4923-8FB9-AC5981644F4D}"/>
    <cellStyle name="Normal 3 6 4 3" xfId="8139" xr:uid="{37A5EEAC-EE30-4C3D-89E3-695714C3477A}"/>
    <cellStyle name="Normal 3 6 5" xfId="7104" xr:uid="{C4718881-FFAB-4B69-B781-AA70C99A989D}"/>
    <cellStyle name="Normal 3 6 5 2" xfId="8744" xr:uid="{0E095F0B-CE5E-4531-B6D1-AEB8D95B0FD7}"/>
    <cellStyle name="Normal 3 6 6" xfId="7948" xr:uid="{331D08E9-0617-4097-8FBE-B157F40ED6C8}"/>
    <cellStyle name="Normal 3 6 7" xfId="6064" xr:uid="{605998E7-E9D9-44BB-9FAA-92B09C1CA60A}"/>
    <cellStyle name="Normal 3 7" xfId="6065" xr:uid="{73EE69A0-581D-4F75-9591-2A3AC22D1900}"/>
    <cellStyle name="Normal 3 7 2" xfId="6724" xr:uid="{A519D6B2-FDAD-47D6-BEFC-BC1440920B8E}"/>
    <cellStyle name="Normal 3 7 2 2" xfId="7545" xr:uid="{8A63CAD5-F552-409D-8CCB-1A31596D4244}"/>
    <cellStyle name="Normal 3 7 2 2 2" xfId="9185" xr:uid="{03B87A9B-C991-4AFC-A53A-B1961A6D3E4D}"/>
    <cellStyle name="Normal 3 7 2 3" xfId="8371" xr:uid="{6F27FABA-A287-4FBE-9E15-30F07E8DA644}"/>
    <cellStyle name="Normal 3 7 3" xfId="6725" xr:uid="{CEE785DB-A2A1-4232-868C-6847EFE4578F}"/>
    <cellStyle name="Normal 3 7 3 2" xfId="7546" xr:uid="{E502134C-F4E6-43FB-B1AA-33A97EC6D576}"/>
    <cellStyle name="Normal 3 7 3 2 2" xfId="9186" xr:uid="{80C1EC79-68C2-4986-9FD6-1D055DFD5BAB}"/>
    <cellStyle name="Normal 3 7 3 3" xfId="8372" xr:uid="{77B568A3-20C2-40A2-AAAD-1E6CC1E62838}"/>
    <cellStyle name="Normal 3 7 4" xfId="6433" xr:uid="{EB271185-C812-4767-BB7E-83652EA21052}"/>
    <cellStyle name="Normal 3 7 4 2" xfId="7547" xr:uid="{EA937697-3628-4B72-AD39-B205AC11BA7D}"/>
    <cellStyle name="Normal 3 7 4 2 2" xfId="9187" xr:uid="{BDD45239-9875-4205-8079-DF440B85CDA1}"/>
    <cellStyle name="Normal 3 7 4 3" xfId="8140" xr:uid="{B64BE601-E533-4064-A103-BD6AE3757C7D}"/>
    <cellStyle name="Normal 3 7 5" xfId="7105" xr:uid="{28B1C51C-E722-4918-A54C-16C582A5BA8C}"/>
    <cellStyle name="Normal 3 7 5 2" xfId="8745" xr:uid="{01CEE9B1-54C1-4262-8524-A15D44C8595D}"/>
    <cellStyle name="Normal 3 7 6" xfId="7949" xr:uid="{79D4A904-FD17-463B-9B6F-133ACF49D338}"/>
    <cellStyle name="Normal 3 8" xfId="6066" xr:uid="{6E5843C6-D95D-4AD1-8330-A9E9489F4B5D}"/>
    <cellStyle name="Normal 3 8 2" xfId="6726" xr:uid="{8F4EF6AA-7A19-431E-B8E0-7F507E9D7B08}"/>
    <cellStyle name="Normal 3 8 2 2" xfId="7548" xr:uid="{9AF54B4E-F99D-48AE-8AD1-516509EA396E}"/>
    <cellStyle name="Normal 3 8 2 2 2" xfId="9188" xr:uid="{DE64A21D-9517-45B2-987E-FB8C18D90754}"/>
    <cellStyle name="Normal 3 8 2 3" xfId="8373" xr:uid="{BA8A5F5D-8C5F-4DE6-A1C5-BE6F92CA333B}"/>
    <cellStyle name="Normal 3 8 3" xfId="6727" xr:uid="{4CB2E876-E49D-4C06-BD3D-91CDD7C408E7}"/>
    <cellStyle name="Normal 3 8 3 2" xfId="7549" xr:uid="{3975D620-6F35-4FF4-8C81-8F07DDE8E5C5}"/>
    <cellStyle name="Normal 3 8 3 2 2" xfId="9189" xr:uid="{7093269E-6F48-4807-A151-9C2C65A90044}"/>
    <cellStyle name="Normal 3 8 3 3" xfId="8374" xr:uid="{D9C66162-FB2D-4D0C-AAE8-AE68C8E41187}"/>
    <cellStyle name="Normal 3 8 4" xfId="6434" xr:uid="{CB29AA69-AD4C-4070-9816-9BCED380AA84}"/>
    <cellStyle name="Normal 3 8 4 2" xfId="7550" xr:uid="{08854142-FDDA-4EF5-BDAC-3981727B057F}"/>
    <cellStyle name="Normal 3 8 4 2 2" xfId="9190" xr:uid="{0B23BAC5-5DE8-4334-9FA8-782F9C41EAB9}"/>
    <cellStyle name="Normal 3 8 4 3" xfId="8141" xr:uid="{291E2FED-91CD-4D0D-8C9C-5313336EA037}"/>
    <cellStyle name="Normal 3 8 5" xfId="7106" xr:uid="{9DDC3577-FEFB-45D5-8149-D47D15308F3C}"/>
    <cellStyle name="Normal 3 8 5 2" xfId="8746" xr:uid="{B1FB6715-B092-4EE4-A0C1-B6640ADB3128}"/>
    <cellStyle name="Normal 3 8 6" xfId="7950" xr:uid="{51EA282B-28B6-44BF-8F9D-4C4F28F56423}"/>
    <cellStyle name="Normal 3 9" xfId="6067" xr:uid="{D6CA6922-2091-41A3-B3F9-DA993C1B8E51}"/>
    <cellStyle name="Normal 3 9 2" xfId="6728" xr:uid="{0EF873A5-57EA-4FA9-B1B8-CB5E2C248601}"/>
    <cellStyle name="Normal 3 9 2 2" xfId="7551" xr:uid="{99074682-4B03-4C3E-9B10-B9186C71EE44}"/>
    <cellStyle name="Normal 3 9 2 2 2" xfId="9191" xr:uid="{24C28F4A-7FEF-455D-9D2D-A4FB43E5414C}"/>
    <cellStyle name="Normal 3 9 2 3" xfId="8375" xr:uid="{2E94D4D1-2CBE-4CB8-93A6-6AA42B76B1F2}"/>
    <cellStyle name="Normal 3 9 3" xfId="6729" xr:uid="{7BF5F776-0C7E-4A82-8D76-DA41EFAE8FAC}"/>
    <cellStyle name="Normal 3 9 3 2" xfId="7552" xr:uid="{9F6666AB-A449-436B-ACB9-B3292BBE5ED9}"/>
    <cellStyle name="Normal 3 9 3 2 2" xfId="9192" xr:uid="{643ED940-4E1E-46FC-9009-42BAF71A30E7}"/>
    <cellStyle name="Normal 3 9 3 3" xfId="8376" xr:uid="{08C182F8-8CEA-4C32-816B-DC616EDBDDB8}"/>
    <cellStyle name="Normal 3 9 4" xfId="6435" xr:uid="{C6B211DA-C804-492E-8A79-FD0459469F09}"/>
    <cellStyle name="Normal 3 9 4 2" xfId="7553" xr:uid="{B1737F85-31ED-477A-A68F-485076D5D403}"/>
    <cellStyle name="Normal 3 9 4 2 2" xfId="9193" xr:uid="{CA687C68-035C-48D5-BA97-1A424523AD09}"/>
    <cellStyle name="Normal 3 9 4 3" xfId="8142" xr:uid="{231C5A94-AE10-46D3-9EF3-DB12A1CC9583}"/>
    <cellStyle name="Normal 3 9 5" xfId="7107" xr:uid="{C039C27C-11CD-4F90-89DE-30EAFF26F860}"/>
    <cellStyle name="Normal 3 9 5 2" xfId="8747" xr:uid="{F9E4A29B-B5CE-4F39-878E-78445224D6B2}"/>
    <cellStyle name="Normal 3 9 6" xfId="7951" xr:uid="{80E178B4-4084-44E6-B98E-1A0D980D36D2}"/>
    <cellStyle name="Normal 30" xfId="6068" xr:uid="{E983B82B-528F-423C-955D-92F95023EDF3}"/>
    <cellStyle name="Normal 30 2" xfId="6069" xr:uid="{479A9E6D-9A2D-4A2C-934A-CAFA952B9CCE}"/>
    <cellStyle name="Normal 30 3" xfId="6070" xr:uid="{48FCC89B-804D-41BC-9C30-CEF5EF8A9CD1}"/>
    <cellStyle name="Normal 30_1_solis_MK Nr 595 " xfId="6071" xr:uid="{15AC46EC-59E5-45F8-B9BF-8D3905CD4D20}"/>
    <cellStyle name="Normal 31" xfId="6072" xr:uid="{AFC44C14-DE93-4574-8878-71B834624F5F}"/>
    <cellStyle name="Normal 32" xfId="6073" xr:uid="{B425887A-88ED-47DD-87ED-48E1EE8425E5}"/>
    <cellStyle name="Normal 32 2" xfId="6074" xr:uid="{168AFB44-0C6E-4DD4-B518-4F2EAD6AD055}"/>
    <cellStyle name="Normal 32 2 2" xfId="6730" xr:uid="{9A5A7C28-374F-4CC3-BF98-A75EE4B0FDD6}"/>
    <cellStyle name="Normal 32 2 2 2" xfId="7554" xr:uid="{56780678-E59C-4571-9E59-CA46CEBB4097}"/>
    <cellStyle name="Normal 32 2 2 2 2" xfId="9194" xr:uid="{C44BCAE8-DE0F-4226-AD70-A2C2754D58A1}"/>
    <cellStyle name="Normal 32 2 2 3" xfId="8377" xr:uid="{8CB18A2A-6B22-4966-8A70-D1307AD7DF5E}"/>
    <cellStyle name="Normal 32 2 3" xfId="6731" xr:uid="{FAC6FFF0-2068-48AF-8289-2B2A7B73817B}"/>
    <cellStyle name="Normal 32 2 3 2" xfId="7555" xr:uid="{03878B8B-30DC-4CDF-B011-1373619C6B53}"/>
    <cellStyle name="Normal 32 2 3 2 2" xfId="9195" xr:uid="{372B42C9-1AB7-4BF1-BB1D-D29B90BA80C8}"/>
    <cellStyle name="Normal 32 2 3 3" xfId="8378" xr:uid="{235FE66F-1342-413C-9A8A-67AA7D7FA54F}"/>
    <cellStyle name="Normal 32 2 4" xfId="6437" xr:uid="{4505703D-CED9-4F0A-94F5-DF52E614C89F}"/>
    <cellStyle name="Normal 32 2 4 2" xfId="7556" xr:uid="{BBB84CF6-0331-4FF2-A818-3177E250B0C4}"/>
    <cellStyle name="Normal 32 2 4 2 2" xfId="9196" xr:uid="{B47BEB53-5419-49EA-B50F-A0BBF257DF81}"/>
    <cellStyle name="Normal 32 2 4 3" xfId="8144" xr:uid="{58BCA19B-B07E-4605-9C72-A36449EDDA93}"/>
    <cellStyle name="Normal 32 2 5" xfId="7109" xr:uid="{BAEB0296-CFCB-4DD1-8CEE-EDCF127EEAE4}"/>
    <cellStyle name="Normal 32 2 5 2" xfId="8749" xr:uid="{F56BD6A0-99C6-4A1A-A511-A6C0AA20E7B6}"/>
    <cellStyle name="Normal 32 2 6" xfId="7953" xr:uid="{1C7E1E9C-9DF2-4E74-9853-161A5EED9250}"/>
    <cellStyle name="Normal 32 3" xfId="6075" xr:uid="{26FA32DF-0570-46C6-BDE7-DDF4FE892743}"/>
    <cellStyle name="Normal 32 3 2" xfId="6732" xr:uid="{31B8ED4C-7A38-4E1A-8F70-12BCD8A20D66}"/>
    <cellStyle name="Normal 32 3 2 2" xfId="7557" xr:uid="{FD4EDE25-D85D-4771-8941-DCF1EB647C01}"/>
    <cellStyle name="Normal 32 3 2 2 2" xfId="9197" xr:uid="{791673B9-38E7-429F-A54E-DC93758333A2}"/>
    <cellStyle name="Normal 32 3 2 3" xfId="8379" xr:uid="{647858BC-9D92-4609-BBEC-17A0E861B526}"/>
    <cellStyle name="Normal 32 3 3" xfId="6733" xr:uid="{5E22C9D8-938C-43C7-94D1-65996F2FC4B7}"/>
    <cellStyle name="Normal 32 3 3 2" xfId="7558" xr:uid="{1E066427-1E3E-4EB7-80FD-B5B305EA2261}"/>
    <cellStyle name="Normal 32 3 3 2 2" xfId="9198" xr:uid="{292595C5-E608-4506-BCBA-9A52724326E3}"/>
    <cellStyle name="Normal 32 3 3 3" xfId="8380" xr:uid="{490C8A49-6EDB-4411-BEDC-355F808309E3}"/>
    <cellStyle name="Normal 32 3 4" xfId="6438" xr:uid="{6CE8B977-9ABA-4F4E-BCF1-4589E17A11A0}"/>
    <cellStyle name="Normal 32 3 4 2" xfId="7559" xr:uid="{C99F2F84-FA62-44EC-95BF-214814E01990}"/>
    <cellStyle name="Normal 32 3 4 2 2" xfId="9199" xr:uid="{01E09CF7-A5E6-4AAE-82DD-0A85BFC559E6}"/>
    <cellStyle name="Normal 32 3 4 3" xfId="8145" xr:uid="{8D03FB66-0A4F-460C-AB8B-27EF8B140DFA}"/>
    <cellStyle name="Normal 32 3 5" xfId="7110" xr:uid="{B6112316-766D-4782-B7DE-BE03EDB2E22B}"/>
    <cellStyle name="Normal 32 3 5 2" xfId="8750" xr:uid="{B1BEC471-BD4C-4F6C-8195-1300ECACAAA9}"/>
    <cellStyle name="Normal 32 3 6" xfId="7954" xr:uid="{9F4F1A9C-45D4-435D-A16C-CBB46F770FCD}"/>
    <cellStyle name="Normal 32 4" xfId="6076" xr:uid="{AF6EAC91-A40D-4FA2-9546-CC73618C532D}"/>
    <cellStyle name="Normal 32 4 2" xfId="6734" xr:uid="{874C74D8-8A89-4F6B-BF18-D81DC04279F9}"/>
    <cellStyle name="Normal 32 4 2 2" xfId="7560" xr:uid="{E917176B-B14F-496A-BFDE-8F10E483FBB6}"/>
    <cellStyle name="Normal 32 4 2 2 2" xfId="9200" xr:uid="{96D2E300-66D1-4914-B66C-3C136E2428B6}"/>
    <cellStyle name="Normal 32 4 2 3" xfId="8381" xr:uid="{081D5FDF-7D8E-477D-9648-C9F95F657A66}"/>
    <cellStyle name="Normal 32 4 3" xfId="6735" xr:uid="{E7D35ED1-48F1-47D2-A8A5-400F464B6E28}"/>
    <cellStyle name="Normal 32 4 3 2" xfId="7561" xr:uid="{E97CD2D2-E720-466E-85B0-57F460E0FF0B}"/>
    <cellStyle name="Normal 32 4 3 2 2" xfId="9201" xr:uid="{B0B3C183-CF3E-4091-9855-3FB3B98158EB}"/>
    <cellStyle name="Normal 32 4 3 3" xfId="8382" xr:uid="{CAB58F5B-38D8-43E3-9440-F9E00A51F96C}"/>
    <cellStyle name="Normal 32 4 4" xfId="6439" xr:uid="{060528DE-0FDF-4982-9D06-38524FDC4961}"/>
    <cellStyle name="Normal 32 4 4 2" xfId="7562" xr:uid="{9AE89608-41D4-4E9C-94CC-EF2EDEF8A2B4}"/>
    <cellStyle name="Normal 32 4 4 2 2" xfId="9202" xr:uid="{A01990F6-5F7B-47D7-B502-B42C940DE710}"/>
    <cellStyle name="Normal 32 4 4 3" xfId="8146" xr:uid="{835A258E-BE38-4C8D-BCD7-A18CBB94C648}"/>
    <cellStyle name="Normal 32 4 5" xfId="7111" xr:uid="{60077168-410A-4F67-A952-6095C5A6A1D2}"/>
    <cellStyle name="Normal 32 4 5 2" xfId="8751" xr:uid="{02C7F083-2B95-40CF-B5A6-2D4AE20EF60B}"/>
    <cellStyle name="Normal 32 4 6" xfId="7955" xr:uid="{A2710D0D-D624-4526-85C9-E6E9308B7301}"/>
    <cellStyle name="Normal 32 5" xfId="6736" xr:uid="{91595836-3672-4C6F-ACE5-076FE44738D8}"/>
    <cellStyle name="Normal 32 5 2" xfId="7563" xr:uid="{987B2AA8-1730-40DB-89CD-C5E18AA9D701}"/>
    <cellStyle name="Normal 32 5 2 2" xfId="9203" xr:uid="{60D3E404-F96A-40E3-8B8B-98927AEF34F8}"/>
    <cellStyle name="Normal 32 5 3" xfId="8383" xr:uid="{2ACD3DB8-0154-4C0F-B4F0-0E0580EAE808}"/>
    <cellStyle name="Normal 32 6" xfId="6737" xr:uid="{D2FE0A1C-8411-4BA9-AA01-023E1FF5A095}"/>
    <cellStyle name="Normal 32 6 2" xfId="7564" xr:uid="{6E1EE157-897D-4993-8188-391F19EE00EF}"/>
    <cellStyle name="Normal 32 6 2 2" xfId="9204" xr:uid="{9426B43F-796E-4B2D-B2F1-16DFB7D2BEC1}"/>
    <cellStyle name="Normal 32 6 3" xfId="8384" xr:uid="{881EA8FB-3A52-4C31-AE17-C4668476CB78}"/>
    <cellStyle name="Normal 32 7" xfId="6436" xr:uid="{36FC2FD8-0081-443E-A822-73D0B22F8F93}"/>
    <cellStyle name="Normal 32 7 2" xfId="7565" xr:uid="{D33A8EFA-4901-4AA6-972F-AE10FE4483B4}"/>
    <cellStyle name="Normal 32 7 2 2" xfId="9205" xr:uid="{47BE831D-72D3-46FB-9294-CA7CA61CB479}"/>
    <cellStyle name="Normal 32 7 3" xfId="8143" xr:uid="{2C73DBAE-BB5F-45D4-8769-E5190C9DF525}"/>
    <cellStyle name="Normal 32 8" xfId="7108" xr:uid="{018A4300-01F7-4D5B-9B68-40064CA0FBDA}"/>
    <cellStyle name="Normal 32 8 2" xfId="8748" xr:uid="{52D6655E-9F6A-49FB-8AC7-C11E57729D75}"/>
    <cellStyle name="Normal 32 9" xfId="7952" xr:uid="{FE447595-D091-4A5F-8B65-BFC6514D5E4A}"/>
    <cellStyle name="Normal 33" xfId="6077" xr:uid="{7186DE0C-CFB5-4633-8FEE-F8FA5F4D95E0}"/>
    <cellStyle name="Normal 33 2" xfId="6738" xr:uid="{0D8AC553-A2FF-4BA1-BC94-EF10B6141646}"/>
    <cellStyle name="Normal 33 2 2" xfId="7566" xr:uid="{D9B34E0B-0556-4E2B-AFC2-3A639C38DD0C}"/>
    <cellStyle name="Normal 33 2 2 2" xfId="9206" xr:uid="{EC1C5649-0884-4B3E-A357-2AFBCB63BE2A}"/>
    <cellStyle name="Normal 33 2 3" xfId="8385" xr:uid="{22831805-22D7-4413-92F8-CC7134763277}"/>
    <cellStyle name="Normal 33 3" xfId="6739" xr:uid="{F8F02D83-3117-4FDE-9AE1-72CFE13799D9}"/>
    <cellStyle name="Normal 33 3 2" xfId="7567" xr:uid="{FF6D1A71-2B0C-4AE0-82E3-D8E39FB23ADA}"/>
    <cellStyle name="Normal 33 3 2 2" xfId="9207" xr:uid="{B257F868-727A-4D20-A56E-154963FCBDF5}"/>
    <cellStyle name="Normal 33 3 3" xfId="8386" xr:uid="{303DB0C8-7EF1-46AD-861D-7982768FE17B}"/>
    <cellStyle name="Normal 33 4" xfId="6440" xr:uid="{CB5CD795-50D6-469B-8A84-A493BD60A485}"/>
    <cellStyle name="Normal 33 4 2" xfId="7568" xr:uid="{F28F027D-C426-49AA-8E3F-16BA728E1F5F}"/>
    <cellStyle name="Normal 33 4 2 2" xfId="9208" xr:uid="{E043AC55-7F6D-4D0E-87A7-CFF999079BEC}"/>
    <cellStyle name="Normal 33 4 3" xfId="8147" xr:uid="{6F9608F1-F292-4591-BD99-7837A8B9808F}"/>
    <cellStyle name="Normal 33 5" xfId="7112" xr:uid="{F670B2BC-E8C2-48FE-88CE-A64D5A00AD21}"/>
    <cellStyle name="Normal 33 5 2" xfId="8752" xr:uid="{1F3C8521-3ABE-4553-8EAC-07E4C3A7F4F1}"/>
    <cellStyle name="Normal 33 6" xfId="7956" xr:uid="{991AA479-2F76-4656-9F32-BDF3F7227817}"/>
    <cellStyle name="Normal 34" xfId="90" xr:uid="{FE451D8E-0A57-4FFC-9EF2-141AC358A699}"/>
    <cellStyle name="Normal 34 2" xfId="6513" xr:uid="{D03A96D8-A712-4652-9C3B-3716E81A6744}"/>
    <cellStyle name="Normal 35" xfId="83" xr:uid="{D2137A78-4A45-440C-8D83-05DAC6A9C2B9}"/>
    <cellStyle name="Normal 35 2" xfId="6514" xr:uid="{B38A4024-9527-44A4-816D-C9C046894822}"/>
    <cellStyle name="Normal 36" xfId="118" xr:uid="{C5BFDA4F-1D86-480A-BC32-2F21B50DC8C7}"/>
    <cellStyle name="Normal 36 2" xfId="6515" xr:uid="{25145D23-56A6-4466-91E3-58CDB43E2F04}"/>
    <cellStyle name="Normal 37" xfId="145" xr:uid="{678B842C-44A5-4005-BF1D-C91451D06FAD}"/>
    <cellStyle name="Normal 37 2" xfId="6516" xr:uid="{2A9AF079-4A06-4CD8-8886-8CEDB2022CC0}"/>
    <cellStyle name="Normal 38" xfId="6078" xr:uid="{7BBC8CB2-6707-4048-B88F-E1B3A3C1C8FC}"/>
    <cellStyle name="Normal 38 2" xfId="6740" xr:uid="{F1F24738-9B13-4B2F-B853-51FCB9B9AA93}"/>
    <cellStyle name="Normal 38 2 2" xfId="7569" xr:uid="{EF2702BE-C9CE-4CAC-8212-1E62FC612974}"/>
    <cellStyle name="Normal 38 2 2 2" xfId="9209" xr:uid="{68B1B8FB-673A-46BC-BE8A-381809A84881}"/>
    <cellStyle name="Normal 38 2 3" xfId="8387" xr:uid="{6423538C-B9EE-4EE1-BB88-CFAF4FEDA6F2}"/>
    <cellStyle name="Normal 38 3" xfId="6741" xr:uid="{9B0769B2-022A-4F0E-AB99-CA7B1DA21CFC}"/>
    <cellStyle name="Normal 38 3 2" xfId="7570" xr:uid="{036F67FE-66E2-4D2D-A7F6-6EE1A502C565}"/>
    <cellStyle name="Normal 38 3 2 2" xfId="9210" xr:uid="{C59D978E-AA13-427F-A5D8-6EFE20D118D3}"/>
    <cellStyle name="Normal 38 3 3" xfId="8388" xr:uid="{18354441-9753-426B-BE58-0A66A20E88AB}"/>
    <cellStyle name="Normal 38 4" xfId="6441" xr:uid="{E19A82C2-F240-4C3A-B265-A708DC3DB033}"/>
    <cellStyle name="Normal 38 4 2" xfId="7571" xr:uid="{9523BB95-69E8-46C1-9884-6A635A4EB87B}"/>
    <cellStyle name="Normal 38 4 2 2" xfId="9211" xr:uid="{1E05A15A-E7BA-4BDD-8EB9-DAF4B941E1F4}"/>
    <cellStyle name="Normal 38 4 3" xfId="8148" xr:uid="{4B359B0D-1BA0-49E4-BF16-1A0FC89D8196}"/>
    <cellStyle name="Normal 38 5" xfId="7113" xr:uid="{965A4420-1ABE-4AF9-8DB3-745457B04D02}"/>
    <cellStyle name="Normal 38 5 2" xfId="8753" xr:uid="{AE20C80B-2032-4337-98BC-3DE8D3B4D4A3}"/>
    <cellStyle name="Normal 38 6" xfId="7957" xr:uid="{EB79F4DC-3F00-4458-BCF7-1809FD3312F4}"/>
    <cellStyle name="Normal 39" xfId="6079" xr:uid="{30B50125-2EEE-4992-B016-D9E37DBBC272}"/>
    <cellStyle name="Normal 39 2" xfId="6742" xr:uid="{E6848B5B-2C3B-416C-BA78-BA22CE2A7ABE}"/>
    <cellStyle name="Normal 39 2 2" xfId="7572" xr:uid="{F63662E2-3CEF-4EC7-89F0-17823C26EF09}"/>
    <cellStyle name="Normal 39 2 2 2" xfId="9212" xr:uid="{4ECF2E76-6A59-419C-9450-D43F1A4DB429}"/>
    <cellStyle name="Normal 39 2 3" xfId="8389" xr:uid="{28D4B066-5156-433D-9F3C-D438CA9272F4}"/>
    <cellStyle name="Normal 39 3" xfId="6743" xr:uid="{E0EA7396-5746-48A8-8A25-2D7DC464E63B}"/>
    <cellStyle name="Normal 39 3 2" xfId="7573" xr:uid="{AA3DDAF5-348C-4D33-B149-C16076827124}"/>
    <cellStyle name="Normal 39 3 2 2" xfId="9213" xr:uid="{D7043240-D586-4AB4-A10E-D1AF97C5E352}"/>
    <cellStyle name="Normal 39 3 3" xfId="8390" xr:uid="{E19B57AD-40F3-406F-B451-487FE5D53F17}"/>
    <cellStyle name="Normal 39 4" xfId="6442" xr:uid="{D451F653-DF34-4212-94DB-6E5B0142CF21}"/>
    <cellStyle name="Normal 39 4 2" xfId="7574" xr:uid="{D53DD4B9-FB3C-451C-9F7C-FA03897A6B2B}"/>
    <cellStyle name="Normal 39 4 2 2" xfId="9214" xr:uid="{DDE3F27B-753A-4D87-A536-488C2BBDD3F9}"/>
    <cellStyle name="Normal 39 4 3" xfId="8149" xr:uid="{92B85209-E499-4941-9B2F-69090360B4F3}"/>
    <cellStyle name="Normal 39 5" xfId="7114" xr:uid="{F6FC1F46-3101-4041-8AA9-020A45404895}"/>
    <cellStyle name="Normal 39 5 2" xfId="8754" xr:uid="{5163B301-F6A9-4576-AB83-753C74B1DEA1}"/>
    <cellStyle name="Normal 39 6" xfId="7958" xr:uid="{168C87C7-5B3A-433D-B9E4-C46BC062C49F}"/>
    <cellStyle name="Normal 39 9" xfId="12" xr:uid="{D8A606BE-8C24-48C8-85A4-E55050EA7098}"/>
    <cellStyle name="Normal 4" xfId="1" xr:uid="{351356A8-06D2-46FC-A584-B28A0F1218E6}"/>
    <cellStyle name="Normal 4 10" xfId="6080" xr:uid="{5BA35A8F-2539-42FD-84DE-641EA42C7E77}"/>
    <cellStyle name="Normal 4 11" xfId="6081" xr:uid="{4305243A-E822-4262-A375-67579DD5AC71}"/>
    <cellStyle name="Normal 4 12" xfId="6082" xr:uid="{31AEDA4A-52F8-4051-9036-FAA7B71AC7D1}"/>
    <cellStyle name="Normal 4 13" xfId="6083" xr:uid="{7B36350C-3217-4FA5-B482-ADA8C5EB6F45}"/>
    <cellStyle name="Normal 4 14" xfId="6084" xr:uid="{3F2D9232-6757-499D-B627-FBF5BF7E7E64}"/>
    <cellStyle name="Normal 4 15" xfId="6085" xr:uid="{64CD9592-34FC-4CF7-BB3B-788F763510DA}"/>
    <cellStyle name="Normal 4 16" xfId="6086" xr:uid="{734AA3F6-EFC4-4A97-9159-87ADC95AF5BE}"/>
    <cellStyle name="Normal 4 17" xfId="6087" xr:uid="{DC844425-F216-4C1F-AB76-85CE180C29FC}"/>
    <cellStyle name="Normal 4 18" xfId="6088" xr:uid="{E23FC01F-67C9-4C2D-B996-ED0A273CE9E1}"/>
    <cellStyle name="Normal 4 18 10" xfId="6089" xr:uid="{988044EB-4289-478F-A044-FFEDD0EE90CF}"/>
    <cellStyle name="Normal 4 18 11" xfId="6090" xr:uid="{9B7883D5-A577-4137-9F24-957B993FCB8B}"/>
    <cellStyle name="Normal 4 18 12" xfId="6091" xr:uid="{3E2B872B-D55C-4835-B2FD-4D748DA31A3B}"/>
    <cellStyle name="Normal 4 18 13" xfId="6092" xr:uid="{E2F1EE1A-995D-4266-AB6D-973D6FE47F5D}"/>
    <cellStyle name="Normal 4 18 14" xfId="6093" xr:uid="{716C2F0B-B602-425C-BD19-193DC3EE5802}"/>
    <cellStyle name="Normal 4 18 15" xfId="6094" xr:uid="{8F5F5B05-CCD3-47F1-BEF1-76E1993918D4}"/>
    <cellStyle name="Normal 4 18 16" xfId="6095" xr:uid="{785DAB06-5144-48D9-BB44-4651CCF05E87}"/>
    <cellStyle name="Normal 4 18 17" xfId="6096" xr:uid="{4BE3F10B-A30E-4C2D-B66A-B5F07C4FA6C8}"/>
    <cellStyle name="Normal 4 18 18" xfId="6097" xr:uid="{CD1AD3DD-69FA-477E-9366-8C1671CE6316}"/>
    <cellStyle name="Normal 4 18 19" xfId="6098" xr:uid="{65BE88E6-670D-4EC2-ACB2-5680A572C8D0}"/>
    <cellStyle name="Normal 4 18 2" xfId="6099" xr:uid="{E93B0451-99F0-4B4A-AB2A-FC8C2E4D3F21}"/>
    <cellStyle name="Normal 4 18 20" xfId="6100" xr:uid="{10FE8BBD-5E9B-4621-AC8E-3CD186D72376}"/>
    <cellStyle name="Normal 4 18 3" xfId="6101" xr:uid="{C05ACDA1-12A9-4796-BFA0-EF7FBCDB407C}"/>
    <cellStyle name="Normal 4 18 4" xfId="6102" xr:uid="{9EEAF14A-4612-436E-8948-12DCF990F3AD}"/>
    <cellStyle name="Normal 4 18 5" xfId="6103" xr:uid="{173A14AD-A350-4E28-85D2-0F5FC06BB94A}"/>
    <cellStyle name="Normal 4 18 6" xfId="6104" xr:uid="{2FFD2717-210E-4052-93CF-E5689DF1530F}"/>
    <cellStyle name="Normal 4 18 7" xfId="6105" xr:uid="{18E66B4C-FF2B-4FC0-ADCA-02621FB265FC}"/>
    <cellStyle name="Normal 4 18 8" xfId="6106" xr:uid="{E86D43A9-217B-47D5-A8FB-953D76D9D67D}"/>
    <cellStyle name="Normal 4 18 9" xfId="6107" xr:uid="{1F9EA33B-F8FB-4AF1-8A3D-774D75B29CCD}"/>
    <cellStyle name="Normal 4 19" xfId="6108" xr:uid="{C34B2979-54D8-46FD-A38C-781688CDCC0E}"/>
    <cellStyle name="Normal 4 2" xfId="29" xr:uid="{9FDF6B7F-5E22-4859-BD93-EC08A4E56EFE}"/>
    <cellStyle name="Normal 4 2 2" xfId="6463" xr:uid="{4942D80F-1778-4F46-B299-9C6E97E33267}"/>
    <cellStyle name="Normal 4 2 3" xfId="6443" xr:uid="{DA1FE806-7097-44CA-B0B3-B8F56A645455}"/>
    <cellStyle name="Normal 4 2 3 2" xfId="7575" xr:uid="{320A87BB-F88D-4CFB-B728-6C61CAC570B1}"/>
    <cellStyle name="Normal 4 2 3 2 2" xfId="9215" xr:uid="{41FE6002-68E4-4010-8658-624D9F80C2C9}"/>
    <cellStyle name="Normal 4 2 3 3" xfId="8150" xr:uid="{A35C17F3-319F-40DC-A5E6-3AFCE465278E}"/>
    <cellStyle name="Normal 4 2 4" xfId="7115" xr:uid="{D8233371-8CA2-4092-BAED-D98F4F9FEF5D}"/>
    <cellStyle name="Normal 4 2 4 2" xfId="8755" xr:uid="{EFAB7CC7-534F-4349-8C9F-679621E08E8D}"/>
    <cellStyle name="Normal 4 2 5" xfId="7766" xr:uid="{ACF151F4-6FB1-4381-890C-E0F222642EB6}"/>
    <cellStyle name="Normal 4 2 6" xfId="144" xr:uid="{371BBC67-EDFF-4551-B31E-00DA1C6613B7}"/>
    <cellStyle name="Normal 4 20" xfId="6109" xr:uid="{C09F9ADF-733C-45EF-905F-E006FA530580}"/>
    <cellStyle name="Normal 4 21" xfId="6110" xr:uid="{52EBB011-3CC3-41FF-B2E1-35CB47A2EB10}"/>
    <cellStyle name="Normal 4 22" xfId="6111" xr:uid="{7FA6F280-28AC-424A-BA0E-1B2899CC0DFB}"/>
    <cellStyle name="Normal 4 23" xfId="6112" xr:uid="{60527E0F-7A58-4445-BB40-711FA2674B35}"/>
    <cellStyle name="Normal 4 24" xfId="6113" xr:uid="{28164C1B-BA31-43AC-8EB2-D793129013FB}"/>
    <cellStyle name="Normal 4 25" xfId="6114" xr:uid="{FFCBB2BA-28B8-4196-AB34-4EFF74449860}"/>
    <cellStyle name="Normal 4 26" xfId="6744" xr:uid="{05A77A60-FD6A-4F72-8D0C-42FA89FBA8EE}"/>
    <cellStyle name="Normal 4 27" xfId="6965" xr:uid="{AA28AFC5-315B-4C67-BE72-0F2E81582FAA}"/>
    <cellStyle name="Normal 4 27 2" xfId="8604" xr:uid="{9E42DE71-D26F-48E4-92ED-C6B90260AD14}"/>
    <cellStyle name="Normal 4 28" xfId="116" xr:uid="{5DD916C0-E618-4890-A1C1-E3C04286FE9B}"/>
    <cellStyle name="Normal 4 29" xfId="156" xr:uid="{FD770DAA-411D-499A-9962-1EDD3E5189F0}"/>
    <cellStyle name="Normal 4 3" xfId="19" xr:uid="{24C3A77D-0702-47C4-A2CD-6F226589B9BD}"/>
    <cellStyle name="Normal 4 3 2" xfId="6116" xr:uid="{3F15B6AD-D8B4-4CCB-9BFA-AB0C1419F0D0}"/>
    <cellStyle name="Normal 4 3 3" xfId="6464" xr:uid="{07AC734A-8F5E-4A78-8B83-764BBF8AD118}"/>
    <cellStyle name="Normal 4 3 4" xfId="6115" xr:uid="{0775AD66-4F9D-48E6-B2D2-B7F37D4A8855}"/>
    <cellStyle name="Normal 4 3_1_solis_MK Nr 595 " xfId="6117" xr:uid="{09E8F496-397F-4189-897D-93BA499AA82A}"/>
    <cellStyle name="Normal 4 4" xfId="6118" xr:uid="{319C38D1-7A03-4D39-9312-CC23F62D282A}"/>
    <cellStyle name="Normal 4 5" xfId="6119" xr:uid="{B947226D-1A6D-4FBE-9F78-90266ED1788A}"/>
    <cellStyle name="Normal 4 6" xfId="6120" xr:uid="{911A0623-9066-4231-8CA8-11B7F53ACB6E}"/>
    <cellStyle name="Normal 4 7" xfId="6121" xr:uid="{7C248B5A-B7CD-4B73-9281-E410A0BBC3CC}"/>
    <cellStyle name="Normal 4 8" xfId="6122" xr:uid="{6F842250-E5DE-492B-ABB4-A52CF7971FE2}"/>
    <cellStyle name="Normal 4 9" xfId="6123" xr:uid="{54B7075F-F53C-488B-BBCB-1A1B47F89B86}"/>
    <cellStyle name="Normal 40" xfId="128" xr:uid="{E46FE182-E9FE-430A-9F09-D9753F37BCDC}"/>
    <cellStyle name="Normal 40 2" xfId="6517" xr:uid="{353A5591-A917-4C67-9EB4-0BA8AB6124F4}"/>
    <cellStyle name="Normal 41" xfId="6124" xr:uid="{BF25D258-9789-4B46-897C-359DF70280CC}"/>
    <cellStyle name="Normal 41 2" xfId="6465" xr:uid="{D68CD73E-7DC1-4B18-901E-D229C507A3F5}"/>
    <cellStyle name="Normal 41 3" xfId="6518" xr:uid="{CEE4B829-C3C0-4BC9-99B3-A60BE69BD746}"/>
    <cellStyle name="Normal 41 3 2" xfId="6745" xr:uid="{562D2081-8D5D-45DB-BED5-26E8DDA0E706}"/>
    <cellStyle name="Normal 41 3 2 2" xfId="7576" xr:uid="{4DAFE639-89CA-4857-B6E7-C693D18805ED}"/>
    <cellStyle name="Normal 41 3 2 2 2" xfId="9216" xr:uid="{155948E5-9AE1-45B2-9145-5E7BA29C7C2C}"/>
    <cellStyle name="Normal 41 3 2 3" xfId="8391" xr:uid="{19A90565-B728-4465-887C-E43C9A03041A}"/>
    <cellStyle name="Normal 41 3 3" xfId="7208" xr:uid="{29406A7A-0679-48FE-A44B-2679DEF92C47}"/>
    <cellStyle name="Normal 41 3 3 2" xfId="8848" xr:uid="{4BBD8953-910E-4AB1-9F01-E62375364DB5}"/>
    <cellStyle name="Normal 41 3 4" xfId="8174" xr:uid="{C6E2A755-33DA-43D5-9790-0FD22FE78DBB}"/>
    <cellStyle name="Normal 41 4" xfId="6746" xr:uid="{8D479A5D-6636-496B-B73F-63FC5D6F7B1F}"/>
    <cellStyle name="Normal 41 4 2" xfId="7577" xr:uid="{F2EC20B9-1227-4C69-B588-AC0DA2B2F36F}"/>
    <cellStyle name="Normal 41 4 2 2" xfId="9217" xr:uid="{0A355E78-812B-4C92-A5F2-05EC8E8D91E4}"/>
    <cellStyle name="Normal 41 4 3" xfId="8392" xr:uid="{BA6F4945-D539-4EDB-A660-84B47C76C57B}"/>
    <cellStyle name="Normal 42" xfId="6335" xr:uid="{E30C1F12-C497-44D2-8B7A-C6A8D4DC58A8}"/>
    <cellStyle name="Normal 42 2" xfId="6747" xr:uid="{A3A5067E-52DF-41B5-B095-C19EB9FEE76D}"/>
    <cellStyle name="Normal 42 2 2" xfId="7579" xr:uid="{FE66BC3E-D668-43BC-BC2D-4429C0F5AB78}"/>
    <cellStyle name="Normal 42 2 2 2" xfId="9219" xr:uid="{6571A5FF-5AA5-474F-9390-FAF8904081D3}"/>
    <cellStyle name="Normal 42 2 3" xfId="8393" xr:uid="{9B26CB7E-7120-4DE6-B386-5F29EEB64888}"/>
    <cellStyle name="Normal 42 3" xfId="6525" xr:uid="{E558BC60-B21A-43FF-A00B-529E739921A0}"/>
    <cellStyle name="Normal 42 4" xfId="6444" xr:uid="{847ADD65-8DB2-4DC1-87B1-45E52D290DE5}"/>
    <cellStyle name="Normal 42 4 2" xfId="7580" xr:uid="{9685A598-16DA-45FD-97AE-7391F47C0048}"/>
    <cellStyle name="Normal 42 4 2 2" xfId="9220" xr:uid="{F8BD8D89-09D3-45A4-BDF9-B59832AFCF8B}"/>
    <cellStyle name="Normal 42 4 3" xfId="8151" xr:uid="{9164C162-D118-4888-AF4F-019BAFE9082E}"/>
    <cellStyle name="Normal 42 5" xfId="7578" xr:uid="{F48058EB-C1FC-4ADF-B509-2AE3D5D4B75D}"/>
    <cellStyle name="Normal 42 5 2" xfId="9218" xr:uid="{3026D65A-D3F9-4E9D-9E36-99E7A411E350}"/>
    <cellStyle name="Normal 42 6" xfId="8043" xr:uid="{42B7ADC5-094F-4076-B2B9-6E8E2B442AB7}"/>
    <cellStyle name="Normal 43" xfId="89" xr:uid="{56BA3AD5-788E-4E2E-B4FC-BA6D96E3B0A7}"/>
    <cellStyle name="Normal 43 2" xfId="6519" xr:uid="{BD14ECE0-B81A-4881-B4DA-F8EC4F306432}"/>
    <cellStyle name="Normal 44" xfId="160" xr:uid="{CB16CF52-495D-44AC-B3FA-22CAE7D09443}"/>
    <cellStyle name="Normal 44 2" xfId="6520" xr:uid="{725706A9-DBAE-4CDD-AD50-8ACD4280E184}"/>
    <cellStyle name="Normal 45" xfId="6125" xr:uid="{F28A4BCC-9FA9-4963-8433-FF96D1A02C94}"/>
    <cellStyle name="Normal 45 10" xfId="6748" xr:uid="{0FCA26B7-64C9-4467-A067-0337B50BC9E3}"/>
    <cellStyle name="Normal 45 10 2" xfId="7581" xr:uid="{F5D3ACD8-6333-47BA-AB59-7FE2C5AEF5C7}"/>
    <cellStyle name="Normal 45 10 2 2" xfId="9221" xr:uid="{5293A6AB-5519-466C-B84F-FD3E3B45AAA3}"/>
    <cellStyle name="Normal 45 10 3" xfId="8394" xr:uid="{A445677F-9643-4FFC-AA53-FAAC1B3ABC0E}"/>
    <cellStyle name="Normal 45 11" xfId="6749" xr:uid="{A0286735-14FB-44EA-BC39-5F7434CEF34C}"/>
    <cellStyle name="Normal 45 11 2" xfId="7582" xr:uid="{E141E1C8-35E1-4990-9650-12E182732718}"/>
    <cellStyle name="Normal 45 11 2 2" xfId="9222" xr:uid="{AA21171E-FFBE-4737-8CFE-1ECB2C60ED16}"/>
    <cellStyle name="Normal 45 11 3" xfId="8395" xr:uid="{EBFC2E6E-A1B9-4048-9E50-0DF44D51C381}"/>
    <cellStyle name="Normal 45 12" xfId="6750" xr:uid="{55FF4914-BEF1-46F3-903C-E1E34C80888A}"/>
    <cellStyle name="Normal 45 12 2" xfId="7583" xr:uid="{FA6ADDFC-1BC3-4E48-BEED-F726D3411871}"/>
    <cellStyle name="Normal 45 12 2 2" xfId="9223" xr:uid="{FEEDF393-1D62-4961-B36E-851A47396759}"/>
    <cellStyle name="Normal 45 12 3" xfId="8396" xr:uid="{DC591BBE-A2A7-4993-83E3-8EB2A4562AC4}"/>
    <cellStyle name="Normal 45 2" xfId="6126" xr:uid="{5CF747BF-59AD-4276-B883-1D2AA8FC740B}"/>
    <cellStyle name="Normal 45 2 2" xfId="6751" xr:uid="{40E03252-F3DB-4949-9384-9B19D7A2A4DD}"/>
    <cellStyle name="Normal 45 2 2 2" xfId="7584" xr:uid="{8E19FA73-5087-48A8-BA1D-F99748F9151F}"/>
    <cellStyle name="Normal 45 2 2 2 2" xfId="9224" xr:uid="{7214A363-6E11-4193-9BB4-9D8AF9241A03}"/>
    <cellStyle name="Normal 45 2 2 3" xfId="8397" xr:uid="{084A64F9-CD0B-4F0D-9D33-D4D76CA4AED2}"/>
    <cellStyle name="Normal 45 2 3" xfId="6752" xr:uid="{DE06AF21-F8F9-422D-8A47-BB7F96DE17B9}"/>
    <cellStyle name="Normal 45 2 3 2" xfId="7585" xr:uid="{A835646C-3614-48C2-8DA0-2FF65DD41AA9}"/>
    <cellStyle name="Normal 45 2 3 2 2" xfId="9225" xr:uid="{561C3278-E043-4CF4-B1C8-3C13F9887EF0}"/>
    <cellStyle name="Normal 45 2 3 3" xfId="8398" xr:uid="{E829D2CE-58C9-4F7B-B53A-1C459AAD3896}"/>
    <cellStyle name="Normal 45 2 4" xfId="6445" xr:uid="{413ACC4A-E361-41B9-92CD-397E8F9179B5}"/>
    <cellStyle name="Normal 45 2 4 2" xfId="7586" xr:uid="{38344525-C7AC-48D5-BD5D-BE865F3742AC}"/>
    <cellStyle name="Normal 45 2 4 2 2" xfId="9226" xr:uid="{5DBD4059-0F06-4722-BC1B-E241FDC0F42B}"/>
    <cellStyle name="Normal 45 2 4 3" xfId="8152" xr:uid="{89C98C09-2076-4BD8-81B5-7BA7ADE0FB30}"/>
    <cellStyle name="Normal 45 2 5" xfId="7116" xr:uid="{132C1F09-8074-4875-B158-F230BA0775CF}"/>
    <cellStyle name="Normal 45 2 5 2" xfId="8756" xr:uid="{9D617DEF-40DA-4711-87B1-8D6343B20BBB}"/>
    <cellStyle name="Normal 45 2 6" xfId="7959" xr:uid="{71D772AD-D7ED-43DA-8678-03C5BCEE5598}"/>
    <cellStyle name="Normal 45 3" xfId="6127" xr:uid="{1F8D1284-EC6C-4012-BE05-FF28F1AA1FB5}"/>
    <cellStyle name="Normal 45 3 2" xfId="6753" xr:uid="{175015AB-CF5E-4756-8135-B2745BA7B722}"/>
    <cellStyle name="Normal 45 3 2 2" xfId="7587" xr:uid="{2B4B113D-BAFE-4B9D-84D1-1ED100648D9A}"/>
    <cellStyle name="Normal 45 3 2 2 2" xfId="9227" xr:uid="{1754EB69-9339-4505-A90E-D84C6B6BB3E7}"/>
    <cellStyle name="Normal 45 3 2 3" xfId="8399" xr:uid="{1F1DC910-3CCB-4C1F-B85C-CF9CD51721AC}"/>
    <cellStyle name="Normal 45 3 3" xfId="6754" xr:uid="{3B369E64-D05E-4D08-9929-E77BA4420E20}"/>
    <cellStyle name="Normal 45 3 3 2" xfId="7588" xr:uid="{768A3111-6B00-4F08-87F6-846341BA48AC}"/>
    <cellStyle name="Normal 45 3 3 2 2" xfId="9228" xr:uid="{04C780DD-6D3E-4FA0-BEDF-0201666822DA}"/>
    <cellStyle name="Normal 45 3 3 3" xfId="8400" xr:uid="{CD7B0302-2959-4FE0-9B82-1E96BA713CD8}"/>
    <cellStyle name="Normal 45 3 4" xfId="6446" xr:uid="{D3C7F953-2399-43EF-A161-2776BC2A5A31}"/>
    <cellStyle name="Normal 45 3 4 2" xfId="7589" xr:uid="{D6136ADC-16D2-4DE3-A95A-89840B7E7683}"/>
    <cellStyle name="Normal 45 3 4 2 2" xfId="9229" xr:uid="{34D92AEE-4F12-4FB1-89B3-17C3B17D580C}"/>
    <cellStyle name="Normal 45 3 4 3" xfId="8153" xr:uid="{987ECCBF-261B-4042-B258-F31BF1007511}"/>
    <cellStyle name="Normal 45 3 5" xfId="7117" xr:uid="{602EB20F-4090-4BDF-8961-33BC21FA59E9}"/>
    <cellStyle name="Normal 45 3 5 2" xfId="8757" xr:uid="{73834D6B-7131-44D4-BF54-4E3E0B82CAFD}"/>
    <cellStyle name="Normal 45 3 6" xfId="7960" xr:uid="{941123BD-0B6C-4971-95A2-7A417A839893}"/>
    <cellStyle name="Normal 45 4" xfId="6128" xr:uid="{A4F45A65-53B2-48D5-BBEC-B92652592A7F}"/>
    <cellStyle name="Normal 45 4 2" xfId="6755" xr:uid="{EBCFF19C-588F-4205-BE27-088DD1DBC40F}"/>
    <cellStyle name="Normal 45 4 2 2" xfId="7590" xr:uid="{88EA2AF9-FF0B-4644-B238-D889B2BB0646}"/>
    <cellStyle name="Normal 45 4 2 2 2" xfId="9230" xr:uid="{25AE67C9-8406-44B7-AECB-65B42ED217F5}"/>
    <cellStyle name="Normal 45 4 2 3" xfId="8401" xr:uid="{15C6007D-1E89-49C5-BF10-4A786D6DA1CF}"/>
    <cellStyle name="Normal 45 4 3" xfId="6756" xr:uid="{6B5F0836-0B91-4C0B-8C6D-B43912D6E296}"/>
    <cellStyle name="Normal 45 4 3 2" xfId="7591" xr:uid="{45A9CA45-F3FD-49EF-8915-65EDF452BE6A}"/>
    <cellStyle name="Normal 45 4 3 2 2" xfId="9231" xr:uid="{D2A732AA-5D90-4BA6-9E8E-F4D713C6DB81}"/>
    <cellStyle name="Normal 45 4 3 3" xfId="8402" xr:uid="{0845261E-7255-444D-9CEB-854EF6C6A39C}"/>
    <cellStyle name="Normal 45 4 4" xfId="6447" xr:uid="{4A57082E-FA4F-403F-88C0-1CDBBEF1ABA1}"/>
    <cellStyle name="Normal 45 4 4 2" xfId="7592" xr:uid="{718D2004-78A3-4FC2-BE6F-911EB0A3C544}"/>
    <cellStyle name="Normal 45 4 4 2 2" xfId="9232" xr:uid="{E37251E0-1498-4A56-945E-2C7198DA3EBA}"/>
    <cellStyle name="Normal 45 4 4 3" xfId="8154" xr:uid="{92EB82AD-3B90-4273-990C-A04486EB3515}"/>
    <cellStyle name="Normal 45 4 5" xfId="7118" xr:uid="{DF9CEFD2-A2F6-41D4-A453-6C7730355691}"/>
    <cellStyle name="Normal 45 4 5 2" xfId="8758" xr:uid="{5256A07F-34F2-4403-8F1B-6D1465D2A42E}"/>
    <cellStyle name="Normal 45 4 6" xfId="7961" xr:uid="{2D3E3B72-9DF0-4662-921D-E7A5617B91E2}"/>
    <cellStyle name="Normal 45 5" xfId="6757" xr:uid="{6124DA40-3D88-459D-A377-842671CDF705}"/>
    <cellStyle name="Normal 45 5 2" xfId="6758" xr:uid="{106A1D4A-CC33-4CF1-9442-FDE6A0C8D6E6}"/>
    <cellStyle name="Normal 45 5 2 2" xfId="7594" xr:uid="{70C66374-4EA7-4B6B-A7BA-47F8710AE42B}"/>
    <cellStyle name="Normal 45 5 2 2 2" xfId="9234" xr:uid="{61378477-9EF4-464B-BB54-8BB5C6C4F8E4}"/>
    <cellStyle name="Normal 45 5 2 3" xfId="8404" xr:uid="{B3702E44-FAFD-462F-8787-B48D889AD0F1}"/>
    <cellStyle name="Normal 45 5 3" xfId="6759" xr:uid="{12716A93-3B20-4EE8-B1CA-08C676BE3C83}"/>
    <cellStyle name="Normal 45 5 3 2" xfId="7595" xr:uid="{EBA10A2D-1D81-4944-A2B4-F71575D5E847}"/>
    <cellStyle name="Normal 45 5 3 2 2" xfId="9235" xr:uid="{1B0E0887-D502-4974-871C-54A2A85A75A5}"/>
    <cellStyle name="Normal 45 5 3 3" xfId="8405" xr:uid="{9A54BD32-EE40-4EE6-857F-5235732D4B42}"/>
    <cellStyle name="Normal 45 5 4" xfId="6760" xr:uid="{9EC46EE3-DBB5-41A2-947B-BDB772639C5C}"/>
    <cellStyle name="Normal 45 5 4 2" xfId="7596" xr:uid="{F05931A2-2C2E-4639-92B1-3CD57A2A5CE3}"/>
    <cellStyle name="Normal 45 5 4 2 2" xfId="9236" xr:uid="{C994F25F-C2B4-4FBE-BAAC-BD57484B607C}"/>
    <cellStyle name="Normal 45 5 4 3" xfId="8406" xr:uid="{3E3E0167-A793-4332-A477-B62235788020}"/>
    <cellStyle name="Normal 45 5 5" xfId="7593" xr:uid="{A61F4A9E-A699-4462-85CB-0859BD76703A}"/>
    <cellStyle name="Normal 45 5 5 2" xfId="9233" xr:uid="{219ECB2B-50A3-44FA-B040-046E72967533}"/>
    <cellStyle name="Normal 45 5 6" xfId="8403" xr:uid="{6B8212B3-0A97-4C97-BACD-6F9913587988}"/>
    <cellStyle name="Normal 45 6" xfId="6761" xr:uid="{F617FCA8-B8A8-41CF-9F67-2FACE64820A1}"/>
    <cellStyle name="Normal 45 6 2" xfId="7597" xr:uid="{15EAA362-6653-4ABA-95CF-32595055E764}"/>
    <cellStyle name="Normal 45 6 2 2" xfId="9237" xr:uid="{D722327C-FF9F-44D4-A23A-B05361CFC2D9}"/>
    <cellStyle name="Normal 45 6 3" xfId="8407" xr:uid="{7DDCABC1-3C6C-481F-9DDF-17CF52336033}"/>
    <cellStyle name="Normal 45 7" xfId="6762" xr:uid="{DAD91B3B-34FA-4394-A3A7-B05448C61C90}"/>
    <cellStyle name="Normal 45 7 2" xfId="7598" xr:uid="{84ABD5EB-8C54-474C-BE36-C2BC8E4ED261}"/>
    <cellStyle name="Normal 45 7 2 2" xfId="9238" xr:uid="{C140E3F6-C458-4850-A34A-7F65F795495D}"/>
    <cellStyle name="Normal 45 7 3" xfId="8408" xr:uid="{D1D91DEA-C96F-4A94-A2F1-5C85002BB9C9}"/>
    <cellStyle name="Normal 45 8" xfId="6763" xr:uid="{DF1A777D-890C-42E2-90AF-8FE271B26D18}"/>
    <cellStyle name="Normal 45 8 2" xfId="7599" xr:uid="{10377080-DC4A-4497-8883-469E1E1541AD}"/>
    <cellStyle name="Normal 45 8 2 2" xfId="9239" xr:uid="{84AD4980-5F73-4ACF-B08E-876880E310B9}"/>
    <cellStyle name="Normal 45 8 3" xfId="8409" xr:uid="{199CEA47-AA33-4D55-B9D9-6BD3A536A20B}"/>
    <cellStyle name="Normal 45 9" xfId="6764" xr:uid="{8CBEA83E-276D-4891-A74E-F5341C7AF550}"/>
    <cellStyle name="Normal 46" xfId="6765" xr:uid="{FA7A0000-C357-4684-9A6B-3521EE0EFAF9}"/>
    <cellStyle name="Normal 46 2" xfId="6766" xr:uid="{C3EE4DDA-8EA9-4858-B819-98E1470CB710}"/>
    <cellStyle name="Normal 46 2 2" xfId="7601" xr:uid="{686B8753-1D9F-45EA-800D-DB7D5B4308E0}"/>
    <cellStyle name="Normal 46 2 2 2" xfId="9241" xr:uid="{285A0516-94CF-43DC-97B7-0BD103967769}"/>
    <cellStyle name="Normal 46 2 3" xfId="8411" xr:uid="{B01B2BB5-C83E-4D6A-B2DF-67074D2E11AB}"/>
    <cellStyle name="Normal 46 3" xfId="7600" xr:uid="{D246F6EF-1317-4A59-B4E9-BF4BCCEC1019}"/>
    <cellStyle name="Normal 46 3 2" xfId="9240" xr:uid="{48E7903E-9EA1-468C-AC85-5C5EAC93D266}"/>
    <cellStyle name="Normal 46 4" xfId="8410" xr:uid="{2C304C11-C2DB-4045-9D98-CC25DB554DD9}"/>
    <cellStyle name="Normal 47" xfId="6767" xr:uid="{C0A1A5D3-FE8C-440E-A72F-8ABDAEF02526}"/>
    <cellStyle name="Normal 47 2" xfId="6768" xr:uid="{A0FAF612-61BC-4648-AA22-AB8E6BF76494}"/>
    <cellStyle name="Normal 47 2 2" xfId="7603" xr:uid="{D0938FDA-6157-4658-9B11-E17EBFAF8D1C}"/>
    <cellStyle name="Normal 47 2 2 2" xfId="9243" xr:uid="{4D5CC095-4D54-4F83-A792-1D252DF70C27}"/>
    <cellStyle name="Normal 47 2 3" xfId="8413" xr:uid="{7B73BAF7-DA27-4FD0-B8A7-410A48121784}"/>
    <cellStyle name="Normal 47 3" xfId="6769" xr:uid="{314DD18F-D8DF-404C-9BD4-A34E73439F1C}"/>
    <cellStyle name="Normal 47 3 2" xfId="7604" xr:uid="{E18F7D26-F2E3-4646-A8F8-2CAEA214DC54}"/>
    <cellStyle name="Normal 47 3 2 2" xfId="9244" xr:uid="{65E41216-4F0A-46C0-95A1-906ECF46CA82}"/>
    <cellStyle name="Normal 47 3 3" xfId="8414" xr:uid="{CBBA1B2C-2EF8-408B-A3D2-7155E2962E29}"/>
    <cellStyle name="Normal 47 4" xfId="6770" xr:uid="{53EA1AD5-5029-420F-B102-AEC00C3248EC}"/>
    <cellStyle name="Normal 47 4 2" xfId="7605" xr:uid="{B36967F1-DCC1-4562-9B66-F6BF53B5D1A2}"/>
    <cellStyle name="Normal 47 4 2 2" xfId="9245" xr:uid="{9F3E1484-6143-4176-BFCD-4AB337535616}"/>
    <cellStyle name="Normal 47 4 3" xfId="8415" xr:uid="{B02A1775-6D54-414A-AD92-C024BC6AD2CF}"/>
    <cellStyle name="Normal 47 5" xfId="6771" xr:uid="{E80F3372-E7D3-40DA-A69B-3189D4A4D29B}"/>
    <cellStyle name="Normal 47 5 2" xfId="7606" xr:uid="{FDBF6A9B-EBC9-464A-8D57-FC0249712A67}"/>
    <cellStyle name="Normal 47 5 2 2" xfId="9246" xr:uid="{5AA2E717-75F0-43DA-AB92-51BF16FC067E}"/>
    <cellStyle name="Normal 47 5 3" xfId="8416" xr:uid="{E5ED7E0B-5F24-4550-BDAD-A36981B291CB}"/>
    <cellStyle name="Normal 47 6" xfId="6772" xr:uid="{5559DAD3-4CC3-4CC2-B6EF-0B68A1322CED}"/>
    <cellStyle name="Normal 47 6 2" xfId="7607" xr:uid="{1513C9C0-D78B-49D2-B3A0-24CB5D4DC62C}"/>
    <cellStyle name="Normal 47 6 2 2" xfId="9247" xr:uid="{E9AAF5B7-18C4-41FD-9A86-B27CE74B730F}"/>
    <cellStyle name="Normal 47 6 3" xfId="8417" xr:uid="{D321D336-A0A5-4518-8A39-88BC59D71312}"/>
    <cellStyle name="Normal 47 7" xfId="7602" xr:uid="{91BB5BB9-CFCC-4DC1-9D55-BE5F408E0907}"/>
    <cellStyle name="Normal 47 7 2" xfId="9242" xr:uid="{EB2F7DD2-C563-4342-8770-64EBD30DA546}"/>
    <cellStyle name="Normal 47 8" xfId="8412" xr:uid="{137AFCDC-9415-4398-BFD5-56AFD6558AD3}"/>
    <cellStyle name="Normal 48" xfId="6773" xr:uid="{6BE8EEE1-3948-46EB-BA8C-37B3C6A673D0}"/>
    <cellStyle name="Normal 48 2" xfId="6774" xr:uid="{E8D5ACA0-8065-4B83-9BC6-ED366E6AFEDA}"/>
    <cellStyle name="Normal 48 2 2" xfId="7609" xr:uid="{2DD69D50-306B-4A8F-8C59-C80BCFB20BEB}"/>
    <cellStyle name="Normal 48 2 2 2" xfId="9249" xr:uid="{D5CE28C1-592C-400A-9A2C-158D5C8A1C6B}"/>
    <cellStyle name="Normal 48 2 3" xfId="8419" xr:uid="{4F3E7E86-75BE-44F0-8EDC-F151070C0B86}"/>
    <cellStyle name="Normal 48 3" xfId="6775" xr:uid="{16CEF2B8-8652-4BE6-BD16-F23C4FBF6DCB}"/>
    <cellStyle name="Normal 48 3 2" xfId="7610" xr:uid="{11244E6F-9158-4DE2-9B77-796D5B4454C5}"/>
    <cellStyle name="Normal 48 3 2 2" xfId="9250" xr:uid="{B44EC1DF-B66A-4ADD-A535-5FC42396B60E}"/>
    <cellStyle name="Normal 48 3 3" xfId="8420" xr:uid="{7EBFC6E1-25CD-4B18-8DEE-FF68DF03AD90}"/>
    <cellStyle name="Normal 48 4" xfId="6776" xr:uid="{B351D10F-7B1B-48E9-8E2E-ED49DF5B9B1D}"/>
    <cellStyle name="Normal 48 4 2" xfId="7611" xr:uid="{DE85CBCC-8CCF-4D0D-89A6-5CB545702B90}"/>
    <cellStyle name="Normal 48 4 2 2" xfId="9251" xr:uid="{4C538020-D68A-45CF-97DB-8C6EBDADF028}"/>
    <cellStyle name="Normal 48 4 3" xfId="8421" xr:uid="{1212C893-A450-44CF-9D8B-0D93BE93FD4E}"/>
    <cellStyle name="Normal 48 5" xfId="6777" xr:uid="{C580E9BB-670B-4027-95CD-15AF673962AD}"/>
    <cellStyle name="Normal 48 5 2" xfId="7612" xr:uid="{C1DDF2A9-011B-4001-A7BC-683DA70A8864}"/>
    <cellStyle name="Normal 48 5 2 2" xfId="9252" xr:uid="{0E9134B9-DBC1-4A41-909D-9EC541A62539}"/>
    <cellStyle name="Normal 48 5 3" xfId="8422" xr:uid="{794B8C0F-27E8-4433-B7B3-A18E0CD778C2}"/>
    <cellStyle name="Normal 48 6" xfId="7608" xr:uid="{2A11C6C8-950E-482D-9EBC-09A25EC03440}"/>
    <cellStyle name="Normal 48 6 2" xfId="9248" xr:uid="{8BADC7B8-4402-46F9-B267-FBEC6ABC3AFE}"/>
    <cellStyle name="Normal 48 7" xfId="8418" xr:uid="{F3E006BA-0761-4658-BD56-3065FE9DEB05}"/>
    <cellStyle name="Normal 49" xfId="6778" xr:uid="{E47BB3B6-E7CB-465E-9231-C596D6C39D00}"/>
    <cellStyle name="Normal 49 2" xfId="6779" xr:uid="{60A18F32-21D4-4AF7-A7C4-907FB9DCCE2E}"/>
    <cellStyle name="Normal 49 2 2" xfId="7614" xr:uid="{09E4F4E6-39D9-427F-BC32-CA9431181E53}"/>
    <cellStyle name="Normal 49 2 2 2" xfId="9254" xr:uid="{77D39E89-A469-4C4B-B1BC-396D17E24492}"/>
    <cellStyle name="Normal 49 2 3" xfId="8424" xr:uid="{7229968B-EDF5-4326-BAF6-A66F63FE420A}"/>
    <cellStyle name="Normal 49 3" xfId="6780" xr:uid="{D6F596B5-F476-4CCC-953C-23C9C047514E}"/>
    <cellStyle name="Normal 49 3 2" xfId="7615" xr:uid="{D23D49DB-74EA-4717-94F9-25F9B0C33F16}"/>
    <cellStyle name="Normal 49 3 2 2" xfId="9255" xr:uid="{7C85C789-D56C-4E56-8FFC-70ACE0511F03}"/>
    <cellStyle name="Normal 49 3 3" xfId="8425" xr:uid="{07E41447-A756-453E-9876-5097CCEFBD8E}"/>
    <cellStyle name="Normal 49 4" xfId="7613" xr:uid="{E0A1483B-56F1-4ACE-AC10-2DA46D6EC8D9}"/>
    <cellStyle name="Normal 49 4 2" xfId="9253" xr:uid="{AE55097D-498E-4C27-96DB-89BB8E133349}"/>
    <cellStyle name="Normal 49 5" xfId="8423" xr:uid="{3E837929-4321-4FE9-BE56-2DD5A0DD6F7F}"/>
    <cellStyle name="Normal 5" xfId="30" xr:uid="{947012DB-FC17-4D07-82C8-A206961B1D95}"/>
    <cellStyle name="Normal 5 10" xfId="6129" xr:uid="{655FCFED-616C-4D2C-89A8-53CE734E7FDB}"/>
    <cellStyle name="Normal 5 11" xfId="6130" xr:uid="{8E0DB791-00AC-4769-AB7A-319C1CF8303D}"/>
    <cellStyle name="Normal 5 12" xfId="6131" xr:uid="{D2938CA4-DC92-448C-AF2A-B6E82CB84EAF}"/>
    <cellStyle name="Normal 5 13" xfId="6132" xr:uid="{C7C9DFF2-79A0-466A-99CA-FDD05D51EADD}"/>
    <cellStyle name="Normal 5 14" xfId="6133" xr:uid="{9C03077B-035F-46E2-B0E1-6091B7EC51EB}"/>
    <cellStyle name="Normal 5 15" xfId="6134" xr:uid="{0C4B3544-A076-4AB6-9D49-F5EDA7F94E84}"/>
    <cellStyle name="Normal 5 16" xfId="6135" xr:uid="{F6BB9652-946C-481F-9ECC-2CB5DE937D81}"/>
    <cellStyle name="Normal 5 17" xfId="6136" xr:uid="{485261A9-BD06-4891-A16A-8634F3D96439}"/>
    <cellStyle name="Normal 5 18" xfId="6137" xr:uid="{F4868462-A05D-4D02-98B7-F799743C8EAE}"/>
    <cellStyle name="Normal 5 19" xfId="6138" xr:uid="{A097FA4E-25F6-47E7-9B9C-0D122BAA20E6}"/>
    <cellStyle name="Normal 5 2" xfId="31" xr:uid="{60A6541E-E30D-4C4E-A4A5-3D8BF4BBB5CE}"/>
    <cellStyle name="Normal 5 2 2" xfId="6139" xr:uid="{1C429460-12A3-4C7A-8586-24B4C6CA0AD6}"/>
    <cellStyle name="Normal 5 2 3" xfId="6781" xr:uid="{14B86944-5B90-455B-901C-D24D3D023BBC}"/>
    <cellStyle name="Normal 5 2 3 2" xfId="7616" xr:uid="{D79D927B-DE95-41AB-A649-54C2793EA187}"/>
    <cellStyle name="Normal 5 2 3 2 2" xfId="9256" xr:uid="{FCC18C01-602A-4AE7-BC1E-DA48BBDB7FE5}"/>
    <cellStyle name="Normal 5 2 3 3" xfId="8426" xr:uid="{9190F293-AB21-4080-9F16-A521BFA45798}"/>
    <cellStyle name="Normal 5 2 4" xfId="6782" xr:uid="{24CA9A9C-BAD3-466F-95AB-C6AAADC15958}"/>
    <cellStyle name="Normal 5 2 4 2" xfId="7617" xr:uid="{75B9D2F7-52F1-49A2-BBE0-141938F4B210}"/>
    <cellStyle name="Normal 5 2 4 2 2" xfId="9257" xr:uid="{36C76BE0-B16F-4EAF-AF42-6CC1B507D448}"/>
    <cellStyle name="Normal 5 2 4 3" xfId="8427" xr:uid="{F6603CEF-8379-4955-8C80-D27135035E9C}"/>
    <cellStyle name="Normal 5 2 5" xfId="6448" xr:uid="{14CFDBAD-A72F-4B71-84E5-50E6BC02D23F}"/>
    <cellStyle name="Normal 5 2 5 2" xfId="7618" xr:uid="{E4B1820C-8EF0-4010-8A0D-92457AC2F512}"/>
    <cellStyle name="Normal 5 2 5 2 2" xfId="9258" xr:uid="{7ED191AE-A821-4174-AC5F-2EAA54B14EBE}"/>
    <cellStyle name="Normal 5 2 5 3" xfId="8155" xr:uid="{59C11ACB-E7D2-4377-AEE6-32CB0CB6A868}"/>
    <cellStyle name="Normal 5 2 6" xfId="7119" xr:uid="{2D7E962F-C5FC-4F19-9807-DC5D3E92E217}"/>
    <cellStyle name="Normal 5 2 6 2" xfId="8759" xr:uid="{0EEC8E26-AC7C-4CB6-8C7C-9700C4D3BE28}"/>
    <cellStyle name="Normal 5 2 7" xfId="7764" xr:uid="{FBC50CEA-7388-47B5-A488-C1EC5A2891C5}"/>
    <cellStyle name="Normal 5 2_1_solis_MK Nr 595 " xfId="6140" xr:uid="{B0A9D86E-E24F-4164-9AEF-09A781A726E8}"/>
    <cellStyle name="Normal 5 20" xfId="6141" xr:uid="{3E8A1BF3-448F-41A8-87D2-03C0DAC50DD5}"/>
    <cellStyle name="Normal 5 21" xfId="6142" xr:uid="{371E0CA8-85B6-4183-82AD-06DB858EC085}"/>
    <cellStyle name="Normal 5 22" xfId="6143" xr:uid="{44959680-6561-4683-B330-E4F58C53B462}"/>
    <cellStyle name="Normal 5 23" xfId="6144" xr:uid="{07360639-EBE2-40F9-9993-D54B68E7006E}"/>
    <cellStyle name="Normal 5 24" xfId="6145" xr:uid="{6405F1B9-65AF-464B-96EE-4FC33157B297}"/>
    <cellStyle name="Normal 5 25" xfId="6146" xr:uid="{D25C1E5A-B116-4CAD-9C4E-8372B49FED35}"/>
    <cellStyle name="Normal 5 26" xfId="6147" xr:uid="{12496F5F-159F-498B-814A-0E4997AB454F}"/>
    <cellStyle name="Normal 5 27" xfId="6148" xr:uid="{80330311-5274-4740-85AB-CECFDCABEF70}"/>
    <cellStyle name="Normal 5 28" xfId="6149" xr:uid="{613FD0DE-F704-45B7-9E9F-8037EA782827}"/>
    <cellStyle name="Normal 5 29" xfId="6150" xr:uid="{A7AE2858-4DF3-4CDA-9608-5862D76A5480}"/>
    <cellStyle name="Normal 5 3" xfId="42" xr:uid="{4499A4F0-1A20-443A-AD98-8E413F056C03}"/>
    <cellStyle name="Normal 5 3 2" xfId="6151" xr:uid="{7A87D816-BCA6-4DA6-B0FD-274E1FDB5690}"/>
    <cellStyle name="Normal 5 30" xfId="6152" xr:uid="{2F62320C-05C0-4726-A0A5-D0E4064F8B3D}"/>
    <cellStyle name="Normal 5 31" xfId="6153" xr:uid="{FA767EEF-6D5F-40DC-82A0-99CF2F4B0C9A}"/>
    <cellStyle name="Normal 5 32" xfId="6154" xr:uid="{2B4CC437-65F5-467F-B8EA-75E57A416FEF}"/>
    <cellStyle name="Normal 5 33" xfId="6155" xr:uid="{A88B55BD-21AD-465B-A9C4-AEDA4F9C5E58}"/>
    <cellStyle name="Normal 5 34" xfId="6156" xr:uid="{92BBF75A-D58E-4071-AE0E-F3903E476985}"/>
    <cellStyle name="Normal 5 35" xfId="6157" xr:uid="{9908E452-A25E-4C92-B5F2-C175A18DF3B7}"/>
    <cellStyle name="Normal 5 36" xfId="6158" xr:uid="{F045CD29-93D4-4E6D-9933-57C7F5AD68EB}"/>
    <cellStyle name="Normal 5 37" xfId="6159" xr:uid="{03B9D8CE-2683-41F5-8512-32B5DB87ACD9}"/>
    <cellStyle name="Normal 5 38" xfId="6160" xr:uid="{BC37F44A-961F-441A-82D0-58176D2E5AAA}"/>
    <cellStyle name="Normal 5 39" xfId="6161" xr:uid="{1702651D-B21A-4C90-9CC7-7E07BD53F132}"/>
    <cellStyle name="Normal 5 4" xfId="6162" xr:uid="{DC7CA7A3-ABB2-4521-B263-CDB606393C8B}"/>
    <cellStyle name="Normal 5 40" xfId="6163" xr:uid="{2842F7DB-B2B5-4A11-8A1C-A2C3835DC73C}"/>
    <cellStyle name="Normal 5 41" xfId="6164" xr:uid="{58011A10-436B-4F90-8C98-BA757ED0EF7F}"/>
    <cellStyle name="Normal 5 42" xfId="6165" xr:uid="{FA08D5C8-3897-4C1A-B5A9-B33EFBE1DB77}"/>
    <cellStyle name="Normal 5 43" xfId="6166" xr:uid="{55B6D941-E8DA-4C39-9B6A-0C2EEC6D9FB0}"/>
    <cellStyle name="Normal 5 44" xfId="6167" xr:uid="{D6E2CE64-14C4-4A68-85E1-4E8633B1A947}"/>
    <cellStyle name="Normal 5 45" xfId="6168" xr:uid="{2AC7805A-508C-4538-B842-700877ABD2E1}"/>
    <cellStyle name="Normal 5 46" xfId="6169" xr:uid="{EB274B82-A33C-4B65-9150-0D13A193D52B}"/>
    <cellStyle name="Normal 5 47" xfId="6170" xr:uid="{D12A19FB-11BB-4177-910C-783BF53F9262}"/>
    <cellStyle name="Normal 5 48" xfId="6171" xr:uid="{2BE6CAF7-F2B5-479E-AB44-5D5D074ECA63}"/>
    <cellStyle name="Normal 5 49" xfId="6172" xr:uid="{1B119DDD-7B5E-4DF9-B378-E23DB4129C8E}"/>
    <cellStyle name="Normal 5 5" xfId="6173" xr:uid="{B6B3EEB4-5030-48DD-94DC-69D62A46437B}"/>
    <cellStyle name="Normal 5 50" xfId="6174" xr:uid="{4D3FB292-382C-48D3-84E1-7BFE4C558B0B}"/>
    <cellStyle name="Normal 5 51" xfId="6175" xr:uid="{DC21A16D-3CC7-4491-83F6-53454905289A}"/>
    <cellStyle name="Normal 5 52" xfId="6176" xr:uid="{DA4F7F3D-B266-49F0-959F-6B89A8145BC6}"/>
    <cellStyle name="Normal 5 53" xfId="6177" xr:uid="{43DA5B88-9C15-4352-8CF1-E097496CBC75}"/>
    <cellStyle name="Normal 5 54" xfId="6966" xr:uid="{8D91477C-5665-40E8-8164-847D7BC3F0B8}"/>
    <cellStyle name="Normal 5 54 2" xfId="8605" xr:uid="{ABE8F930-E983-4A02-B9A6-507147138139}"/>
    <cellStyle name="Normal 5 6" xfId="6178" xr:uid="{0F36E8FE-D137-4011-86AB-73604C71F8DF}"/>
    <cellStyle name="Normal 5 7" xfId="6179" xr:uid="{0FC6AABB-A1F4-4020-B3A7-AB9415CFCE97}"/>
    <cellStyle name="Normal 5 8" xfId="6180" xr:uid="{5EE50963-001B-472A-ABDC-104BFB0EF4BC}"/>
    <cellStyle name="Normal 5 9" xfId="6181" xr:uid="{2E7E8D64-2CC0-4471-A59C-A88E6AA8A62E}"/>
    <cellStyle name="Normal 50" xfId="6783" xr:uid="{90BE0B6B-1175-4EF1-9142-AA37F87B9D87}"/>
    <cellStyle name="Normal 50 2" xfId="6182" xr:uid="{9B70C02C-F1A8-4723-BD78-F11C1CCED2FC}"/>
    <cellStyle name="Normal 50 2 2" xfId="6784" xr:uid="{2E3F9873-5120-4338-AD40-3AC2B248C10A}"/>
    <cellStyle name="Normal 50 2 2 2" xfId="7619" xr:uid="{299851A0-0D21-4B0E-B7D2-7AE9FB28CCBC}"/>
    <cellStyle name="Normal 50 2 2 2 2" xfId="9259" xr:uid="{817F3AA2-C50E-4AFB-8681-1EEB3A4B0C0C}"/>
    <cellStyle name="Normal 50 2 2 3" xfId="8428" xr:uid="{66082693-684A-4868-989F-75CD191E622F}"/>
    <cellStyle name="Normal 50 2 3" xfId="6785" xr:uid="{780E54BC-E6D3-46B9-BFD0-05F68CF6A1CB}"/>
    <cellStyle name="Normal 50 2 3 2" xfId="7620" xr:uid="{0A372FD3-6501-4EA8-AF33-8869F8AEFF43}"/>
    <cellStyle name="Normal 50 2 3 2 2" xfId="9260" xr:uid="{9A60128F-D98E-413E-B7F7-7DB8313F1932}"/>
    <cellStyle name="Normal 50 2 3 3" xfId="8429" xr:uid="{F2F09E86-FEB4-4AA7-8BE1-44D6131CE43F}"/>
    <cellStyle name="Normal 50 2 4" xfId="6449" xr:uid="{C18641D5-8C95-41BE-B6B7-A38370C7CBA4}"/>
    <cellStyle name="Normal 50 2 4 2" xfId="7621" xr:uid="{8DBB33D2-7C2A-410B-BE11-E3ABC6CFC93A}"/>
    <cellStyle name="Normal 50 2 4 2 2" xfId="9261" xr:uid="{8273EB2D-15F3-4C20-892A-3175B64F7A34}"/>
    <cellStyle name="Normal 50 2 4 3" xfId="8156" xr:uid="{39A8083F-D930-44E6-A923-8BB1D059595E}"/>
    <cellStyle name="Normal 50 2 5" xfId="7120" xr:uid="{422C9B8D-D1C1-4C80-9436-ACA1CC896C00}"/>
    <cellStyle name="Normal 50 2 5 2" xfId="8760" xr:uid="{A6EE4044-8B2D-4ABB-9A5A-179049E307A6}"/>
    <cellStyle name="Normal 50 2 6" xfId="7962" xr:uid="{B5565BA2-9DDB-4D95-A981-70F6EFD8E4DE}"/>
    <cellStyle name="Normal 50 3" xfId="6183" xr:uid="{C9163845-4EEF-441B-A41F-8281F23815BE}"/>
    <cellStyle name="Normal 50 3 2" xfId="6786" xr:uid="{3A351982-8D8C-4D98-80C3-E11B2E7BF026}"/>
    <cellStyle name="Normal 50 3 2 2" xfId="7622" xr:uid="{FEE8C710-9415-40F2-8AEB-D87EAD1A9D74}"/>
    <cellStyle name="Normal 50 3 2 2 2" xfId="9262" xr:uid="{37279C0F-B558-4AEC-9BAC-D215103ACDF1}"/>
    <cellStyle name="Normal 50 3 2 3" xfId="8430" xr:uid="{5C03ABE7-18F3-4901-BC87-988201851BD6}"/>
    <cellStyle name="Normal 50 3 3" xfId="6787" xr:uid="{67652A87-7CC8-46C5-A238-151D4D779335}"/>
    <cellStyle name="Normal 50 3 3 2" xfId="7623" xr:uid="{4722F376-1402-43D3-AFAA-52C8B1A73945}"/>
    <cellStyle name="Normal 50 3 3 2 2" xfId="9263" xr:uid="{242D9B52-1CFB-4D1C-A1E2-9A736398D98B}"/>
    <cellStyle name="Normal 50 3 3 3" xfId="8431" xr:uid="{7DB820C1-E132-4FA7-8613-A565E325206B}"/>
    <cellStyle name="Normal 50 3 4" xfId="6450" xr:uid="{2CFEE9B2-DE1A-4194-9894-AB858CD8A3B4}"/>
    <cellStyle name="Normal 50 3 4 2" xfId="7624" xr:uid="{40DD4F98-AC20-4D40-ADF9-73371495391A}"/>
    <cellStyle name="Normal 50 3 4 2 2" xfId="9264" xr:uid="{1EB65998-09E0-419A-81B5-32EEDB0978DE}"/>
    <cellStyle name="Normal 50 3 4 3" xfId="8157" xr:uid="{23B9F7AC-70D0-47B9-B799-A38CD7EE9CAD}"/>
    <cellStyle name="Normal 50 3 5" xfId="7121" xr:uid="{E1DFAE3C-457C-4D62-8A73-CB582D4D5E38}"/>
    <cellStyle name="Normal 50 3 5 2" xfId="8761" xr:uid="{BF7AC250-3E3C-436B-BA0C-A7CD7FA41BF8}"/>
    <cellStyle name="Normal 50 3 6" xfId="7963" xr:uid="{B29276F7-0820-4EFA-A185-8ADB0A5263B1}"/>
    <cellStyle name="Normal 51" xfId="25" xr:uid="{3D56A568-559D-4232-8BEA-99A64A274025}"/>
    <cellStyle name="Normal 51 2" xfId="6184" xr:uid="{9CCC44A0-C925-4B4A-9873-53EA65CE2463}"/>
    <cellStyle name="Normal 51 2 2" xfId="6788" xr:uid="{690B83BA-435D-4094-A25D-FE5764385B7E}"/>
    <cellStyle name="Normal 51 2 2 2" xfId="7626" xr:uid="{575B046E-488A-4BD1-8A99-C461187D132F}"/>
    <cellStyle name="Normal 51 2 2 2 2" xfId="9266" xr:uid="{5F04A281-A823-4628-9E6D-79DE734D4320}"/>
    <cellStyle name="Normal 51 2 2 3" xfId="8433" xr:uid="{09C53C79-5051-467E-9578-D7725EFF7C28}"/>
    <cellStyle name="Normal 51 2 3" xfId="6789" xr:uid="{5EA5AE7C-5193-4D59-841C-FF092F73CA43}"/>
    <cellStyle name="Normal 51 2 3 2" xfId="7627" xr:uid="{18015C12-9CAC-4E2B-92D4-9B41A85BBFA0}"/>
    <cellStyle name="Normal 51 2 3 2 2" xfId="9267" xr:uid="{8F61469F-6845-49C5-8D2D-32C2B18FF8A3}"/>
    <cellStyle name="Normal 51 2 3 3" xfId="8434" xr:uid="{8A6AA595-0E2C-4347-8A97-E3DF154F3B3C}"/>
    <cellStyle name="Normal 51 2 4" xfId="6451" xr:uid="{075184A4-0F30-458C-8AAD-24280B9F0F4F}"/>
    <cellStyle name="Normal 51 2 4 2" xfId="7628" xr:uid="{A72E0305-5EC2-48E2-999C-D3B5C174586D}"/>
    <cellStyle name="Normal 51 2 4 2 2" xfId="9268" xr:uid="{49602D6B-CACE-443D-AC52-38CF8279A65B}"/>
    <cellStyle name="Normal 51 2 4 3" xfId="8158" xr:uid="{59BD979C-95E1-4577-A616-B4878E6B442D}"/>
    <cellStyle name="Normal 51 2 5" xfId="7122" xr:uid="{0C5CE2FE-03A4-4887-AEAA-0680C6E08479}"/>
    <cellStyle name="Normal 51 2 5 2" xfId="8762" xr:uid="{F0A391AA-6F78-4C47-90BC-60A8B1881764}"/>
    <cellStyle name="Normal 51 2 6" xfId="7964" xr:uid="{AAAB6407-B0C9-4856-BB49-5A3E670E73B9}"/>
    <cellStyle name="Normal 51 3" xfId="6185" xr:uid="{55CCE1D8-5A48-4648-A42B-D4B18BBD687C}"/>
    <cellStyle name="Normal 51 3 2" xfId="6790" xr:uid="{796E7CC2-18C6-44FE-9214-66A54EAF5BB5}"/>
    <cellStyle name="Normal 51 3 2 2" xfId="7629" xr:uid="{41D384B7-9879-41CE-BE5F-189E038194B9}"/>
    <cellStyle name="Normal 51 3 2 2 2" xfId="9269" xr:uid="{182DE98F-C348-4B09-9DA2-359FFA68AA64}"/>
    <cellStyle name="Normal 51 3 2 3" xfId="8435" xr:uid="{8B38E4FA-F7CB-468F-953D-DFCF3CB9C0C0}"/>
    <cellStyle name="Normal 51 3 3" xfId="6791" xr:uid="{76510A78-83E2-4E6D-9CC4-EC6258F59C5A}"/>
    <cellStyle name="Normal 51 3 3 2" xfId="7630" xr:uid="{D1A39F0C-E2B8-4B5F-A505-2AB273E025F1}"/>
    <cellStyle name="Normal 51 3 3 2 2" xfId="9270" xr:uid="{BC8CDC9C-CF27-4459-8704-9226F4BA0565}"/>
    <cellStyle name="Normal 51 3 3 3" xfId="8436" xr:uid="{ECBC4399-75A2-454F-B6C7-A907D2DBDDC5}"/>
    <cellStyle name="Normal 51 3 4" xfId="6452" xr:uid="{054CCFD4-F841-40E6-B39B-1808DC3504C6}"/>
    <cellStyle name="Normal 51 3 4 2" xfId="7631" xr:uid="{44AD8EA8-AAB3-4BCB-93CF-32C56620E548}"/>
    <cellStyle name="Normal 51 3 4 2 2" xfId="9271" xr:uid="{293823B4-552C-467F-8C91-47C8A48CEC07}"/>
    <cellStyle name="Normal 51 3 4 3" xfId="8159" xr:uid="{165DDCDE-66A7-48E3-8297-35776EE520F2}"/>
    <cellStyle name="Normal 51 3 5" xfId="7123" xr:uid="{F221E58C-CE23-4626-BC92-EF8863C26A1B}"/>
    <cellStyle name="Normal 51 3 5 2" xfId="8763" xr:uid="{FBF26E58-69EC-4596-9748-96DAFD42C754}"/>
    <cellStyle name="Normal 51 3 6" xfId="7965" xr:uid="{A770814E-C2D3-4603-B204-E5753C945C08}"/>
    <cellStyle name="Normal 51 4" xfId="7625" xr:uid="{ABC0FE77-D2CB-4297-93E4-C90205C34D9C}"/>
    <cellStyle name="Normal 51 4 2" xfId="9265" xr:uid="{1C5F32C7-3A08-4A5D-92AD-53516C91BAF9}"/>
    <cellStyle name="Normal 51 5" xfId="8432" xr:uid="{C290A723-53C0-477B-B783-C82CB3D8FF54}"/>
    <cellStyle name="Normal 52" xfId="6792" xr:uid="{E1AF46BA-5725-4F0D-858E-6C4DCF54B2CC}"/>
    <cellStyle name="Normal 52 2" xfId="7632" xr:uid="{01692462-50BD-44A7-97B6-3E5F94FF30E0}"/>
    <cellStyle name="Normal 52 2 2" xfId="9272" xr:uid="{BA89242E-83F6-4992-88F3-9A6AE2CA6FFE}"/>
    <cellStyle name="Normal 52 3" xfId="8437" xr:uid="{D3434E80-C470-43DC-A5C4-F1BA35E4C8D1}"/>
    <cellStyle name="Normal 53" xfId="6793" xr:uid="{0EF083A6-BBAC-4634-B9A0-BA0E41FAF9AA}"/>
    <cellStyle name="Normal 53 2" xfId="7633" xr:uid="{9DF55875-E093-4715-9B98-7F3D09CE40FE}"/>
    <cellStyle name="Normal 53 2 2" xfId="9273" xr:uid="{FF3DC204-8BF9-495F-9F0D-FC83D139B659}"/>
    <cellStyle name="Normal 53 3" xfId="8438" xr:uid="{DA3FE0EE-6E07-495F-95D1-26204E87ECB8}"/>
    <cellStyle name="Normal 54" xfId="6794" xr:uid="{8F2EE96A-A5A1-4FF6-88D1-AF79B99F1612}"/>
    <cellStyle name="Normal 54 2" xfId="7634" xr:uid="{F877F4F9-2C2B-4A04-814F-0894D3C33EFA}"/>
    <cellStyle name="Normal 54 2 2" xfId="9274" xr:uid="{1B3697BC-7E01-4B24-9A4F-E230D36E92F6}"/>
    <cellStyle name="Normal 54 3" xfId="8439" xr:uid="{1A5FCE47-D603-47C3-AA6A-85800A17C30E}"/>
    <cellStyle name="Normal 55" xfId="6795" xr:uid="{BBD91C58-023E-468E-B71C-533CC83A01DB}"/>
    <cellStyle name="Normal 56" xfId="6796" xr:uid="{DE487BFF-0290-4F9E-98C1-C516342F3ED2}"/>
    <cellStyle name="Normal 56 2" xfId="7635" xr:uid="{12BAF615-95C0-49B0-9ECA-0F49DC7BBB96}"/>
    <cellStyle name="Normal 56 2 2" xfId="9275" xr:uid="{E32FDCE4-9B9E-4F8E-BF84-F1AE5AD8D95F}"/>
    <cellStyle name="Normal 56 3" xfId="8440" xr:uid="{38042EEA-7557-4EDF-ABA2-F40BDBF17620}"/>
    <cellStyle name="Normal 57" xfId="6797" xr:uid="{5C81E9C0-3044-45D2-9116-F7E8E08BB248}"/>
    <cellStyle name="Normal 57 2" xfId="7636" xr:uid="{A98DBF81-CE8A-4025-80A6-90C8973C2A60}"/>
    <cellStyle name="Normal 57 2 2" xfId="9276" xr:uid="{14E37000-0AEC-4B17-B833-1197B1F4AA7C}"/>
    <cellStyle name="Normal 57 3" xfId="8441" xr:uid="{455EF9E6-FF9E-4B87-AD93-863274D9D13B}"/>
    <cellStyle name="Normal 58" xfId="6798" xr:uid="{D8A361E0-9D8A-489C-95EB-32F87F593567}"/>
    <cellStyle name="Normal 58 2" xfId="7637" xr:uid="{28E475F0-BD3B-4237-8FA1-D1AD3A1591D1}"/>
    <cellStyle name="Normal 58 2 2" xfId="9277" xr:uid="{F4F4E066-AD91-4319-B04F-9260E255132A}"/>
    <cellStyle name="Normal 58 3" xfId="8442" xr:uid="{BC131BD6-E441-4617-8078-4D0D8CC5F80E}"/>
    <cellStyle name="Normal 59" xfId="6339" xr:uid="{965ED18D-25FE-455F-86CF-74F467DE6A63}"/>
    <cellStyle name="Normal 59 2" xfId="7638" xr:uid="{A412803F-093F-4C1A-A394-AF066B0248B6}"/>
    <cellStyle name="Normal 59 2 2" xfId="9278" xr:uid="{9DE5B050-FE23-413C-935A-4CE411AAF2CF}"/>
    <cellStyle name="Normal 59 3" xfId="8046" xr:uid="{8DC71B5F-ED8B-4A48-B21B-1E05E4074060}"/>
    <cellStyle name="Normal 6" xfId="35" xr:uid="{BFF9244C-B0C9-4435-BCC4-357313CF30FE}"/>
    <cellStyle name="Normal 6 10" xfId="19405" xr:uid="{27F1E153-E174-4968-B78D-3FCF9C90D041}"/>
    <cellStyle name="Normal 6 2" xfId="6186" xr:uid="{A3A0CA13-820C-40A2-AF2E-F45BF3CAF79C}"/>
    <cellStyle name="Normal 6 2 2" xfId="6799" xr:uid="{93E381C3-05DA-4E6B-BA8B-C49C35313D34}"/>
    <cellStyle name="Normal 6 2 2 2" xfId="7639" xr:uid="{AA327E92-CAF9-4682-B440-D198756F89E9}"/>
    <cellStyle name="Normal 6 2 2 2 2" xfId="9279" xr:uid="{CCE4C8E0-2663-4138-B3E1-7C4DDBC9D627}"/>
    <cellStyle name="Normal 6 2 2 3" xfId="8443" xr:uid="{B2525890-A857-4057-BA3A-46D0652C8130}"/>
    <cellStyle name="Normal 6 2 3" xfId="6800" xr:uid="{8942C971-2681-4155-AD9C-30DCCB4801EB}"/>
    <cellStyle name="Normal 6 2 3 2" xfId="7640" xr:uid="{9663932D-779F-459E-BBD3-BB65A9333FB9}"/>
    <cellStyle name="Normal 6 2 3 2 2" xfId="9280" xr:uid="{2F09F9D0-9296-4284-95C2-34A6F9E42914}"/>
    <cellStyle name="Normal 6 2 3 3" xfId="8444" xr:uid="{7B7CAF12-E987-4592-B04F-1F2C7BC376D2}"/>
    <cellStyle name="Normal 6 2 4" xfId="6454" xr:uid="{2FD99D01-4412-4EE4-A95A-862A429BD168}"/>
    <cellStyle name="Normal 6 2 4 2" xfId="7641" xr:uid="{5659F78A-6835-4DAE-9C33-B11826822C16}"/>
    <cellStyle name="Normal 6 2 4 2 2" xfId="9281" xr:uid="{D2CE8941-72A0-4233-8189-757126E5C792}"/>
    <cellStyle name="Normal 6 2 4 3" xfId="8161" xr:uid="{A028F8D0-E78A-48DA-8E30-F8407024BE0C}"/>
    <cellStyle name="Normal 6 2 5" xfId="7124" xr:uid="{49A3C268-CA0C-4B09-976E-654928E97875}"/>
    <cellStyle name="Normal 6 2 5 2" xfId="8764" xr:uid="{3F278E45-ACB2-4068-AB22-E6B6C73B2FB7}"/>
    <cellStyle name="Normal 6 2 6" xfId="7966" xr:uid="{CC93ACA7-38BC-4F6E-AF84-D5477DC6B351}"/>
    <cellStyle name="Normal 6 3" xfId="6187" xr:uid="{EFF42C96-C0D9-4A55-A075-C606893C4409}"/>
    <cellStyle name="Normal 6 4" xfId="6188" xr:uid="{9BB187F5-D27F-4CEE-8ED1-66151DAF5165}"/>
    <cellStyle name="Normal 6 5" xfId="6801" xr:uid="{259407D2-390B-4FE4-B107-9E91C6DD09EE}"/>
    <cellStyle name="Normal 6 5 2" xfId="7642" xr:uid="{A29A35D9-ED3D-4C5E-B84E-D35D5561B579}"/>
    <cellStyle name="Normal 6 5 2 2" xfId="9282" xr:uid="{D8B75622-F7D4-4EC9-8A70-46F7CA647B0D}"/>
    <cellStyle name="Normal 6 5 3" xfId="8445" xr:uid="{5594B53C-0392-4F95-863F-25A04FDBD852}"/>
    <cellStyle name="Normal 6 6" xfId="6802" xr:uid="{46F23B5A-8DE3-40E8-B27B-F417F03FB64C}"/>
    <cellStyle name="Normal 6 6 2" xfId="7643" xr:uid="{4F071A32-0427-4850-913C-4DF994DF70FC}"/>
    <cellStyle name="Normal 6 6 2 2" xfId="9283" xr:uid="{59C8DD96-60DE-4364-B64C-A623383F167D}"/>
    <cellStyle name="Normal 6 6 3" xfId="8446" xr:uid="{C63FAD19-8EA6-47AB-8401-1EC2913A78AD}"/>
    <cellStyle name="Normal 6 7" xfId="6453" xr:uid="{AD3F6BAF-2EBC-4FF8-A08B-69D5B1CEE515}"/>
    <cellStyle name="Normal 6 7 2" xfId="7644" xr:uid="{9D9B6A72-6B4C-46AE-B9D7-99D5B19AC807}"/>
    <cellStyle name="Normal 6 7 2 2" xfId="9284" xr:uid="{F6B3D96D-3BD7-418D-8946-19AAAFD6C262}"/>
    <cellStyle name="Normal 6 7 3" xfId="8160" xr:uid="{2490134A-A3D9-4B63-80A9-46D378469B10}"/>
    <cellStyle name="Normal 6 8" xfId="6964" xr:uid="{4A276A73-931E-490C-B5B5-0D75D1F1C91F}"/>
    <cellStyle name="Normal 6 8 2" xfId="8603" xr:uid="{88CA691C-DE59-4D9F-8349-636CD944FCE4}"/>
    <cellStyle name="Normal 6 9" xfId="7765" xr:uid="{BA5396F0-B15F-46E3-811D-471DDD4F51CF}"/>
    <cellStyle name="Normal 6_1_solis_MK Nr 595 " xfId="6189" xr:uid="{575AC803-6147-4D31-9FFF-F5644566F882}"/>
    <cellStyle name="Normal 60" xfId="6940" xr:uid="{F01CAC86-7B98-4563-9430-9D234BCC841D}"/>
    <cellStyle name="Normal 60 2" xfId="6190" xr:uid="{36C8846E-06D5-4543-8A44-316A9D5D17E9}"/>
    <cellStyle name="Normal 60 2 2" xfId="6803" xr:uid="{84CA59B8-6560-44D8-AC32-8971996DC8D6}"/>
    <cellStyle name="Normal 60 2 2 2" xfId="7645" xr:uid="{5F7BEDA3-F41D-4E76-9B92-B8493B76C463}"/>
    <cellStyle name="Normal 60 2 2 2 2" xfId="9285" xr:uid="{08F5B72B-EBB2-4768-9BA6-FA9925844703}"/>
    <cellStyle name="Normal 60 2 2 3" xfId="8447" xr:uid="{B698D759-85AC-4CEC-A6AB-17B37EE394A9}"/>
    <cellStyle name="Normal 60 2 3" xfId="6804" xr:uid="{E74E87D4-E4DD-485C-843E-08B23A9B2C8F}"/>
    <cellStyle name="Normal 60 2 3 2" xfId="7646" xr:uid="{21F87A11-2D5D-44D0-BEE2-9E004133C9C2}"/>
    <cellStyle name="Normal 60 2 3 2 2" xfId="9286" xr:uid="{97CE082D-9181-4DB4-84C6-5D75C3CFFFE2}"/>
    <cellStyle name="Normal 60 2 3 3" xfId="8448" xr:uid="{10E7AB2B-0063-43D7-BED6-8AC00035F9F3}"/>
    <cellStyle name="Normal 60 2 4" xfId="6455" xr:uid="{C61DB320-C1EB-476D-8673-414AC57D4BEF}"/>
    <cellStyle name="Normal 60 2 4 2" xfId="7647" xr:uid="{165EB43E-B57A-40C3-BB34-D8A7AC85D0ED}"/>
    <cellStyle name="Normal 60 2 4 2 2" xfId="9287" xr:uid="{B34C80B1-ACCD-48E9-A4CC-A10E0BA99057}"/>
    <cellStyle name="Normal 60 2 4 3" xfId="8162" xr:uid="{036D0BCB-B957-41F8-B3E8-1A7332A1661D}"/>
    <cellStyle name="Normal 60 2 5" xfId="7125" xr:uid="{95E09FA1-A510-4D02-B18F-BB05BD76560D}"/>
    <cellStyle name="Normal 60 2 5 2" xfId="8765" xr:uid="{A4B67713-A468-482B-9EE8-14547DFEF060}"/>
    <cellStyle name="Normal 60 2 6" xfId="7967" xr:uid="{4EC1D410-583B-459C-870C-1C9201662D54}"/>
    <cellStyle name="Normal 60 3" xfId="14" xr:uid="{2896662E-7A3F-4784-9127-5EEB3655B06F}"/>
    <cellStyle name="Normal 60 4" xfId="7738" xr:uid="{995883C4-B9D7-4CDD-82A5-F2865A490895}"/>
    <cellStyle name="Normal 60 4 2" xfId="9378" xr:uid="{1CC14D3D-EAEC-4DAE-BD2D-EB2C74B65605}"/>
    <cellStyle name="Normal 60 5" xfId="8579" xr:uid="{FA36A8A6-3839-433F-BB69-3850F047D158}"/>
    <cellStyle name="Normal 61" xfId="6942" xr:uid="{42AF9602-E52B-4643-8936-CA455C9F74A7}"/>
    <cellStyle name="Normal 61 2" xfId="6960" xr:uid="{0BDDE1A7-0E03-47B8-A2D0-0705D9692724}"/>
    <cellStyle name="Normal 61 2 2" xfId="7754" xr:uid="{F280F828-CF81-4FBF-B884-9098AEEA3D83}"/>
    <cellStyle name="Normal 61 2 2 2" xfId="9391" xr:uid="{B286A921-2258-4F78-B685-2BE5A37DA6D7}"/>
    <cellStyle name="Normal 61 2 3" xfId="7763" xr:uid="{F653F906-5F58-4EE9-9E97-4C47C5E76439}"/>
    <cellStyle name="Normal 61 2 3 2" xfId="9400" xr:uid="{D631F38E-EC21-48A5-B07A-41494D4FAFAD}"/>
    <cellStyle name="Normal 61 2 4" xfId="8599" xr:uid="{4B63BAEC-54C0-4BE7-8BD5-120001AF33F9}"/>
    <cellStyle name="Normal 61 3" xfId="7740" xr:uid="{1C4A8F55-5E15-4A26-9ABF-C3184F61F5B6}"/>
    <cellStyle name="Normal 61 3 2" xfId="9380" xr:uid="{D71597F5-CF9C-41E1-B981-7BA0D9D49E64}"/>
    <cellStyle name="Normal 61 4" xfId="8581" xr:uid="{93EF40EF-78C9-400B-B502-4B81578C44EA}"/>
    <cellStyle name="Normal 62" xfId="24" xr:uid="{CD77B27F-781A-401D-891D-6CF9507395C8}"/>
    <cellStyle name="Normal 62 2" xfId="6961" xr:uid="{7AEC4D83-0C89-4C01-A5F7-9F7EF85825F1}"/>
    <cellStyle name="Normal 62 2 2" xfId="7755" xr:uid="{140121D0-B774-49A2-AD33-61B34D113785}"/>
    <cellStyle name="Normal 62 2 2 2" xfId="9392" xr:uid="{A95C3364-38A0-44A0-89B8-F6264F4C009E}"/>
    <cellStyle name="Normal 62 2 3" xfId="7762" xr:uid="{1D157156-CA2B-4B54-ACB5-4BC4348656ED}"/>
    <cellStyle name="Normal 62 2 3 2" xfId="9399" xr:uid="{25B01BC5-5B68-4B14-9AA3-4AC9BA6D6009}"/>
    <cellStyle name="Normal 62 2 4" xfId="8600" xr:uid="{7CBB2D30-8B49-4E9A-818D-A66AD10EC828}"/>
    <cellStyle name="Normal 62 3" xfId="7741" xr:uid="{1BFAEE32-632C-418A-AC7E-DA4A6BAFDFF1}"/>
    <cellStyle name="Normal 62 3 2" xfId="9381" xr:uid="{8D16E431-1ED5-4BC7-9152-51C7017A1472}"/>
    <cellStyle name="Normal 62 4" xfId="8583" xr:uid="{F94040B2-0720-4A2B-B614-E4E975472D38}"/>
    <cellStyle name="Normal 63" xfId="6943" xr:uid="{A3F35B5A-644F-4063-B02B-A6B146BC009C}"/>
    <cellStyle name="Normal 63 2" xfId="7751" xr:uid="{3CAFCECA-7C11-4B48-A9D5-9BAA688CDE9C}"/>
    <cellStyle name="Normal 63 2 2" xfId="9388" xr:uid="{588FB238-6DD2-45D6-97B8-C3E0E02D6030}"/>
    <cellStyle name="Normal 63 3" xfId="7742" xr:uid="{68EFCCE1-0B76-4E76-AF8D-87008C0EEE13}"/>
    <cellStyle name="Normal 63 4" xfId="8582" xr:uid="{DDED3DB6-B6ED-4DAA-88FF-6EFDF5393597}"/>
    <cellStyle name="Normal 64" xfId="6944" xr:uid="{4F489968-0121-4248-8928-396BAC536A7E}"/>
    <cellStyle name="Normal 64 2" xfId="7744" xr:uid="{AA56A7BD-C654-4D2C-B933-E8E5F9F70044}"/>
    <cellStyle name="Normal 64 3" xfId="8584" xr:uid="{F090A76A-861D-4F30-910A-6CAE85CDBE21}"/>
    <cellStyle name="Normal 65" xfId="6946" xr:uid="{0EC1F547-2F4C-48CF-A022-5468E8062588}"/>
    <cellStyle name="Normal 65 2" xfId="7745" xr:uid="{E644CC72-8E64-4D0D-96BA-C4F6A8B9607D}"/>
    <cellStyle name="Normal 65 2 2" xfId="9382" xr:uid="{7EC162F7-8D48-49FA-8151-E87598173958}"/>
    <cellStyle name="Normal 65 3" xfId="8586" xr:uid="{CC89BC50-FF12-45C7-B98C-001ECC0FD59F}"/>
    <cellStyle name="Normal 66" xfId="6947" xr:uid="{BC41C34E-345E-4FB9-B685-A93A466C1869}"/>
    <cellStyle name="Normal 66 2" xfId="6954" xr:uid="{67F4792E-BA2E-4262-AFDF-DE4B49556C48}"/>
    <cellStyle name="Normal 66 2 2" xfId="11" xr:uid="{B0ECE7BA-7AF6-4204-ACD4-72889E2F9618}"/>
    <cellStyle name="Normal 66 2 2 2" xfId="9395" xr:uid="{102DDDC2-84D6-40CA-A29F-802A9B030F00}"/>
    <cellStyle name="Normal 66 2 2 3" xfId="7758" xr:uid="{01A31613-2F5F-4723-9C87-EB067DABBBB7}"/>
    <cellStyle name="Normal 66 2 3" xfId="8594" xr:uid="{1B7C1AED-D2B7-40AA-A191-2EFDCBC4CE80}"/>
    <cellStyle name="Normal 66 3" xfId="7746" xr:uid="{FE0E1EB9-1D54-494C-B3BB-5CBA1F2E07D4}"/>
    <cellStyle name="Normal 66 3 2" xfId="9383" xr:uid="{31E4AE72-CA24-4CB0-A7E2-9D596D836640}"/>
    <cellStyle name="Normal 66 4" xfId="8587" xr:uid="{408C5E12-20A1-4EBD-B126-9C363649B5CB}"/>
    <cellStyle name="Normal 67" xfId="6948" xr:uid="{D73D4CE5-CE4B-42ED-BB4B-634E16AA0640}"/>
    <cellStyle name="Normal 67 2" xfId="7747" xr:uid="{91FDF385-0FC6-4774-85F3-597EBA03DC43}"/>
    <cellStyle name="Normal 67 2 2" xfId="9384" xr:uid="{E2D95DE5-6FDC-47E0-B860-76386AC4077E}"/>
    <cellStyle name="Normal 67 3" xfId="8588" xr:uid="{A7BEDBB5-173B-4420-8906-559988D73677}"/>
    <cellStyle name="Normal 68" xfId="6949" xr:uid="{A54A0AE1-78B3-438C-B7FB-E7B293CB553B}"/>
    <cellStyle name="Normal 68 2" xfId="6955" xr:uid="{141682A6-0E63-4756-A150-B2BFD7157614}"/>
    <cellStyle name="Normal 68 2 2" xfId="7759" xr:uid="{36B8CFDA-0AEF-43E9-AFEE-525D12D54A73}"/>
    <cellStyle name="Normal 68 2 2 2" xfId="9396" xr:uid="{CFBFA4BF-5D4A-4642-AA65-0583B1EFAE8E}"/>
    <cellStyle name="Normal 68 2 3" xfId="8595" xr:uid="{886F5D6A-196E-4584-93D4-3F1A2999681C}"/>
    <cellStyle name="Normal 68 3" xfId="7748" xr:uid="{519D1B8F-448B-4D74-A39D-6572B5564062}"/>
    <cellStyle name="Normal 68 3 2" xfId="9385" xr:uid="{3F8DCBDF-6E1F-4A4C-B648-8BD214F67BA3}"/>
    <cellStyle name="Normal 68 4" xfId="8589" xr:uid="{FCA31803-32B2-4B56-9C16-E983251EEE71}"/>
    <cellStyle name="Normal 69" xfId="6939" xr:uid="{E851ED85-BF66-43F2-B70F-B2E4412759D5}"/>
    <cellStyle name="Normal 69 2" xfId="7739" xr:uid="{6BDB0367-05B9-40FE-B518-A27DBAFB0186}"/>
    <cellStyle name="Normal 69 2 2" xfId="9379" xr:uid="{F62D2E96-E225-474F-B786-2A54278463F7}"/>
    <cellStyle name="Normal 69 3" xfId="7750" xr:uid="{56CCE766-26CE-4F18-B0E7-E5BDF88A4917}"/>
    <cellStyle name="Normal 69 3 2" xfId="9387" xr:uid="{7D2FB1DD-5655-4D21-9F78-3268F3831AD8}"/>
    <cellStyle name="Normal 69 4" xfId="7215" xr:uid="{BAC25BBE-B9EC-40C3-BC7D-D5C2E7E45BE0}"/>
    <cellStyle name="Normal 69 4 2" xfId="8855" xr:uid="{B420B255-671E-4414-9733-122C578A634A}"/>
    <cellStyle name="Normal 69 5" xfId="8578" xr:uid="{7F09C70C-2BBA-4590-8A4C-4D59CEF2BF8D}"/>
    <cellStyle name="Normal 7" xfId="37" xr:uid="{E34AE639-7985-4245-B29B-7A32E659090C}"/>
    <cellStyle name="Normal 7 2" xfId="6191" xr:uid="{FC9FC567-3702-45FF-9A86-339C99802289}"/>
    <cellStyle name="Normal 7 3" xfId="88" xr:uid="{77A6092B-F240-4AF8-BD7C-C1C265C42EFB}"/>
    <cellStyle name="Normal 70" xfId="6192" xr:uid="{7B066FF3-70B9-4275-B900-0AD19C345BEC}"/>
    <cellStyle name="Normal 71" xfId="6193" xr:uid="{1269B8B2-4288-481A-9731-A5795662D04A}"/>
    <cellStyle name="Normal 72" xfId="6950" xr:uid="{28DF7123-4F12-40F9-87D1-92F94039E7D9}"/>
    <cellStyle name="Normal 72 2" xfId="6959" xr:uid="{9B5CEB7E-353A-43B2-A43C-8FA73FFA8E74}"/>
    <cellStyle name="Normal 72 2 2" xfId="8598" xr:uid="{BD64B1D6-749B-46A4-898C-60914BDC6E60}"/>
    <cellStyle name="Normal 72 3" xfId="7752" xr:uid="{AD37BA8F-6632-4BE7-B833-A53883F44568}"/>
    <cellStyle name="Normal 72 3 2" xfId="9389" xr:uid="{306438B7-7C9E-401B-B22A-81275C7DB0D1}"/>
    <cellStyle name="Normal 72 4" xfId="8590" xr:uid="{99068E5A-3496-48E7-A826-8C10A70064ED}"/>
    <cellStyle name="Normal 73" xfId="6952" xr:uid="{D33CBF30-EF9D-4402-8F7C-EA314AC367E0}"/>
    <cellStyle name="Normal 73 2" xfId="8592" xr:uid="{7784F41D-6AAF-459D-97C4-1E06344883B5}"/>
    <cellStyle name="Normal 74" xfId="7756" xr:uid="{50DD062F-5080-4C2E-9099-6616FD3D1FC1}"/>
    <cellStyle name="Normal 74 2" xfId="9393" xr:uid="{23DB37F2-A17C-45BC-B513-5F7EEAD4FBD0}"/>
    <cellStyle name="Normal 75" xfId="9816" xr:uid="{2E8EBC5E-8DFE-4D79-97AE-5FB0B272FB98}"/>
    <cellStyle name="Normal 75 2" xfId="19410" xr:uid="{67065310-DABA-4923-9694-8AC3F0E25274}"/>
    <cellStyle name="Normal 76" xfId="33" xr:uid="{419854D2-B7EE-4509-B449-8457C39A9892}"/>
    <cellStyle name="Normal 77" xfId="9817" xr:uid="{91667CFD-6153-439C-8B84-F37A999DD489}"/>
    <cellStyle name="Normal 78" xfId="9818" xr:uid="{DBFC6F56-4616-4491-BE31-40D43FBEE8CF}"/>
    <cellStyle name="Normal 79" xfId="9819" xr:uid="{3A9452AF-9BFB-44D1-AB29-739C332F2169}"/>
    <cellStyle name="Normal 8" xfId="15" xr:uid="{5A1B3693-3841-4E70-8F5C-802E1D113FF9}"/>
    <cellStyle name="Normal 8 2" xfId="41" xr:uid="{08560D0C-70AF-48A8-8118-79598E100D67}"/>
    <cellStyle name="Normal 8 3" xfId="6194" xr:uid="{254BC0DF-319C-4676-BDA0-024EC03C7943}"/>
    <cellStyle name="Normal 8 4" xfId="6521" xr:uid="{C858AF49-2852-43D2-8549-B72550F8C774}"/>
    <cellStyle name="Normal 8 4 2" xfId="7209" xr:uid="{E97E7612-10F2-4B34-A7B6-1EB310111611}"/>
    <cellStyle name="Normal 8 4 2 2" xfId="8849" xr:uid="{1D4D1A5F-E39E-4702-A7A2-BC9F83636C6F}"/>
    <cellStyle name="Normal 8 4 3" xfId="8175" xr:uid="{F7C6F2E7-C548-49CD-A846-771C955243AB}"/>
    <cellStyle name="Normal 8 5" xfId="6805" xr:uid="{8588B369-8BD0-4565-8539-2ABD3F9AB669}"/>
    <cellStyle name="Normal 8 5 2" xfId="7648" xr:uid="{0CA42285-4B7E-4A51-9719-8D732E709A6A}"/>
    <cellStyle name="Normal 8 5 2 2" xfId="9288" xr:uid="{1E553209-90ED-457D-9D0C-69EC67C8B8CC}"/>
    <cellStyle name="Normal 8 5 3" xfId="8449" xr:uid="{C76C97A0-727C-4059-B765-17C3AA61BD51}"/>
    <cellStyle name="Normal 8_1_solis_MK Nr 595 " xfId="6195" xr:uid="{5090098F-120F-4742-BB23-3CCB81B03A98}"/>
    <cellStyle name="Normal 80" xfId="9820" xr:uid="{A7848C62-802D-484B-9084-B37C205F0330}"/>
    <cellStyle name="Normal 81" xfId="9822" xr:uid="{578B683C-DDD1-423A-BE80-570389EF70B7}"/>
    <cellStyle name="Normal 82" xfId="55" xr:uid="{08F4B634-89EE-4B98-98C3-6A2CBB99B3C7}"/>
    <cellStyle name="Normal 82 2" xfId="106" xr:uid="{ED168A18-7273-45F5-9F79-49AC7B12BD3B}"/>
    <cellStyle name="Normal 83" xfId="6951" xr:uid="{26935887-DC6B-4F34-8936-E57A93517485}"/>
    <cellStyle name="Normal 83 2" xfId="8591" xr:uid="{79EFDE00-4653-4141-96D0-8B4D2CBF2CCF}"/>
    <cellStyle name="Normal 84" xfId="146" xr:uid="{B2F59995-4ADB-4A2C-84B4-A20374B42647}"/>
    <cellStyle name="Normal 85" xfId="11946" xr:uid="{5C809A5E-7965-43A7-8160-164E07673669}"/>
    <cellStyle name="Normal 86" xfId="10871" xr:uid="{247C0927-C95E-441C-9A89-5EA0A04C8C4D}"/>
    <cellStyle name="Normal 87" xfId="11551" xr:uid="{4C45900B-82E9-44F2-B9AC-48021B779817}"/>
    <cellStyle name="Normal 88" xfId="11188" xr:uid="{F1D5FC01-52EB-4DC6-B912-F2D4627C3547}"/>
    <cellStyle name="Normal 89" xfId="12867" xr:uid="{0C943399-428B-4499-AA78-A4EEFC78B325}"/>
    <cellStyle name="Normal 9" xfId="63" xr:uid="{A264C1DF-9112-4FD5-8074-59E54A933F34}"/>
    <cellStyle name="Normal 9 2" xfId="6196" xr:uid="{A6D65A1B-35B5-495B-BD2B-10F5CE406BCA}"/>
    <cellStyle name="Normal 9 3" xfId="6197" xr:uid="{50D19E83-5E78-49D6-AA51-1B07A27E38A9}"/>
    <cellStyle name="Normal 9 4" xfId="6522" xr:uid="{D2D29DBF-F374-4624-9782-23FEBFC56499}"/>
    <cellStyle name="Normal 9 5" xfId="135" xr:uid="{E2ED89BA-4AF3-483A-AF70-849A10FA961E}"/>
    <cellStyle name="Normal 9_1_solis_MK Nr 595 " xfId="6198" xr:uid="{6C0ED657-7936-441C-93AC-F5BB04371427}"/>
    <cellStyle name="Normal 90" xfId="10108" xr:uid="{02B6335D-D664-421A-A8C8-9A379553D64B}"/>
    <cellStyle name="Normal 91" xfId="19404" xr:uid="{2EEE952E-DDF9-4F55-BA6C-CEDD0E7C4EE7}"/>
    <cellStyle name="Normal 92" xfId="19414" xr:uid="{A137B2AB-7FDB-4DD6-82ED-775B19F32104}"/>
    <cellStyle name="Normal 93" xfId="19409" xr:uid="{0D7D3E6C-FCCD-4C9E-AD1D-02AB7918AB43}"/>
    <cellStyle name="Normal 94" xfId="19411" xr:uid="{E12B2109-8856-488F-9925-017906AE0FC3}"/>
    <cellStyle name="Normal 95" xfId="19412" xr:uid="{DDFC7FF3-567B-41E5-A3CE-60CFB68A30FE}"/>
    <cellStyle name="Normal 96" xfId="19413" xr:uid="{B7165FE2-963F-4EFD-8EE0-45483D7981BA}"/>
    <cellStyle name="Normal_Sheet1" xfId="71" xr:uid="{826574F7-B2F5-4810-BAE8-498340F9683C}"/>
    <cellStyle name="Normal_Sheet1 2" xfId="70" xr:uid="{3934DAEB-DFDC-4706-92B8-887E700CE054}"/>
    <cellStyle name="Note 10" xfId="6199" xr:uid="{85CDA85D-ACCD-4369-B7F6-8BC48087E44C}"/>
    <cellStyle name="Note 10 10" xfId="13641" xr:uid="{9FA4ED61-0C45-41F6-913C-E3BFFA48328B}"/>
    <cellStyle name="Note 10 11" xfId="14618" xr:uid="{0B247DB5-0736-4932-A9F6-9E56FD66465D}"/>
    <cellStyle name="Note 10 12" xfId="15571" xr:uid="{7E05559C-CB89-441B-83B3-3C1F71F46218}"/>
    <cellStyle name="Note 10 2" xfId="6842" xr:uid="{CF4B0298-764A-49F1-BB6F-F7395BBE079A}"/>
    <cellStyle name="Note 10 2 10" xfId="11048" xr:uid="{25FD4EF0-68D3-47FC-A018-E31A66210756}"/>
    <cellStyle name="Note 10 2 11" xfId="11967" xr:uid="{071692E4-B8B3-44E2-8174-9BF153A248F1}"/>
    <cellStyle name="Note 10 2 2" xfId="7649" xr:uid="{8F02ACD8-FD75-447D-B311-721147C07AD7}"/>
    <cellStyle name="Note 10 2 2 10" xfId="18135" xr:uid="{CE720877-D1CE-4BD5-8806-14DC0D3D3E25}"/>
    <cellStyle name="Note 10 2 2 2" xfId="9289" xr:uid="{88B229EF-55DE-493A-8813-D426607FFAE8}"/>
    <cellStyle name="Note 10 2 2 2 2" xfId="13723" xr:uid="{3740AF5C-1212-4A1D-9215-B7E4DA8797A7}"/>
    <cellStyle name="Note 10 2 2 2 3" xfId="14685" xr:uid="{8D9EC28A-C9BB-4718-877C-36CCB43D5FF1}"/>
    <cellStyle name="Note 10 2 2 2 4" xfId="15637" xr:uid="{A4CD2FBD-1B14-42BC-8A29-0EC212C61FC1}"/>
    <cellStyle name="Note 10 2 2 2 5" xfId="16517" xr:uid="{1911F079-0652-4964-8D7E-9A87481480A4}"/>
    <cellStyle name="Note 10 2 2 2 6" xfId="17383" xr:uid="{53C8EF12-CB59-4D44-B83E-84CAF4396BAE}"/>
    <cellStyle name="Note 10 2 2 2 7" xfId="18159" xr:uid="{8410CD78-B628-4381-BCC2-36F4F3B36454}"/>
    <cellStyle name="Note 10 2 2 2 8" xfId="18916" xr:uid="{8F0C2138-1DFD-49A6-8021-C7E6A5796CE1}"/>
    <cellStyle name="Note 10 2 2 3" xfId="9743" xr:uid="{5DD34D98-E078-484B-89D1-167D98CF644A}"/>
    <cellStyle name="Note 10 2 2 3 2" xfId="14147" xr:uid="{752A391F-1E5A-448F-B6C8-6A3630E60039}"/>
    <cellStyle name="Note 10 2 2 3 3" xfId="15107" xr:uid="{78FAD6BD-3AB9-4F94-888E-8DA458FE6417}"/>
    <cellStyle name="Note 10 2 2 3 4" xfId="16059" xr:uid="{8B3E696F-411E-4642-9133-305C8017245B}"/>
    <cellStyle name="Note 10 2 2 3 5" xfId="16933" xr:uid="{156FB634-0342-4852-A999-B0C259A2ADB5}"/>
    <cellStyle name="Note 10 2 2 3 6" xfId="17798" xr:uid="{6A055E51-1564-42AD-875C-A568E21452E6}"/>
    <cellStyle name="Note 10 2 2 3 7" xfId="18574" xr:uid="{13DA7208-2DE7-481C-A0AE-FE04C2EBA9C5}"/>
    <cellStyle name="Note 10 2 2 3 8" xfId="19331" xr:uid="{EAB36470-B27B-49F2-8FAB-4AEF91757024}"/>
    <cellStyle name="Note 10 2 2 4" xfId="12707" xr:uid="{25CAB670-B8FB-46B0-AD48-F1A17024C307}"/>
    <cellStyle name="Note 10 2 2 5" xfId="13531" xr:uid="{E0574F58-183C-4323-9442-535B19FF136D}"/>
    <cellStyle name="Note 10 2 2 6" xfId="14535" xr:uid="{439F6DC5-7309-4130-A66D-C9F9B9F7EF1F}"/>
    <cellStyle name="Note 10 2 2 7" xfId="15493" xr:uid="{7949E841-A328-4EAA-B3C3-C74290272370}"/>
    <cellStyle name="Note 10 2 2 8" xfId="16418" xr:uid="{346C9C9C-C92E-4714-9FEC-9D46D0454CAB}"/>
    <cellStyle name="Note 10 2 2 9" xfId="17289" xr:uid="{326FE8A5-D211-4E5C-9AC2-B776EE100EB0}"/>
    <cellStyle name="Note 10 2 3" xfId="8482" xr:uid="{C2FDB4CC-713B-473F-A476-0EC4EC7E6F11}"/>
    <cellStyle name="Note 10 2 3 2" xfId="13222" xr:uid="{47B88552-17F1-4CB5-8FDD-5210D308DA1D}"/>
    <cellStyle name="Note 10 2 3 3" xfId="14242" xr:uid="{C7B4D1FE-9525-4972-A37F-6EA577FD6F1F}"/>
    <cellStyle name="Note 10 2 3 4" xfId="15202" xr:uid="{C17C53A9-A697-41B7-BA0C-9234C79D05AB}"/>
    <cellStyle name="Note 10 2 3 5" xfId="16151" xr:uid="{7BA91CCC-7845-4292-B79E-8A765123A2C2}"/>
    <cellStyle name="Note 10 2 3 6" xfId="17024" xr:uid="{D895407C-96E8-4E62-9189-2CB8C395571E}"/>
    <cellStyle name="Note 10 2 3 7" xfId="17889" xr:uid="{F9793C13-3E00-4910-A232-C4F0B6E5FB05}"/>
    <cellStyle name="Note 10 2 3 8" xfId="18665" xr:uid="{F6F8643E-3A87-4F8A-9288-B1A170E6B158}"/>
    <cellStyle name="Note 10 2 4" xfId="9492" xr:uid="{4506FB5B-5B58-40C4-9D1F-954C42C41CA9}"/>
    <cellStyle name="Note 10 2 4 2" xfId="13896" xr:uid="{6EF727BD-D98A-4D52-99CB-12CD4AAF282A}"/>
    <cellStyle name="Note 10 2 4 3" xfId="14856" xr:uid="{3E197E73-7E97-49E5-AC67-F320713D428C}"/>
    <cellStyle name="Note 10 2 4 4" xfId="15808" xr:uid="{0AEC4414-3DA8-43EC-A069-7DD6DFFC76BE}"/>
    <cellStyle name="Note 10 2 4 5" xfId="16682" xr:uid="{732E9299-B312-45FB-AA88-83CAF30EAF72}"/>
    <cellStyle name="Note 10 2 4 6" xfId="17547" xr:uid="{A75E67A6-083E-4919-894F-EE2C3881AE76}"/>
    <cellStyle name="Note 10 2 4 7" xfId="18323" xr:uid="{39FBB6F8-8BC2-4807-8AA6-906314DC4542}"/>
    <cellStyle name="Note 10 2 4 8" xfId="19080" xr:uid="{ECE1059C-B88E-4F9B-9A08-220232895148}"/>
    <cellStyle name="Note 10 2 5" xfId="12193" xr:uid="{E28921FC-72C5-43CA-AE92-893BE7A4B543}"/>
    <cellStyle name="Note 10 2 6" xfId="10672" xr:uid="{75ACE22A-4F04-46CA-9A40-7C85ED58745E}"/>
    <cellStyle name="Note 10 2 7" xfId="12591" xr:uid="{B2AFB8CF-D85B-413A-B4DB-48E99654A769}"/>
    <cellStyle name="Note 10 2 8" xfId="10313" xr:uid="{5A3035E8-850F-4CA6-83D8-CA0D4986C250}"/>
    <cellStyle name="Note 10 2 9" xfId="11749" xr:uid="{6D8C59BC-45FE-4014-99B0-0A233C238306}"/>
    <cellStyle name="Note 10 3" xfId="7126" xr:uid="{795C2416-9A61-4BB3-B836-573C6ADE42B1}"/>
    <cellStyle name="Note 10 3 10" xfId="11562" xr:uid="{A3335A82-D0CD-4B5A-9BC4-E37937FC9045}"/>
    <cellStyle name="Note 10 3 2" xfId="8766" xr:uid="{B49C0BFB-68EF-4C73-9E19-43183B88130B}"/>
    <cellStyle name="Note 10 3 2 2" xfId="13426" xr:uid="{8BF85631-081B-43B5-AB57-E8AB231A886C}"/>
    <cellStyle name="Note 10 3 2 3" xfId="14432" xr:uid="{95E744DC-EAB6-4B2F-B00F-DA79C9E0649D}"/>
    <cellStyle name="Note 10 3 2 4" xfId="15390" xr:uid="{910B4A40-8B17-497C-930B-E4A8B4F79B1A}"/>
    <cellStyle name="Note 10 3 2 5" xfId="16317" xr:uid="{A67B7943-53C8-46E8-9B34-5AB88994D37A}"/>
    <cellStyle name="Note 10 3 2 6" xfId="17188" xr:uid="{9A5DC9B8-A616-4FF6-87CE-496EA8AC10D4}"/>
    <cellStyle name="Note 10 3 2 7" xfId="18035" xr:uid="{C5EC302A-B8EB-49B1-A25E-65B8D89F76DE}"/>
    <cellStyle name="Note 10 3 2 8" xfId="18802" xr:uid="{CC891DD4-432F-4F0F-A9A1-C4079F92F8FF}"/>
    <cellStyle name="Note 10 3 3" xfId="9629" xr:uid="{2BDEFA1D-2472-47C2-9806-E1807B2420C0}"/>
    <cellStyle name="Note 10 3 3 2" xfId="14033" xr:uid="{584D093B-8714-4DD9-9C97-A94D18E746F1}"/>
    <cellStyle name="Note 10 3 3 3" xfId="14993" xr:uid="{6D343F21-A520-42E6-A897-F915AAD19B68}"/>
    <cellStyle name="Note 10 3 3 4" xfId="15945" xr:uid="{7BC332A1-CE02-4D2F-B51F-ACCBED3F75BA}"/>
    <cellStyle name="Note 10 3 3 5" xfId="16819" xr:uid="{F511B056-D5DB-48BB-BE3D-2BE0CFB65BE2}"/>
    <cellStyle name="Note 10 3 3 6" xfId="17684" xr:uid="{43D49233-8781-4BC7-9980-348EE89CF8E6}"/>
    <cellStyle name="Note 10 3 3 7" xfId="18460" xr:uid="{CD01C409-BBEA-46A8-94C9-E753E26F7462}"/>
    <cellStyle name="Note 10 3 3 8" xfId="19217" xr:uid="{D2FB1B6C-0AC0-4A1D-AC90-69944A8A3D16}"/>
    <cellStyle name="Note 10 3 4" xfId="12396" xr:uid="{BCDACB76-8B5C-4EBE-8654-A72C2A6DF4E5}"/>
    <cellStyle name="Note 10 3 5" xfId="10482" xr:uid="{6A2AA256-6381-40BD-915D-B6436D241B1E}"/>
    <cellStyle name="Note 10 3 6" xfId="11698" xr:uid="{90975E4A-2527-4886-B2C8-A5D4B2BC443D}"/>
    <cellStyle name="Note 10 3 7" xfId="11088" xr:uid="{57CA0CF4-4798-447D-B868-A16BFB388429}"/>
    <cellStyle name="Note 10 3 8" xfId="11965" xr:uid="{11EC7A69-70E1-4D17-BF0B-47112530E4B3}"/>
    <cellStyle name="Note 10 3 9" xfId="10860" xr:uid="{7E442D0B-1C73-4AAF-A0B1-69F2DAF31AB8}"/>
    <cellStyle name="Note 10 4" xfId="7968" xr:uid="{D072EC80-1C39-45F6-AD65-0FF428423C24}"/>
    <cellStyle name="Note 10 4 2" xfId="12937" xr:uid="{D759AE59-58A3-4F23-8227-A234C5BA500C}"/>
    <cellStyle name="Note 10 4 3" xfId="10052" xr:uid="{7E70C788-8F98-4B14-B2FC-8BB63C88F9F1}"/>
    <cellStyle name="Note 10 4 4" xfId="13707" xr:uid="{BFFFF5E9-91EC-4E55-A904-DF66C9D784F8}"/>
    <cellStyle name="Note 10 4 5" xfId="14671" xr:uid="{1767070F-758B-4D2B-88DE-3DECF7870750}"/>
    <cellStyle name="Note 10 4 6" xfId="15623" xr:uid="{8E62CB24-D876-4ED1-AF8F-3AF0BF4D7BCB}"/>
    <cellStyle name="Note 10 4 7" xfId="16505" xr:uid="{4980143A-7E7E-484F-BBF4-6142CE915D38}"/>
    <cellStyle name="Note 10 4 8" xfId="17373" xr:uid="{A7F86745-3DEA-4F9D-AD8B-A835D17AFB72}"/>
    <cellStyle name="Note 10 5" xfId="9401" xr:uid="{83EE649B-2616-4A29-B154-EB51FEF95259}"/>
    <cellStyle name="Note 10 5 2" xfId="13805" xr:uid="{DCDA8F66-0344-44EC-A101-32946FE2F2C4}"/>
    <cellStyle name="Note 10 5 3" xfId="14765" xr:uid="{E0BEA2E4-159B-4C9C-A1B3-8BA8C6E9E5AD}"/>
    <cellStyle name="Note 10 5 4" xfId="15717" xr:uid="{9FBC95E6-F0BE-4C51-A61A-CB4560FCFCB7}"/>
    <cellStyle name="Note 10 5 5" xfId="16591" xr:uid="{EDD081CE-25D6-4967-85EC-B5CAD24C786A}"/>
    <cellStyle name="Note 10 5 6" xfId="17456" xr:uid="{23E47BCA-740A-42FB-84A5-77C6BC5B0E49}"/>
    <cellStyle name="Note 10 5 7" xfId="18232" xr:uid="{B1E96065-0041-48AA-81FE-3D3D7FE222BD}"/>
    <cellStyle name="Note 10 5 8" xfId="18989" xr:uid="{77DA32B5-BB1E-458C-8F0E-2119C7623C76}"/>
    <cellStyle name="Note 10 6" xfId="11841" xr:uid="{D9A46512-8D46-47F9-BB5C-953EF110AFF6}"/>
    <cellStyle name="Note 10 7" xfId="10972" xr:uid="{B3444FDB-0309-4141-81B5-DA3EDAB5B207}"/>
    <cellStyle name="Note 10 8" xfId="12363" xr:uid="{C7DFFAD6-162B-4249-A21D-E18C94BBB720}"/>
    <cellStyle name="Note 10 9" xfId="10510" xr:uid="{FB0F71A0-18D7-4839-B252-1A994403CF63}"/>
    <cellStyle name="Note 11" xfId="6200" xr:uid="{F894C7F9-2019-48FA-B887-06CB2A35C76E}"/>
    <cellStyle name="Note 11 10" xfId="15362" xr:uid="{03481626-922B-461A-9FC9-C95E07D5249C}"/>
    <cellStyle name="Note 11 11" xfId="16297" xr:uid="{D8B451CE-12E7-4702-BCDE-C63179FC3BE9}"/>
    <cellStyle name="Note 11 12" xfId="17169" xr:uid="{C4F5ED2A-6E40-409B-8BDE-9B8F7026FB7A}"/>
    <cellStyle name="Note 11 2" xfId="6841" xr:uid="{4A62D833-CF71-4168-9D0A-D5F4A7BFAE62}"/>
    <cellStyle name="Note 11 2 10" xfId="11182" xr:uid="{21543E5F-CF86-4FA4-AAF8-3FA6ED51E167}"/>
    <cellStyle name="Note 11 2 11" xfId="13568" xr:uid="{BCEAC6D2-FD3D-4319-B1BE-BB28841F9FFE}"/>
    <cellStyle name="Note 11 2 2" xfId="7650" xr:uid="{A76B0C2F-A975-40C5-9531-9B2C4FF5EAD7}"/>
    <cellStyle name="Note 11 2 2 10" xfId="9860" xr:uid="{80202F15-7CC9-4B95-86FF-4601F25E9A49}"/>
    <cellStyle name="Note 11 2 2 2" xfId="9290" xr:uid="{BDCBED30-E42A-4024-8F30-5E08D496A8D1}"/>
    <cellStyle name="Note 11 2 2 2 2" xfId="13724" xr:uid="{3082CA64-FC91-4965-AA7A-ED545BB1A7B8}"/>
    <cellStyle name="Note 11 2 2 2 3" xfId="14686" xr:uid="{A7B867DA-DEDC-4C4D-9C66-B88BA98C57B7}"/>
    <cellStyle name="Note 11 2 2 2 4" xfId="15638" xr:uid="{3B9E0A31-85B6-4158-AE0D-56BE1CC09C50}"/>
    <cellStyle name="Note 11 2 2 2 5" xfId="16518" xr:uid="{DA857511-CE78-4CE3-9674-645CC04D61C0}"/>
    <cellStyle name="Note 11 2 2 2 6" xfId="17384" xr:uid="{52A70E88-A21D-4F24-839E-143FB1917F7E}"/>
    <cellStyle name="Note 11 2 2 2 7" xfId="18160" xr:uid="{A942CE9B-F29D-4283-A7F0-187C9DF0D43E}"/>
    <cellStyle name="Note 11 2 2 2 8" xfId="18917" xr:uid="{CE7CA4A7-9727-47B9-B8FA-F3DE505DA79D}"/>
    <cellStyle name="Note 11 2 2 3" xfId="9744" xr:uid="{29FBFDE2-29B4-4EED-B7D4-EF5875F34DBE}"/>
    <cellStyle name="Note 11 2 2 3 2" xfId="14148" xr:uid="{60D2C2AF-F27B-47EF-BF58-63E4789BAF8B}"/>
    <cellStyle name="Note 11 2 2 3 3" xfId="15108" xr:uid="{4E1D2C50-5278-4115-91F4-32EB772FEC33}"/>
    <cellStyle name="Note 11 2 2 3 4" xfId="16060" xr:uid="{637E40F5-68B4-4DDA-A248-6A7C0C2FEF5D}"/>
    <cellStyle name="Note 11 2 2 3 5" xfId="16934" xr:uid="{5223244C-3BC6-40AC-BCEE-7030EC5AC559}"/>
    <cellStyle name="Note 11 2 2 3 6" xfId="17799" xr:uid="{1C12CAB9-DB12-40E9-B61C-46CC62DDD86A}"/>
    <cellStyle name="Note 11 2 2 3 7" xfId="18575" xr:uid="{3186DC83-FD86-4F2F-B8CB-C67E18A0E617}"/>
    <cellStyle name="Note 11 2 2 3 8" xfId="19332" xr:uid="{3852D6E4-E4F0-4BC8-A7D4-F8B9F4926AAC}"/>
    <cellStyle name="Note 11 2 2 4" xfId="12708" xr:uid="{E0066FD1-F9D9-487E-88B6-885105B62A48}"/>
    <cellStyle name="Note 11 2 2 5" xfId="12503" xr:uid="{F9333A6C-0A4B-4C17-8624-F16F0B05ECFE}"/>
    <cellStyle name="Note 11 2 2 6" xfId="10378" xr:uid="{9E4B46F7-2F4A-4FD1-9670-D05CA5225AC3}"/>
    <cellStyle name="Note 11 2 2 7" xfId="12923" xr:uid="{33BD5621-7CCE-47AC-A7C6-D2C84F5AB733}"/>
    <cellStyle name="Note 11 2 2 8" xfId="10061" xr:uid="{6AE5A9AB-FD70-4EEB-9A30-473641655D9C}"/>
    <cellStyle name="Note 11 2 2 9" xfId="13177" xr:uid="{57A6E30C-9ABB-410F-986C-AA6D09C8F908}"/>
    <cellStyle name="Note 11 2 3" xfId="8481" xr:uid="{83DBDECB-ADED-42A8-8001-E74F5EE589F5}"/>
    <cellStyle name="Note 11 2 3 2" xfId="13221" xr:uid="{17228784-A4C7-4C65-8C8E-E502E325D887}"/>
    <cellStyle name="Note 11 2 3 3" xfId="14241" xr:uid="{C36DA2F5-8F45-4F0D-8A45-8AC6F6FD1ABB}"/>
    <cellStyle name="Note 11 2 3 4" xfId="15201" xr:uid="{8736A610-29AA-4D07-8F83-E5AE2910726C}"/>
    <cellStyle name="Note 11 2 3 5" xfId="16150" xr:uid="{D12633FB-7F12-4574-A8C3-5BE069D4D3F6}"/>
    <cellStyle name="Note 11 2 3 6" xfId="17023" xr:uid="{9CC73BBB-F026-4024-AEA5-EC30EEAADEB8}"/>
    <cellStyle name="Note 11 2 3 7" xfId="17888" xr:uid="{B410DB60-CC74-414E-9FCB-102CA0F7112A}"/>
    <cellStyle name="Note 11 2 3 8" xfId="18664" xr:uid="{EA24A353-2EAE-4E05-9A9B-9F0379871353}"/>
    <cellStyle name="Note 11 2 4" xfId="9491" xr:uid="{77E5C99A-34D9-4859-9934-A4E5475DE8DD}"/>
    <cellStyle name="Note 11 2 4 2" xfId="13895" xr:uid="{1127901C-3B13-47EC-98A0-115252A5F472}"/>
    <cellStyle name="Note 11 2 4 3" xfId="14855" xr:uid="{DCEF6D22-66C7-4AC7-A64F-1E698C2476D1}"/>
    <cellStyle name="Note 11 2 4 4" xfId="15807" xr:uid="{C0830A11-E672-41F8-AECE-13BDC02C066D}"/>
    <cellStyle name="Note 11 2 4 5" xfId="16681" xr:uid="{75171EB5-F17A-48E6-AD9F-A692B97B34F8}"/>
    <cellStyle name="Note 11 2 4 6" xfId="17546" xr:uid="{FBB6512A-2C5B-4826-AF2B-B4901CBF2FC3}"/>
    <cellStyle name="Note 11 2 4 7" xfId="18322" xr:uid="{FEA02181-6C41-4316-A4B5-77EED1FC4083}"/>
    <cellStyle name="Note 11 2 4 8" xfId="19079" xr:uid="{693B18A8-3B4D-497B-9A3B-4B784343F506}"/>
    <cellStyle name="Note 11 2 5" xfId="12192" xr:uid="{AC1FC72B-13A6-4527-89B0-39E2978C7EF3}"/>
    <cellStyle name="Note 11 2 6" xfId="10673" xr:uid="{F74D555A-45C5-4B21-8CBA-3A52CB9D2EB3}"/>
    <cellStyle name="Note 11 2 7" xfId="11976" xr:uid="{4743BE96-0C6A-4960-9A82-C81A037A0477}"/>
    <cellStyle name="Note 11 2 8" xfId="10852" xr:uid="{0368AE2D-DE2D-4D2C-B500-7211AE6F0719}"/>
    <cellStyle name="Note 11 2 9" xfId="11570" xr:uid="{6269D0E3-5BF5-4DED-BF45-81B29C89CC56}"/>
    <cellStyle name="Note 11 3" xfId="7127" xr:uid="{062F7513-7085-4743-B6AC-5EE684B43CA3}"/>
    <cellStyle name="Note 11 3 10" xfId="11638" xr:uid="{4AC1E47A-80B3-43A9-AA83-5AA1E7771396}"/>
    <cellStyle name="Note 11 3 2" xfId="8767" xr:uid="{13AE45FB-42FA-4B93-8A7C-81A4CA3CB76D}"/>
    <cellStyle name="Note 11 3 2 2" xfId="13427" xr:uid="{4B3922CF-1DC0-4614-AC7B-18259644C3CF}"/>
    <cellStyle name="Note 11 3 2 3" xfId="14433" xr:uid="{40D7255C-7759-4370-925C-6973B58C1BAD}"/>
    <cellStyle name="Note 11 3 2 4" xfId="15391" xr:uid="{8AD25D60-01BE-47F0-BB3C-B72D1A414E38}"/>
    <cellStyle name="Note 11 3 2 5" xfId="16318" xr:uid="{7822E3E2-30B4-4532-90DE-DC70EC235D99}"/>
    <cellStyle name="Note 11 3 2 6" xfId="17189" xr:uid="{1478B980-C472-49B1-B2FE-B56D8512A028}"/>
    <cellStyle name="Note 11 3 2 7" xfId="18036" xr:uid="{121A74AB-6C62-4C4C-A3B2-AE922C52F10A}"/>
    <cellStyle name="Note 11 3 2 8" xfId="18803" xr:uid="{06EE3889-9D5F-4FEF-BE51-6DCCEBA71ADB}"/>
    <cellStyle name="Note 11 3 3" xfId="9630" xr:uid="{8950E9C3-8317-4284-B13B-7836317E956A}"/>
    <cellStyle name="Note 11 3 3 2" xfId="14034" xr:uid="{0901078A-992B-4DA6-9CAF-E26F70768E94}"/>
    <cellStyle name="Note 11 3 3 3" xfId="14994" xr:uid="{EEA31E69-2603-4553-969C-F264DF02D316}"/>
    <cellStyle name="Note 11 3 3 4" xfId="15946" xr:uid="{192C05B1-AB53-4971-91A6-EA72B61C29A8}"/>
    <cellStyle name="Note 11 3 3 5" xfId="16820" xr:uid="{FAAB4A55-D1C1-487A-8CFA-167A8C094334}"/>
    <cellStyle name="Note 11 3 3 6" xfId="17685" xr:uid="{9E94810A-ABE2-4C45-AD8B-AF234F6B4078}"/>
    <cellStyle name="Note 11 3 3 7" xfId="18461" xr:uid="{59111415-06A9-4035-82D8-E8AB58E3F6A0}"/>
    <cellStyle name="Note 11 3 3 8" xfId="19218" xr:uid="{90F354B8-53BA-44A9-9FDF-7C5C6533EF87}"/>
    <cellStyle name="Note 11 3 4" xfId="12397" xr:uid="{9242E22D-5DA8-4213-99ED-2C413251A4F3}"/>
    <cellStyle name="Note 11 3 5" xfId="10481" xr:uid="{30E26942-EC1E-4EF0-884E-A62A20FE430D}"/>
    <cellStyle name="Note 11 3 6" xfId="12108" xr:uid="{D136E0F3-3730-49A3-9592-06AECE67F0EB}"/>
    <cellStyle name="Note 11 3 7" xfId="10744" xr:uid="{D14EB0D0-CE77-486F-AC18-982B218C4CA1}"/>
    <cellStyle name="Note 11 3 8" xfId="12072" xr:uid="{DE23942D-3B1C-4E1B-848D-BB736B532291}"/>
    <cellStyle name="Note 11 3 9" xfId="10776" xr:uid="{14A9DA84-4764-48DE-9046-24DE36744128}"/>
    <cellStyle name="Note 11 4" xfId="7969" xr:uid="{D189AADE-FD81-41B6-9E48-397058E33AE3}"/>
    <cellStyle name="Note 11 4 2" xfId="12938" xr:uid="{089A0969-C4D5-47C2-992E-8802A73E0492}"/>
    <cellStyle name="Note 11 4 3" xfId="10051" xr:uid="{8526649D-7425-4219-AEC5-07E93E8CC30F}"/>
    <cellStyle name="Note 11 4 4" xfId="13182" xr:uid="{36F95821-AEC6-45EA-B46E-928443F00AC3}"/>
    <cellStyle name="Note 11 4 5" xfId="9856" xr:uid="{9B583267-7217-4A87-8C4F-E18408A5F15F}"/>
    <cellStyle name="Note 11 4 6" xfId="13062" xr:uid="{445014A5-3D2F-436D-A7D1-D2185B5BF7D4}"/>
    <cellStyle name="Note 11 4 7" xfId="9943" xr:uid="{5DAD201E-AA6B-4814-A02F-79929D25CC6D}"/>
    <cellStyle name="Note 11 4 8" xfId="12703" xr:uid="{25AF0F21-C4D0-4343-B762-4053034A0D2C}"/>
    <cellStyle name="Note 11 5" xfId="9402" xr:uid="{721A4F57-BD11-442F-947E-3A8A089C00F4}"/>
    <cellStyle name="Note 11 5 2" xfId="13806" xr:uid="{9073E4F4-CC92-440D-B46A-3E02471DC4F2}"/>
    <cellStyle name="Note 11 5 3" xfId="14766" xr:uid="{A1F1CA3D-FF5E-4695-BE13-1D992F874F6A}"/>
    <cellStyle name="Note 11 5 4" xfId="15718" xr:uid="{A8D4B146-11F8-417E-BE80-22CD72AC46BF}"/>
    <cellStyle name="Note 11 5 5" xfId="16592" xr:uid="{D3803880-0C1F-4BEB-9B2B-AB7F1B4FCA44}"/>
    <cellStyle name="Note 11 5 6" xfId="17457" xr:uid="{97C90B2C-2843-4EEB-ABA4-1A8ABD5968D4}"/>
    <cellStyle name="Note 11 5 7" xfId="18233" xr:uid="{B011842C-1B64-471D-992D-97BE9CE20563}"/>
    <cellStyle name="Note 11 5 8" xfId="18990" xr:uid="{5BB05751-7835-4CA9-B4F3-925BB3AC8FA6}"/>
    <cellStyle name="Note 11 6" xfId="11842" xr:uid="{FFB9EE55-6FF9-475C-B774-EA992C09F863}"/>
    <cellStyle name="Note 11 7" xfId="10971" xr:uid="{14A81A25-5F8E-40E0-9D35-D2D221A1EB56}"/>
    <cellStyle name="Note 11 8" xfId="13395" xr:uid="{5C722C0E-A476-4684-9035-D5638942BE41}"/>
    <cellStyle name="Note 11 9" xfId="14404" xr:uid="{5D8469E4-C6EB-4F44-BE0D-6BCA4E3B0474}"/>
    <cellStyle name="Note 12" xfId="6201" xr:uid="{B2F20E3E-AA7B-4CCB-A888-C61A7AA9C860}"/>
    <cellStyle name="Note 12 10" xfId="12142" xr:uid="{A3DD1F7B-4425-442D-B20D-CDB905980663}"/>
    <cellStyle name="Note 12 11" xfId="10716" xr:uid="{94DCFD37-F8D5-4D0E-8B1B-A7FF3E74D01E}"/>
    <cellStyle name="Note 12 12" xfId="13031" xr:uid="{53C0B4DB-612B-42ED-AB63-81B797C60E96}"/>
    <cellStyle name="Note 12 2" xfId="6840" xr:uid="{021DA712-0555-49EE-BBA4-769CE47766F4}"/>
    <cellStyle name="Note 12 2 10" xfId="11596" xr:uid="{5B49ACC8-A7DE-4173-B94D-9C7A48D2735C}"/>
    <cellStyle name="Note 12 2 11" xfId="11163" xr:uid="{3F3EEAB1-9B6C-4493-9127-5C98E0AB627F}"/>
    <cellStyle name="Note 12 2 2" xfId="7651" xr:uid="{58F1A308-A4FF-4B2A-83E4-CD797887BD5F}"/>
    <cellStyle name="Note 12 2 2 10" xfId="11292" xr:uid="{B9D01390-FCFD-4FA5-BCEE-B7AB6B6EA048}"/>
    <cellStyle name="Note 12 2 2 2" xfId="9291" xr:uid="{C3688802-F80D-4FCF-A74E-C7BC31FE2EBC}"/>
    <cellStyle name="Note 12 2 2 2 2" xfId="13725" xr:uid="{C30E52C7-FEE5-4345-BCDD-38CFBDFFC3AC}"/>
    <cellStyle name="Note 12 2 2 2 3" xfId="14687" xr:uid="{2C80AD54-00B0-4952-AE04-3ADFEEDBE28E}"/>
    <cellStyle name="Note 12 2 2 2 4" xfId="15639" xr:uid="{FE5DEABD-A1D3-4567-A70A-30D425D19E87}"/>
    <cellStyle name="Note 12 2 2 2 5" xfId="16519" xr:uid="{42F8FD97-D52B-4889-BD6B-04D3C971BD80}"/>
    <cellStyle name="Note 12 2 2 2 6" xfId="17385" xr:uid="{B9993D20-6A8E-43FB-A375-294A8FF11752}"/>
    <cellStyle name="Note 12 2 2 2 7" xfId="18161" xr:uid="{B843CAB5-E88A-4D18-AE37-AD3DEF7E8E04}"/>
    <cellStyle name="Note 12 2 2 2 8" xfId="18918" xr:uid="{71E5DD14-3C98-4FFB-B892-9146D1FCBCB3}"/>
    <cellStyle name="Note 12 2 2 3" xfId="9745" xr:uid="{09A5AE53-C5E5-46C8-8453-AD698FBC2965}"/>
    <cellStyle name="Note 12 2 2 3 2" xfId="14149" xr:uid="{04BCE4F4-6AF7-48C9-AB07-94F900F76E2D}"/>
    <cellStyle name="Note 12 2 2 3 3" xfId="15109" xr:uid="{914AED9B-FF89-49C9-8B7E-A6D89D1E56CA}"/>
    <cellStyle name="Note 12 2 2 3 4" xfId="16061" xr:uid="{F2337BD8-69F4-4E17-823E-3797003D34EB}"/>
    <cellStyle name="Note 12 2 2 3 5" xfId="16935" xr:uid="{E034CAAB-0EF0-4C0B-B3EE-2A0310B98FF9}"/>
    <cellStyle name="Note 12 2 2 3 6" xfId="17800" xr:uid="{616168A4-5D5E-49E3-8D74-06FB54C5A208}"/>
    <cellStyle name="Note 12 2 2 3 7" xfId="18576" xr:uid="{8FD840A7-A76A-4197-A6F8-582DC76AEE61}"/>
    <cellStyle name="Note 12 2 2 3 8" xfId="19333" xr:uid="{3CE2239F-83E3-45DF-BB7B-5E2B6242629A}"/>
    <cellStyle name="Note 12 2 2 4" xfId="12709" xr:uid="{99587E71-AAC7-433A-A1B1-EE2943BC1D1C}"/>
    <cellStyle name="Note 12 2 2 5" xfId="12036" xr:uid="{7ED017E9-4C68-4A0E-8F0B-F3DB66C4572E}"/>
    <cellStyle name="Note 12 2 2 6" xfId="10798" xr:uid="{579E76EB-AD84-4385-8B6A-5BF365C848AA}"/>
    <cellStyle name="Note 12 2 2 7" xfId="11620" xr:uid="{110FA70F-6DC6-4660-B3B1-7FD90DECCA49}"/>
    <cellStyle name="Note 12 2 2 8" xfId="11139" xr:uid="{929345A7-F5D4-47A7-B939-05ED89437738}"/>
    <cellStyle name="Note 12 2 2 9" xfId="11435" xr:uid="{63785BD0-A2BD-4A31-8310-F33B18F670BF}"/>
    <cellStyle name="Note 12 2 3" xfId="8480" xr:uid="{C65D6A2F-F000-42C5-812A-151166B6C32F}"/>
    <cellStyle name="Note 12 2 3 2" xfId="13220" xr:uid="{EEFBB064-4F84-4B5D-AE90-B12D3B386962}"/>
    <cellStyle name="Note 12 2 3 3" xfId="14240" xr:uid="{5F7240FC-4FD5-4A29-A5FE-FDD153035FF6}"/>
    <cellStyle name="Note 12 2 3 4" xfId="15200" xr:uid="{C4AB80C0-6763-46C1-982C-300AABFB524D}"/>
    <cellStyle name="Note 12 2 3 5" xfId="16149" xr:uid="{5B75317F-0B43-42B3-B807-6342CC45539A}"/>
    <cellStyle name="Note 12 2 3 6" xfId="17022" xr:uid="{83B2CF9E-E0F3-44B5-8911-B4778BC0A4CA}"/>
    <cellStyle name="Note 12 2 3 7" xfId="17887" xr:uid="{640BB946-2D60-491D-A000-9C61B3F3014B}"/>
    <cellStyle name="Note 12 2 3 8" xfId="18663" xr:uid="{C8C0FB79-D4A6-44D4-9709-37BD95308CB1}"/>
    <cellStyle name="Note 12 2 4" xfId="9490" xr:uid="{E6CE2380-E68C-4622-B416-EFE088174180}"/>
    <cellStyle name="Note 12 2 4 2" xfId="13894" xr:uid="{D0DDD8F2-D1AC-4BDF-B8CC-1E7A516F8AD5}"/>
    <cellStyle name="Note 12 2 4 3" xfId="14854" xr:uid="{2D7FC3BB-4AC1-43C4-8DBA-8DD3D8BA4159}"/>
    <cellStyle name="Note 12 2 4 4" xfId="15806" xr:uid="{8F1D3925-306A-4509-83AD-345517D60BF8}"/>
    <cellStyle name="Note 12 2 4 5" xfId="16680" xr:uid="{08E2C3DB-648F-4303-B689-C100545C4115}"/>
    <cellStyle name="Note 12 2 4 6" xfId="17545" xr:uid="{44FCA924-55CD-410D-B97E-A1D58EBDF717}"/>
    <cellStyle name="Note 12 2 4 7" xfId="18321" xr:uid="{4FE04E0E-E0B2-4F2A-B1A6-A71640165AA1}"/>
    <cellStyle name="Note 12 2 4 8" xfId="19078" xr:uid="{BEBBC064-7FF2-4FF6-A32E-4D48EF752FD5}"/>
    <cellStyle name="Note 12 2 5" xfId="12191" xr:uid="{6B5D9641-336F-4F33-9448-7E3F88487CE8}"/>
    <cellStyle name="Note 12 2 6" xfId="10674" xr:uid="{97453648-3601-4609-BF3E-B7DDA10B4668}"/>
    <cellStyle name="Note 12 2 7" xfId="13112" xr:uid="{DECBE999-F089-4463-B99A-E0C2A415D3E8}"/>
    <cellStyle name="Note 12 2 8" xfId="12008" xr:uid="{315BC116-64CA-4F6F-852B-BF31AA1839C3}"/>
    <cellStyle name="Note 12 2 9" xfId="10825" xr:uid="{F9FA1536-0875-4DA8-997E-4AA6DB855A1A}"/>
    <cellStyle name="Note 12 3" xfId="7128" xr:uid="{E70DA257-CE48-43FC-A70D-82F83CC2C497}"/>
    <cellStyle name="Note 12 3 10" xfId="13666" xr:uid="{96A119AF-1BF4-43BF-95F6-1979E604DC7C}"/>
    <cellStyle name="Note 12 3 2" xfId="8768" xr:uid="{85358B50-EC37-43D1-B04D-7B717AFEB674}"/>
    <cellStyle name="Note 12 3 2 2" xfId="13428" xr:uid="{D4A93168-F960-485E-A720-50F3E067DD39}"/>
    <cellStyle name="Note 12 3 2 3" xfId="14434" xr:uid="{2E6A026A-C675-4C0B-B013-6F6D66B45817}"/>
    <cellStyle name="Note 12 3 2 4" xfId="15392" xr:uid="{D3F63F67-349A-402D-967C-39BFA32DBA57}"/>
    <cellStyle name="Note 12 3 2 5" xfId="16319" xr:uid="{2262FFA5-3EF9-4AA2-BCD5-8251BE368773}"/>
    <cellStyle name="Note 12 3 2 6" xfId="17190" xr:uid="{C1F86C2E-0BD3-4903-8D83-9D17C1EF1D5F}"/>
    <cellStyle name="Note 12 3 2 7" xfId="18037" xr:uid="{0AB60902-2A0A-4C40-B07E-3199478E710B}"/>
    <cellStyle name="Note 12 3 2 8" xfId="18804" xr:uid="{41750245-5D10-4FAB-B1A7-CAC61A917D4C}"/>
    <cellStyle name="Note 12 3 3" xfId="9631" xr:uid="{AF3B04DF-6A3A-44E7-94C3-2EB5955E0F14}"/>
    <cellStyle name="Note 12 3 3 2" xfId="14035" xr:uid="{3898271B-AD01-4028-8A84-E3259E82200E}"/>
    <cellStyle name="Note 12 3 3 3" xfId="14995" xr:uid="{55042668-48BB-4B12-95DD-4F4AC58EA1DA}"/>
    <cellStyle name="Note 12 3 3 4" xfId="15947" xr:uid="{A9A3B094-C999-47C8-82F0-6F82E62FCBFE}"/>
    <cellStyle name="Note 12 3 3 5" xfId="16821" xr:uid="{0421E160-A712-4F2C-A5D7-84D27DE59DFE}"/>
    <cellStyle name="Note 12 3 3 6" xfId="17686" xr:uid="{4C8B82AF-B293-4360-B1D6-D384213E591F}"/>
    <cellStyle name="Note 12 3 3 7" xfId="18462" xr:uid="{73F57611-A8CF-4EA3-AA69-44C101435F97}"/>
    <cellStyle name="Note 12 3 3 8" xfId="19219" xr:uid="{360A35B8-79D6-4F4C-BD49-7A1E1AB58F16}"/>
    <cellStyle name="Note 12 3 4" xfId="12398" xr:uid="{F7207F54-BC83-4491-8BBF-FFFA0034D06F}"/>
    <cellStyle name="Note 12 3 5" xfId="10480" xr:uid="{09153EEC-8221-4880-B53E-588EC498D653}"/>
    <cellStyle name="Note 12 3 6" xfId="11699" xr:uid="{8FE16331-2B44-4F20-9A40-90C2E3E01E05}"/>
    <cellStyle name="Note 12 3 7" xfId="11087" xr:uid="{7B0009C0-99A4-4C76-8995-019A69D2510E}"/>
    <cellStyle name="Note 12 3 8" xfId="12556" xr:uid="{0A3F8C86-01B7-4B00-A49B-66BE5559DB54}"/>
    <cellStyle name="Note 12 3 9" xfId="10339" xr:uid="{182492AE-5B3D-4AF0-904E-6E4F7BBC5E44}"/>
    <cellStyle name="Note 12 4" xfId="7970" xr:uid="{654FE38C-78C2-4327-BB2B-A3F57862D14B}"/>
    <cellStyle name="Note 12 4 2" xfId="12939" xr:uid="{428F212C-55ED-48AC-96FA-9B5F4D34B01A}"/>
    <cellStyle name="Note 12 4 3" xfId="10050" xr:uid="{601B77C4-DA53-4D1D-AD59-72B9F2F21E69}"/>
    <cellStyle name="Note 12 4 4" xfId="12154" xr:uid="{E405246F-D578-4EFB-9CCD-5E2D21802E41}"/>
    <cellStyle name="Note 12 4 5" xfId="10706" xr:uid="{4902AC6B-C6C7-4092-8B8F-3D9E217976FD}"/>
    <cellStyle name="Note 12 4 6" xfId="12366" xr:uid="{8290EF7D-872D-4BFF-8ECB-10F26F8C78D7}"/>
    <cellStyle name="Note 12 4 7" xfId="10508" xr:uid="{F08C459D-5D1F-450D-BBAF-C76933824771}"/>
    <cellStyle name="Note 12 4 8" xfId="11693" xr:uid="{33AD07FB-1AF8-4B69-A7B8-3AD48149DE81}"/>
    <cellStyle name="Note 12 5" xfId="9403" xr:uid="{C6DB28DD-5530-462C-A3DC-6167DEAF1456}"/>
    <cellStyle name="Note 12 5 2" xfId="13807" xr:uid="{99AAD8BC-6667-4413-B359-4CB070A2F88D}"/>
    <cellStyle name="Note 12 5 3" xfId="14767" xr:uid="{F8DE42BF-84D2-46F0-AEAB-888CE26065CB}"/>
    <cellStyle name="Note 12 5 4" xfId="15719" xr:uid="{686EB8BF-FBB1-4496-811A-55CA6208EC31}"/>
    <cellStyle name="Note 12 5 5" xfId="16593" xr:uid="{55692602-F74D-4DBF-B41D-72545F764857}"/>
    <cellStyle name="Note 12 5 6" xfId="17458" xr:uid="{EF3AA8EF-6BD9-4FAF-BFC4-28E452FC58B6}"/>
    <cellStyle name="Note 12 5 7" xfId="18234" xr:uid="{55307520-DFF3-435D-8F87-A5DF4E33BBAF}"/>
    <cellStyle name="Note 12 5 8" xfId="18991" xr:uid="{EC486E67-8359-4A76-AB8E-1314F48C57F0}"/>
    <cellStyle name="Note 12 6" xfId="11843" xr:uid="{3F7A2EB5-F9E9-4D27-A562-EFC63962AD75}"/>
    <cellStyle name="Note 12 7" xfId="10970" xr:uid="{3B16CCAD-F29D-45B6-AA8C-B400C343DD54}"/>
    <cellStyle name="Note 12 8" xfId="12883" xr:uid="{2460163A-A6A6-4F22-8819-7DA4837A1939}"/>
    <cellStyle name="Note 12 9" xfId="10098" xr:uid="{DC43A80E-9FEA-42BA-8006-27D74F3AECEF}"/>
    <cellStyle name="Note 13" xfId="6202" xr:uid="{58557629-A66A-4B4C-8749-12FDFCDDD161}"/>
    <cellStyle name="Note 13 10" xfId="12040" xr:uid="{1D2883F7-72A1-4116-8CC3-5DED2FAF7400}"/>
    <cellStyle name="Note 13 11" xfId="10796" xr:uid="{88512310-CC7C-4613-8685-A7CDA8AADE0A}"/>
    <cellStyle name="Note 13 12" xfId="11622" xr:uid="{64783160-B67F-4205-9B6A-FB7A51143247}"/>
    <cellStyle name="Note 13 2" xfId="6839" xr:uid="{E63318B6-5658-4D94-8D71-AD2E4D2A2AC5}"/>
    <cellStyle name="Note 13 2 10" xfId="16442" xr:uid="{BA253D62-06CD-4EB3-81CA-2AD9FA919159}"/>
    <cellStyle name="Note 13 2 11" xfId="17313" xr:uid="{9E45C7CE-C728-445C-89CE-FF624E0567D7}"/>
    <cellStyle name="Note 13 2 2" xfId="7652" xr:uid="{3B87EE1A-3564-45AB-B0F8-10142019AA3E}"/>
    <cellStyle name="Note 13 2 2 10" xfId="13674" xr:uid="{8843B1C0-7FCF-4EBB-83AB-492D258BFA34}"/>
    <cellStyle name="Note 13 2 2 2" xfId="9292" xr:uid="{88653BCE-CF2B-4B80-A520-6F6D3A402ECB}"/>
    <cellStyle name="Note 13 2 2 2 2" xfId="13726" xr:uid="{50EB2B0A-5ABB-4D0F-9432-4B43CE7D495B}"/>
    <cellStyle name="Note 13 2 2 2 3" xfId="14688" xr:uid="{2D8AC056-C945-4A13-9245-F5BC06EBC988}"/>
    <cellStyle name="Note 13 2 2 2 4" xfId="15640" xr:uid="{95B1578F-88D2-4AF8-9AF8-6008CA671CFE}"/>
    <cellStyle name="Note 13 2 2 2 5" xfId="16520" xr:uid="{2BA61839-84BE-4B2C-BE74-F181CC246A27}"/>
    <cellStyle name="Note 13 2 2 2 6" xfId="17386" xr:uid="{8F673700-CC3A-4284-B07D-8960FDD76BFC}"/>
    <cellStyle name="Note 13 2 2 2 7" xfId="18162" xr:uid="{79414C3C-39C0-41F6-99BE-49E84C2ABFF8}"/>
    <cellStyle name="Note 13 2 2 2 8" xfId="18919" xr:uid="{0A7B7787-C0A7-40BE-B4CB-7EFBC09F7BC1}"/>
    <cellStyle name="Note 13 2 2 3" xfId="9746" xr:uid="{E9224552-4FCF-4055-B3F8-538412A0C312}"/>
    <cellStyle name="Note 13 2 2 3 2" xfId="14150" xr:uid="{DA9DD2F6-37BC-4645-85AD-DAC58D899ED8}"/>
    <cellStyle name="Note 13 2 2 3 3" xfId="15110" xr:uid="{AAD8AA3B-4BB7-4969-B9BE-5F6DAD7C8694}"/>
    <cellStyle name="Note 13 2 2 3 4" xfId="16062" xr:uid="{2A4EA783-2D6C-44E8-8496-A208222B653C}"/>
    <cellStyle name="Note 13 2 2 3 5" xfId="16936" xr:uid="{3858A2A4-77ED-488C-A2F9-2FD6F9ACB462}"/>
    <cellStyle name="Note 13 2 2 3 6" xfId="17801" xr:uid="{E400D150-246E-46A8-A40F-908C08D647B1}"/>
    <cellStyle name="Note 13 2 2 3 7" xfId="18577" xr:uid="{95334415-2BFC-4CB3-9C4B-0E88003FD9D2}"/>
    <cellStyle name="Note 13 2 2 3 8" xfId="19334" xr:uid="{66768D54-449A-4A89-9CB1-8D5920E7DA59}"/>
    <cellStyle name="Note 13 2 2 4" xfId="12710" xr:uid="{CE6BEEA3-9BFB-4D9D-9E11-4AD90DEE3240}"/>
    <cellStyle name="Note 13 2 2 5" xfId="10221" xr:uid="{DA87B815-553C-40AA-B09E-7CFE3E884CC7}"/>
    <cellStyle name="Note 13 2 2 6" xfId="12662" xr:uid="{96B6C881-D926-4B26-89A0-CAB0B0952D3A}"/>
    <cellStyle name="Note 13 2 2 7" xfId="10255" xr:uid="{19F58340-AE40-4706-BFFC-A09F9DA36405}"/>
    <cellStyle name="Note 13 2 2 8" xfId="12656" xr:uid="{C873A0BB-7590-4914-B6D5-E9362CE9C783}"/>
    <cellStyle name="Note 13 2 2 9" xfId="10260" xr:uid="{5862735B-FB40-4EC5-808E-DE0A3B2AF882}"/>
    <cellStyle name="Note 13 2 3" xfId="8479" xr:uid="{9D2B5057-C717-4E40-82F9-679A78FE5EF2}"/>
    <cellStyle name="Note 13 2 3 2" xfId="13219" xr:uid="{C2CB28C0-1F09-41A8-A988-4059520919AA}"/>
    <cellStyle name="Note 13 2 3 3" xfId="14239" xr:uid="{19DF7C01-2E8A-4133-8DAB-499772D5AC8D}"/>
    <cellStyle name="Note 13 2 3 4" xfId="15199" xr:uid="{1CD2E909-B454-450F-8C9D-5DD88BC94751}"/>
    <cellStyle name="Note 13 2 3 5" xfId="16148" xr:uid="{3D141F18-7228-4A10-9FB2-EFF02E775A23}"/>
    <cellStyle name="Note 13 2 3 6" xfId="17021" xr:uid="{9EB97EB2-B610-4417-B86B-2440CE51A6ED}"/>
    <cellStyle name="Note 13 2 3 7" xfId="17886" xr:uid="{BB6A4EA4-4EB4-44C1-A7EF-31C8A570ED77}"/>
    <cellStyle name="Note 13 2 3 8" xfId="18662" xr:uid="{6BF7273C-E256-4DA2-A891-076BA3834D83}"/>
    <cellStyle name="Note 13 2 4" xfId="9489" xr:uid="{D2CBEDF0-7604-4D47-AB69-8ACF1F9E2E5E}"/>
    <cellStyle name="Note 13 2 4 2" xfId="13893" xr:uid="{58D58EA8-64ED-4434-8970-9C0094009EA1}"/>
    <cellStyle name="Note 13 2 4 3" xfId="14853" xr:uid="{0FBC4C53-14FD-480D-A194-24E25576312B}"/>
    <cellStyle name="Note 13 2 4 4" xfId="15805" xr:uid="{0319E71E-604D-4DE0-A238-8BC892147DB8}"/>
    <cellStyle name="Note 13 2 4 5" xfId="16679" xr:uid="{638D3726-EF1F-4E4A-BAC7-AEDDD58701AE}"/>
    <cellStyle name="Note 13 2 4 6" xfId="17544" xr:uid="{78912E97-D7A1-4075-9078-6F80271A4ECE}"/>
    <cellStyle name="Note 13 2 4 7" xfId="18320" xr:uid="{E1BA6A07-0D6D-49B6-86F0-A240494BB2AF}"/>
    <cellStyle name="Note 13 2 4 8" xfId="19077" xr:uid="{22D3880E-E87B-49E9-9B34-2DA88ADD27ED}"/>
    <cellStyle name="Note 13 2 5" xfId="12190" xr:uid="{B84C2A77-A46C-46E0-AFF9-824910878ED5}"/>
    <cellStyle name="Note 13 2 6" xfId="10675" xr:uid="{4C5FF187-6881-4B64-A0C0-F80A37EAB20D}"/>
    <cellStyle name="Note 13 2 7" xfId="13612" xr:uid="{F90B0CF7-7A54-4ADD-B114-CF47449EABA5}"/>
    <cellStyle name="Note 13 2 8" xfId="14590" xr:uid="{61EF3A4A-1DF1-4FA8-9817-B80A5C1A3BD8}"/>
    <cellStyle name="Note 13 2 9" xfId="15543" xr:uid="{EEFCA0EE-3008-4441-A746-E97752C5A179}"/>
    <cellStyle name="Note 13 3" xfId="7129" xr:uid="{6F6C5A2C-9C44-448D-984C-CBE1712EBB39}"/>
    <cellStyle name="Note 13 3 10" xfId="15526" xr:uid="{374694C7-7669-4D0C-ADA9-206B73929114}"/>
    <cellStyle name="Note 13 3 2" xfId="8769" xr:uid="{B1892EC1-C757-45DC-A9F4-B2C09164031B}"/>
    <cellStyle name="Note 13 3 2 2" xfId="13429" xr:uid="{36E68ECD-BD2B-4C7A-975F-C29C0EB994D0}"/>
    <cellStyle name="Note 13 3 2 3" xfId="14435" xr:uid="{6E2A8752-0860-4CA4-BD3E-68CDA38A796F}"/>
    <cellStyle name="Note 13 3 2 4" xfId="15393" xr:uid="{51DB23C2-5ECE-4787-97F6-0B30963AC250}"/>
    <cellStyle name="Note 13 3 2 5" xfId="16320" xr:uid="{67A81352-0B60-4E7B-97B8-66C4F1AF755D}"/>
    <cellStyle name="Note 13 3 2 6" xfId="17191" xr:uid="{99E3FE9F-11B4-4303-B3BA-83AF8C962C2A}"/>
    <cellStyle name="Note 13 3 2 7" xfId="18038" xr:uid="{DC454EE9-F939-460E-9939-74323489B409}"/>
    <cellStyle name="Note 13 3 2 8" xfId="18805" xr:uid="{D06A50ED-D5FD-4F34-9839-7B3C5A48A21A}"/>
    <cellStyle name="Note 13 3 3" xfId="9632" xr:uid="{AC1C0B2C-EA8A-462D-86AD-6C32F0619C41}"/>
    <cellStyle name="Note 13 3 3 2" xfId="14036" xr:uid="{E23BB4BB-BCCB-4758-A49D-FDB8EA9DC011}"/>
    <cellStyle name="Note 13 3 3 3" xfId="14996" xr:uid="{5B33CA3F-FF9B-443F-8F67-E79D12790102}"/>
    <cellStyle name="Note 13 3 3 4" xfId="15948" xr:uid="{61C44BA7-2485-4361-A5FE-D8405966147A}"/>
    <cellStyle name="Note 13 3 3 5" xfId="16822" xr:uid="{88045D04-5AA6-4014-9A4D-1D2C3C1B0D55}"/>
    <cellStyle name="Note 13 3 3 6" xfId="17687" xr:uid="{664C49A8-9A5B-4D08-885D-E7CF15EE9396}"/>
    <cellStyle name="Note 13 3 3 7" xfId="18463" xr:uid="{215A2D23-CE31-4F3E-AA0C-7A319E1A852D}"/>
    <cellStyle name="Note 13 3 3 8" xfId="19220" xr:uid="{6417C505-4954-4867-B901-5736C46590F1}"/>
    <cellStyle name="Note 13 3 4" xfId="12399" xr:uid="{8228E8D9-5DAF-4578-B819-4E757A3282C2}"/>
    <cellStyle name="Note 13 3 5" xfId="10479" xr:uid="{579C00C4-4EAF-41DF-85C7-AEF897D75944}"/>
    <cellStyle name="Note 13 3 6" xfId="11700" xr:uid="{779D61E6-5423-438B-8636-E5F8CA1DFAD0}"/>
    <cellStyle name="Note 13 3 7" xfId="11086" xr:uid="{7AD1E2D3-0D6D-418C-8406-5C219D3936F7}"/>
    <cellStyle name="Note 13 3 8" xfId="13581" xr:uid="{EA4B04C7-06C1-479D-A67B-E9BDD4BF6C1A}"/>
    <cellStyle name="Note 13 3 9" xfId="14569" xr:uid="{C05B2EF3-93A5-4E2D-8CE8-4DCB519C5F10}"/>
    <cellStyle name="Note 13 4" xfId="7971" xr:uid="{580DC3D3-60DF-4AD1-A2FF-D7D326C3890B}"/>
    <cellStyle name="Note 13 4 2" xfId="12940" xr:uid="{1BF20CE4-5ABC-4A54-8546-7E199539843B}"/>
    <cellStyle name="Note 13 4 3" xfId="10049" xr:uid="{984AD1A6-4B39-441C-BE83-7F1C58678D93}"/>
    <cellStyle name="Note 13 4 4" xfId="12687" xr:uid="{C1A27FE8-F3EC-4902-ADA5-20793DA78A1A}"/>
    <cellStyle name="Note 13 4 5" xfId="10234" xr:uid="{61E18B4D-82E3-4E42-81AE-E97A13DCBF06}"/>
    <cellStyle name="Note 13 4 6" xfId="12660" xr:uid="{486DCF9E-4BFD-4002-AE29-DB4EFC6D18EC}"/>
    <cellStyle name="Note 13 4 7" xfId="10257" xr:uid="{8509359B-C2ED-430C-9ADC-111CBA25999D}"/>
    <cellStyle name="Note 13 4 8" xfId="11768" xr:uid="{EA6B1658-9AEF-45A4-B204-14E4D789CE7D}"/>
    <cellStyle name="Note 13 5" xfId="9404" xr:uid="{2D12B211-6DF4-49F1-94D5-3D3EF422B32F}"/>
    <cellStyle name="Note 13 5 2" xfId="13808" xr:uid="{AE64DB52-2732-496E-9037-17B360746CFB}"/>
    <cellStyle name="Note 13 5 3" xfId="14768" xr:uid="{92BF05D1-6909-43AE-9B87-FC75F4054430}"/>
    <cellStyle name="Note 13 5 4" xfId="15720" xr:uid="{9C4EDE88-ED5C-4506-9DC8-C3C389773FEF}"/>
    <cellStyle name="Note 13 5 5" xfId="16594" xr:uid="{B613F406-36DC-4BA1-A7CB-D014496C4526}"/>
    <cellStyle name="Note 13 5 6" xfId="17459" xr:uid="{E972D1DC-27E8-49CA-9A09-4F01DBB2FA30}"/>
    <cellStyle name="Note 13 5 7" xfId="18235" xr:uid="{48F1D65B-ED5A-42C7-B4CF-BD97B2F855EC}"/>
    <cellStyle name="Note 13 5 8" xfId="18992" xr:uid="{1C9A06DB-EC8F-4EAE-A104-0A545E1A71AA}"/>
    <cellStyle name="Note 13 6" xfId="11844" xr:uid="{64D415E0-8ED1-4B3B-8F81-F9A198B43CE5}"/>
    <cellStyle name="Note 13 7" xfId="10969" xr:uid="{2A1A8F7B-114F-4EE8-BB0D-4B3860AAE107}"/>
    <cellStyle name="Note 13 8" xfId="11463" xr:uid="{5A00EA02-CBA7-4BA0-AD12-924901F3B12E}"/>
    <cellStyle name="Note 13 9" xfId="11266" xr:uid="{3896B5EE-F1D7-473C-84B9-1142B7ACEEB9}"/>
    <cellStyle name="Note 14" xfId="6203" xr:uid="{8893A490-8146-4D14-8003-ACEC7E3670B9}"/>
    <cellStyle name="Note 14 10" xfId="12526" xr:uid="{CCC29333-B042-4E43-BF0F-655E8429338E}"/>
    <cellStyle name="Note 14 11" xfId="10357" xr:uid="{F73CD11E-EC37-4D30-A7C0-EB875E55ED1D}"/>
    <cellStyle name="Note 14 12" xfId="13663" xr:uid="{0C586DDB-D009-46A4-90E3-D06D4918E825}"/>
    <cellStyle name="Note 14 2" xfId="6838" xr:uid="{A1D07889-EA2E-4F15-9ECA-1B4AA1EF3AA7}"/>
    <cellStyle name="Note 14 2 10" xfId="11049" xr:uid="{A7732AA6-E805-40BF-AB1D-5567B56894A4}"/>
    <cellStyle name="Note 14 2 11" xfId="13095" xr:uid="{D50723CE-6B6D-411D-A363-E042999F880D}"/>
    <cellStyle name="Note 14 2 2" xfId="7653" xr:uid="{99750A36-9762-4B8F-91B4-685B6C8D41B4}"/>
    <cellStyle name="Note 14 2 2 10" xfId="10920" xr:uid="{F60ABC00-04F6-4828-8967-4B21E5B82310}"/>
    <cellStyle name="Note 14 2 2 2" xfId="9293" xr:uid="{5DB688F7-6FEB-47A5-9662-865C94D9E153}"/>
    <cellStyle name="Note 14 2 2 2 2" xfId="13727" xr:uid="{459A3DFB-5422-46FF-B5D6-9C22A627EE59}"/>
    <cellStyle name="Note 14 2 2 2 3" xfId="14689" xr:uid="{832BFEA6-1D06-467B-AD9A-1ED065D6E5EB}"/>
    <cellStyle name="Note 14 2 2 2 4" xfId="15641" xr:uid="{E53E3972-4AA5-4CEE-B08D-7937260E55C3}"/>
    <cellStyle name="Note 14 2 2 2 5" xfId="16521" xr:uid="{5AB10845-AA61-426C-976B-517D19C7371F}"/>
    <cellStyle name="Note 14 2 2 2 6" xfId="17387" xr:uid="{8F831483-EF9E-41DB-B93F-D11A9B945B21}"/>
    <cellStyle name="Note 14 2 2 2 7" xfId="18163" xr:uid="{D8886935-5774-4615-A3BE-A90A7C232D44}"/>
    <cellStyle name="Note 14 2 2 2 8" xfId="18920" xr:uid="{EE16DC45-F9B9-4B5B-A6B7-A640301B9191}"/>
    <cellStyle name="Note 14 2 2 3" xfId="9747" xr:uid="{E9291482-364C-445D-86EF-BFAAE7CA1EE1}"/>
    <cellStyle name="Note 14 2 2 3 2" xfId="14151" xr:uid="{C88A8A11-EF3E-41B5-93F5-47D3E30F2F03}"/>
    <cellStyle name="Note 14 2 2 3 3" xfId="15111" xr:uid="{FC8CCD10-9B5D-4648-9ED5-2249F0F210AA}"/>
    <cellStyle name="Note 14 2 2 3 4" xfId="16063" xr:uid="{E7802D72-F58B-4D1A-9CC2-048433916AE3}"/>
    <cellStyle name="Note 14 2 2 3 5" xfId="16937" xr:uid="{74FAB5F0-1F9E-475D-AE4F-351159B41828}"/>
    <cellStyle name="Note 14 2 2 3 6" xfId="17802" xr:uid="{EF48493A-DC0B-44C2-B5E0-820B2426063E}"/>
    <cellStyle name="Note 14 2 2 3 7" xfId="18578" xr:uid="{2C1FD756-6EAA-4B38-94F2-D57E831D9C21}"/>
    <cellStyle name="Note 14 2 2 3 8" xfId="19335" xr:uid="{B7EEFA35-A546-4FAD-9BF6-C3B1074C3A72}"/>
    <cellStyle name="Note 14 2 2 4" xfId="12711" xr:uid="{3F54764E-20B5-4B5D-9CF6-3AE57977232C}"/>
    <cellStyle name="Note 14 2 2 5" xfId="13072" xr:uid="{C39B7A5A-EFFE-4D2D-8442-580ABC048578}"/>
    <cellStyle name="Note 14 2 2 6" xfId="9935" xr:uid="{4EBFC821-6C28-4C9C-A9F6-D1A9CE6F492C}"/>
    <cellStyle name="Note 14 2 2 7" xfId="13198" xr:uid="{12847265-EE2D-4550-B56D-AEF71FD3F1CD}"/>
    <cellStyle name="Note 14 2 2 8" xfId="9843" xr:uid="{ECF564E7-EC76-4FC0-A843-7089E6A8264D}"/>
    <cellStyle name="Note 14 2 2 9" xfId="11895" xr:uid="{6122965A-0E81-44A1-A12D-B98C9084E913}"/>
    <cellStyle name="Note 14 2 3" xfId="8478" xr:uid="{AFF16FD2-8C26-449F-B085-ACC3FAA0C3BE}"/>
    <cellStyle name="Note 14 2 3 2" xfId="13218" xr:uid="{91431439-91AA-4305-80FF-1CED01B143D4}"/>
    <cellStyle name="Note 14 2 3 3" xfId="14238" xr:uid="{6578FB6C-242B-43C5-9C9D-947D2004E9DC}"/>
    <cellStyle name="Note 14 2 3 4" xfId="15198" xr:uid="{BC340D31-9D1F-4742-BE81-9CC981CF4E6F}"/>
    <cellStyle name="Note 14 2 3 5" xfId="16147" xr:uid="{CE19A7A5-45D5-4D5D-A69F-1BAAF7CC517C}"/>
    <cellStyle name="Note 14 2 3 6" xfId="17020" xr:uid="{7B5DC4D5-D311-4DCE-838B-C3F2515AD9FC}"/>
    <cellStyle name="Note 14 2 3 7" xfId="17885" xr:uid="{64AD4366-6DA3-460C-A3D8-5852FC8EF563}"/>
    <cellStyle name="Note 14 2 3 8" xfId="18661" xr:uid="{B4A7E861-89BF-48C9-AA37-403DF3752442}"/>
    <cellStyle name="Note 14 2 4" xfId="9488" xr:uid="{A2192C77-7BD9-4CDB-A02E-DE105B3368C8}"/>
    <cellStyle name="Note 14 2 4 2" xfId="13892" xr:uid="{3A043DB2-D9B2-4901-AF52-1BEAABF1BB92}"/>
    <cellStyle name="Note 14 2 4 3" xfId="14852" xr:uid="{C5BB5396-71FA-410B-9857-45451B9589FB}"/>
    <cellStyle name="Note 14 2 4 4" xfId="15804" xr:uid="{270BBE25-C303-4C1F-9B0F-041FDCDFD8DD}"/>
    <cellStyle name="Note 14 2 4 5" xfId="16678" xr:uid="{0DAAE4A8-81F8-4282-909D-155D3D01DCF7}"/>
    <cellStyle name="Note 14 2 4 6" xfId="17543" xr:uid="{6C9250F2-C19B-49C4-8B24-9413F91F6435}"/>
    <cellStyle name="Note 14 2 4 7" xfId="18319" xr:uid="{562A7FA5-DCE5-43B7-AD55-BD0C1ADA1FB1}"/>
    <cellStyle name="Note 14 2 4 8" xfId="19076" xr:uid="{159F7A22-9015-4B32-A73A-BE882F3AFE78}"/>
    <cellStyle name="Note 14 2 5" xfId="12189" xr:uid="{73822114-EA14-406B-BB5E-BF56930D3ED9}"/>
    <cellStyle name="Note 14 2 6" xfId="10676" xr:uid="{D622A832-8E3A-4687-95B8-379F67E29F8F}"/>
    <cellStyle name="Note 14 2 7" xfId="12590" xr:uid="{4D0098AF-21C4-45F5-856E-39EE45100695}"/>
    <cellStyle name="Note 14 2 8" xfId="10314" xr:uid="{247F0914-6F63-46FA-B3D7-7689AA55F909}"/>
    <cellStyle name="Note 14 2 9" xfId="11748" xr:uid="{6E936070-DE62-4AC7-B87C-2649B1DE6433}"/>
    <cellStyle name="Note 14 3" xfId="7130" xr:uid="{79D0F083-89F9-4942-803D-A32396D8D046}"/>
    <cellStyle name="Note 14 3 10" xfId="13060" xr:uid="{4CB9CEBA-248D-4985-8D73-329A6B04EA4E}"/>
    <cellStyle name="Note 14 3 2" xfId="8770" xr:uid="{C78BC918-EE42-4974-BE78-9FA0EA68DA60}"/>
    <cellStyle name="Note 14 3 2 2" xfId="13430" xr:uid="{1A40A9A9-9F38-4EE8-8454-EAA80D9A78A8}"/>
    <cellStyle name="Note 14 3 2 3" xfId="14436" xr:uid="{B12AAC70-8FF5-42D8-A1C4-2F6669EA69A9}"/>
    <cellStyle name="Note 14 3 2 4" xfId="15394" xr:uid="{62E3AB08-65A1-44B4-A317-1045ABE0A9C2}"/>
    <cellStyle name="Note 14 3 2 5" xfId="16321" xr:uid="{887374BA-2F39-49F2-B388-CC022F554B72}"/>
    <cellStyle name="Note 14 3 2 6" xfId="17192" xr:uid="{B2A74D7B-912C-4CEA-8CFD-4C08BC1086FD}"/>
    <cellStyle name="Note 14 3 2 7" xfId="18039" xr:uid="{8FC5F886-0891-4BE1-8FBB-FC790AA88386}"/>
    <cellStyle name="Note 14 3 2 8" xfId="18806" xr:uid="{A315195C-F9BE-47DC-B17D-EEF111E59CD5}"/>
    <cellStyle name="Note 14 3 3" xfId="9633" xr:uid="{8795C957-4865-463E-877E-31777063C5F0}"/>
    <cellStyle name="Note 14 3 3 2" xfId="14037" xr:uid="{0301B7BA-9FEE-44EC-84C3-977B44923EAC}"/>
    <cellStyle name="Note 14 3 3 3" xfId="14997" xr:uid="{214C881A-9151-44A9-9632-855AEADD7265}"/>
    <cellStyle name="Note 14 3 3 4" xfId="15949" xr:uid="{E3A0A9CD-5A81-46D2-9513-EFB9DA4943C6}"/>
    <cellStyle name="Note 14 3 3 5" xfId="16823" xr:uid="{ECEEBB07-962B-4A66-9CF3-42771CFC42DB}"/>
    <cellStyle name="Note 14 3 3 6" xfId="17688" xr:uid="{5F24F412-CBD7-492F-A37F-79A0C79A863E}"/>
    <cellStyle name="Note 14 3 3 7" xfId="18464" xr:uid="{9A817580-13EE-4B71-ACA6-8D42CE76DA0D}"/>
    <cellStyle name="Note 14 3 3 8" xfId="19221" xr:uid="{32ECC7F7-2AB1-43BF-99DC-722027E1BE26}"/>
    <cellStyle name="Note 14 3 4" xfId="12400" xr:uid="{3FE0E63D-4393-46BA-A528-6750014ED9FD}"/>
    <cellStyle name="Note 14 3 5" xfId="10478" xr:uid="{BCE7A7C6-A24C-41DF-8E1F-56A77B245A73}"/>
    <cellStyle name="Note 14 3 6" xfId="11701" xr:uid="{D5AE8A22-A80B-4534-8133-A5D962ABCFB6}"/>
    <cellStyle name="Note 14 3 7" xfId="11085" xr:uid="{F0291A8A-86C7-4E38-9034-10E8C26FAE27}"/>
    <cellStyle name="Note 14 3 8" xfId="13025" xr:uid="{7CA545E8-2A34-4A0D-BF66-27E4FC738473}"/>
    <cellStyle name="Note 14 3 9" xfId="9972" xr:uid="{B252FBF0-3B4A-490A-BFC6-4438F6E63ED0}"/>
    <cellStyle name="Note 14 4" xfId="7972" xr:uid="{08FDB644-AECD-4B99-A139-E6E5395798F5}"/>
    <cellStyle name="Note 14 4 2" xfId="12941" xr:uid="{F554B089-F496-4191-90E7-75DC865C0BE0}"/>
    <cellStyle name="Note 14 4 3" xfId="10048" xr:uid="{C97B17FE-DB18-4CF2-9CAF-C5BEC73C1ADA}"/>
    <cellStyle name="Note 14 4 4" xfId="13708" xr:uid="{7A925EE9-8D84-4B16-B772-C964791CF8FE}"/>
    <cellStyle name="Note 14 4 5" xfId="14672" xr:uid="{BF9699C5-A2B3-4EFA-92B7-3B8477F8ED8F}"/>
    <cellStyle name="Note 14 4 6" xfId="15624" xr:uid="{F8B0A0A6-CD6C-43B1-A7F9-4A78B7111764}"/>
    <cellStyle name="Note 14 4 7" xfId="16506" xr:uid="{21929FDB-0C72-4FCE-9218-2A646187C762}"/>
    <cellStyle name="Note 14 4 8" xfId="17374" xr:uid="{5C6F41DF-FAF6-45B7-AFF6-DA3F9606D445}"/>
    <cellStyle name="Note 14 5" xfId="9405" xr:uid="{766FC898-D49E-414B-9E6F-0797CB099CB3}"/>
    <cellStyle name="Note 14 5 2" xfId="13809" xr:uid="{6CE91C67-F575-4515-B573-4165C676382C}"/>
    <cellStyle name="Note 14 5 3" xfId="14769" xr:uid="{4BD6751F-8C6E-4E5E-A570-7B17ABC407EC}"/>
    <cellStyle name="Note 14 5 4" xfId="15721" xr:uid="{D72E4074-9B51-4EDB-A7F0-B423A13B5B08}"/>
    <cellStyle name="Note 14 5 5" xfId="16595" xr:uid="{D7F16BCA-FE30-4E08-BFEB-247D96E5734F}"/>
    <cellStyle name="Note 14 5 6" xfId="17460" xr:uid="{5040510D-20F2-4F3B-A424-D697748FD32D}"/>
    <cellStyle name="Note 14 5 7" xfId="18236" xr:uid="{786C5B2F-49DC-4039-B741-36323157A61D}"/>
    <cellStyle name="Note 14 5 8" xfId="18993" xr:uid="{EA7BAD88-F406-4D98-AD51-A2C752043D6A}"/>
    <cellStyle name="Note 14 6" xfId="11845" xr:uid="{1B881818-814B-44B5-808E-11F72A6B0DF4}"/>
    <cellStyle name="Note 14 7" xfId="10968" xr:uid="{F58B57C4-033D-4693-8427-6363996EEBD2}"/>
    <cellStyle name="Note 14 8" xfId="11464" xr:uid="{BB6FD20B-F9AA-428A-BE1E-D039D3FB4A38}"/>
    <cellStyle name="Note 14 9" xfId="11265" xr:uid="{368E9BB5-518D-422C-9250-424CB29E092A}"/>
    <cellStyle name="Note 15" xfId="6204" xr:uid="{3FB38EEB-E158-4532-9066-4BADC7E0CDE3}"/>
    <cellStyle name="Note 15 10" xfId="13555" xr:uid="{422C433B-12B0-45A1-A792-B28D910893F3}"/>
    <cellStyle name="Note 15 11" xfId="14556" xr:uid="{570E3FF4-5625-4917-9311-D1CDC338FCD7}"/>
    <cellStyle name="Note 15 12" xfId="15514" xr:uid="{AD0706DC-F296-4804-A7F8-F588AD03B851}"/>
    <cellStyle name="Note 15 2" xfId="6837" xr:uid="{F2C8EBD4-FC4D-47FB-853C-E4A9B5E9F011}"/>
    <cellStyle name="Note 15 2 10" xfId="11134" xr:uid="{CBFD01E6-BF02-44FB-B9A7-61311B8154AB}"/>
    <cellStyle name="Note 15 2 11" xfId="13087" xr:uid="{32FE05D9-4AB3-47EC-A0FE-618CAE9A8615}"/>
    <cellStyle name="Note 15 2 2" xfId="7654" xr:uid="{F97CF0AE-4959-4010-AB17-790EF45B6116}"/>
    <cellStyle name="Note 15 2 2 10" xfId="18134" xr:uid="{910D1598-92BD-4DB7-A86B-24F898FA85CD}"/>
    <cellStyle name="Note 15 2 2 2" xfId="9294" xr:uid="{DFB00C8F-57B5-4789-9366-ABBFF7BAECC2}"/>
    <cellStyle name="Note 15 2 2 2 2" xfId="13728" xr:uid="{6B781AC0-B3A4-4AF5-9048-16B36129EF80}"/>
    <cellStyle name="Note 15 2 2 2 3" xfId="14690" xr:uid="{6EF26408-D5F1-430E-A017-E66F2185A67E}"/>
    <cellStyle name="Note 15 2 2 2 4" xfId="15642" xr:uid="{F9924556-F7B1-4C26-B0BB-17086851945E}"/>
    <cellStyle name="Note 15 2 2 2 5" xfId="16522" xr:uid="{D7B3BADC-B2C5-44B0-90AB-7657DDD0A0A5}"/>
    <cellStyle name="Note 15 2 2 2 6" xfId="17388" xr:uid="{46261FC3-A9A9-4435-88E1-50BE133E4217}"/>
    <cellStyle name="Note 15 2 2 2 7" xfId="18164" xr:uid="{3CFEF7F0-AC8A-46C2-AFB7-0F99D146CC5E}"/>
    <cellStyle name="Note 15 2 2 2 8" xfId="18921" xr:uid="{CD059ACF-A5E4-4870-8BFD-565ADDB7C2AB}"/>
    <cellStyle name="Note 15 2 2 3" xfId="9748" xr:uid="{FB53B477-FF7E-4AA6-AB6A-74FD9126D58B}"/>
    <cellStyle name="Note 15 2 2 3 2" xfId="14152" xr:uid="{52A7D752-FFC9-458C-9245-B87817275E3C}"/>
    <cellStyle name="Note 15 2 2 3 3" xfId="15112" xr:uid="{ABB8D12C-2AAE-404A-9738-245C57950939}"/>
    <cellStyle name="Note 15 2 2 3 4" xfId="16064" xr:uid="{851CEAE8-B7D5-429E-BFE4-1606F46E59FF}"/>
    <cellStyle name="Note 15 2 2 3 5" xfId="16938" xr:uid="{4F045864-1CAD-4749-9082-9C430845A5FC}"/>
    <cellStyle name="Note 15 2 2 3 6" xfId="17803" xr:uid="{00F17C2E-DC4E-4B75-B1B9-F0EC24263446}"/>
    <cellStyle name="Note 15 2 2 3 7" xfId="18579" xr:uid="{AFD8EC98-9FAC-4635-A7CC-9C17EFD97376}"/>
    <cellStyle name="Note 15 2 2 3 8" xfId="19336" xr:uid="{F5C011E5-C1DD-49CB-8721-0F44D8E04EDB}"/>
    <cellStyle name="Note 15 2 2 4" xfId="12712" xr:uid="{A89EE491-FEF0-4A99-AF12-375112D17F9D}"/>
    <cellStyle name="Note 15 2 2 5" xfId="13530" xr:uid="{B664B2D2-7A53-4CF9-A02B-F59DEF0E3663}"/>
    <cellStyle name="Note 15 2 2 6" xfId="14534" xr:uid="{935FBD7B-5DD3-4FFB-8844-85E3FF8530AC}"/>
    <cellStyle name="Note 15 2 2 7" xfId="15492" xr:uid="{8AF86BE6-24FE-47A6-9B79-F4B357E059AE}"/>
    <cellStyle name="Note 15 2 2 8" xfId="16417" xr:uid="{642554DA-9F90-48BD-B6E0-1C1181C9FEF5}"/>
    <cellStyle name="Note 15 2 2 9" xfId="17288" xr:uid="{940D6AA5-E63A-4337-A6E6-878B0E7B8A4C}"/>
    <cellStyle name="Note 15 2 3" xfId="8477" xr:uid="{FA86F679-BC52-4D88-8916-EEB13571A59A}"/>
    <cellStyle name="Note 15 2 3 2" xfId="13217" xr:uid="{06F2ACEE-23C4-4FA6-8ECA-2D8207A40E8C}"/>
    <cellStyle name="Note 15 2 3 3" xfId="14237" xr:uid="{8C615837-59DB-46F7-BFDF-5B1195468CCD}"/>
    <cellStyle name="Note 15 2 3 4" xfId="15197" xr:uid="{E2FF5017-9B8C-4646-98BC-02A22B39A64A}"/>
    <cellStyle name="Note 15 2 3 5" xfId="16146" xr:uid="{9ACA7FB0-5DAC-4312-AFDD-7FC8BFE1DB7A}"/>
    <cellStyle name="Note 15 2 3 6" xfId="17019" xr:uid="{349290CE-0ABA-452C-94F5-6244766B3753}"/>
    <cellStyle name="Note 15 2 3 7" xfId="17884" xr:uid="{611940BA-2F13-4A08-8C0C-4B034F4A8467}"/>
    <cellStyle name="Note 15 2 3 8" xfId="18660" xr:uid="{0D94E1F9-F575-476D-A650-F5EDA13E45EE}"/>
    <cellStyle name="Note 15 2 4" xfId="9487" xr:uid="{95DAC37E-62D6-449D-9611-72A9CA127767}"/>
    <cellStyle name="Note 15 2 4 2" xfId="13891" xr:uid="{535E1D38-C568-4750-9959-2184A2C903BB}"/>
    <cellStyle name="Note 15 2 4 3" xfId="14851" xr:uid="{083C8B46-6F10-4A1B-80C9-776207563908}"/>
    <cellStyle name="Note 15 2 4 4" xfId="15803" xr:uid="{F5C398C7-EE59-4D54-8A2E-7873C6F746FF}"/>
    <cellStyle name="Note 15 2 4 5" xfId="16677" xr:uid="{058F93DF-440D-4F95-B7B9-B4774AB5D3F5}"/>
    <cellStyle name="Note 15 2 4 6" xfId="17542" xr:uid="{F068CBE1-4386-4C5C-A6D5-614736BA54C6}"/>
    <cellStyle name="Note 15 2 4 7" xfId="18318" xr:uid="{E1A7C918-5888-47B3-8E4F-DAF2AA20A709}"/>
    <cellStyle name="Note 15 2 4 8" xfId="19075" xr:uid="{B1228746-FE55-4438-AE99-80ACC3D0411E}"/>
    <cellStyle name="Note 15 2 5" xfId="12188" xr:uid="{270A7BEA-1488-4847-A5B3-87CCC9364A33}"/>
    <cellStyle name="Note 15 2 6" xfId="10677" xr:uid="{AEAB91E3-0183-4FED-8E8C-2552CCDEC7C1}"/>
    <cellStyle name="Note 15 2 7" xfId="12079" xr:uid="{568029D4-393B-4A7A-92BB-0F49156512EA}"/>
    <cellStyle name="Note 15 2 8" xfId="10771" xr:uid="{6364C4DB-362F-4911-9690-FF35755165A5}"/>
    <cellStyle name="Note 15 2 9" xfId="11643" xr:uid="{46A7841B-C602-48EB-9306-D9A7D51D0435}"/>
    <cellStyle name="Note 15 3" xfId="7131" xr:uid="{F64FD061-FC64-4A5B-8F9C-BAE9434FC975}"/>
    <cellStyle name="Note 15 3 10" xfId="11742" xr:uid="{399575EF-3B54-45B2-BCF9-B194857B0025}"/>
    <cellStyle name="Note 15 3 2" xfId="8771" xr:uid="{B4E26855-85A5-43A6-B46B-21E014CFFF3A}"/>
    <cellStyle name="Note 15 3 2 2" xfId="13431" xr:uid="{EA922ED3-DC63-4BA3-AD5D-E3B7F94FAC29}"/>
    <cellStyle name="Note 15 3 2 3" xfId="14437" xr:uid="{B219273A-02BA-46DB-ABDB-0E1052077CC0}"/>
    <cellStyle name="Note 15 3 2 4" xfId="15395" xr:uid="{286D19A5-93F4-4343-825E-FCA85CD56CC0}"/>
    <cellStyle name="Note 15 3 2 5" xfId="16322" xr:uid="{35B3E90E-C411-46D9-8799-191593732C88}"/>
    <cellStyle name="Note 15 3 2 6" xfId="17193" xr:uid="{E78C1F07-C59B-4985-A9FF-9EB993218877}"/>
    <cellStyle name="Note 15 3 2 7" xfId="18040" xr:uid="{835261B5-74BC-4E4C-B08D-0B5FFD56C0ED}"/>
    <cellStyle name="Note 15 3 2 8" xfId="18807" xr:uid="{141243A6-A05F-4954-80DD-F8CA81BABC65}"/>
    <cellStyle name="Note 15 3 3" xfId="9634" xr:uid="{4D9450CE-51F0-4A96-A3AC-1D849609AA47}"/>
    <cellStyle name="Note 15 3 3 2" xfId="14038" xr:uid="{8F11235D-CECD-490B-8012-4D070D54AC5A}"/>
    <cellStyle name="Note 15 3 3 3" xfId="14998" xr:uid="{2815D1B6-7367-4075-BFFB-D13FAD7296AB}"/>
    <cellStyle name="Note 15 3 3 4" xfId="15950" xr:uid="{1514A358-16CA-4CBC-9838-C3EBC7F9855F}"/>
    <cellStyle name="Note 15 3 3 5" xfId="16824" xr:uid="{2729210E-57FA-4046-963D-3DB1CE12777C}"/>
    <cellStyle name="Note 15 3 3 6" xfId="17689" xr:uid="{33978022-7A5F-422F-B4E6-8B9D149F2CD5}"/>
    <cellStyle name="Note 15 3 3 7" xfId="18465" xr:uid="{3F7F8D8F-09B3-455A-ADC5-2E596CD179F2}"/>
    <cellStyle name="Note 15 3 3 8" xfId="19222" xr:uid="{E021535D-2656-491D-9A57-A0FD9216F24B}"/>
    <cellStyle name="Note 15 3 4" xfId="12401" xr:uid="{2D8E6EAA-BF85-4591-AC75-78751C1B07DE}"/>
    <cellStyle name="Note 15 3 5" xfId="10477" xr:uid="{22C4BED2-4C35-4C5E-AE16-24D7FCF691D0}"/>
    <cellStyle name="Note 15 3 6" xfId="12109" xr:uid="{0128F7C5-1294-4100-8924-C816B83E2BBB}"/>
    <cellStyle name="Note 15 3 7" xfId="10743" xr:uid="{89114972-E6D9-4E3F-9413-E132BFA5422E}"/>
    <cellStyle name="Note 15 3 8" xfId="12580" xr:uid="{49EC07D6-1401-4780-9E50-FAFB0422EB98}"/>
    <cellStyle name="Note 15 3 9" xfId="10321" xr:uid="{B0D0EED5-F0DA-4048-8698-54B42C35D7BC}"/>
    <cellStyle name="Note 15 4" xfId="7973" xr:uid="{E783CBB6-F775-4E33-B279-316975AD721C}"/>
    <cellStyle name="Note 15 4 2" xfId="12942" xr:uid="{3CC3C62B-066E-4878-AAFB-30D14FAB5B4C}"/>
    <cellStyle name="Note 15 4 3" xfId="10047" xr:uid="{2CA4B4A2-21DF-458C-AF14-496D52366D5A}"/>
    <cellStyle name="Note 15 4 4" xfId="13183" xr:uid="{6C6AB1BA-79F7-4F71-9186-4C5B17A99C78}"/>
    <cellStyle name="Note 15 4 5" xfId="9855" xr:uid="{F913063B-E37F-425D-BCE3-6A0DFC18AB6C}"/>
    <cellStyle name="Note 15 4 6" xfId="12436" xr:uid="{0FDF9D80-D05D-40E5-A99C-FE70471CFAF7}"/>
    <cellStyle name="Note 15 4 7" xfId="10442" xr:uid="{16EB8181-BE79-4E34-95DB-BBAA59F9E282}"/>
    <cellStyle name="Note 15 4 8" xfId="12632" xr:uid="{BE1272DD-7D75-4315-ACDC-B39E2F518AAB}"/>
    <cellStyle name="Note 15 5" xfId="9406" xr:uid="{18828A60-D8A0-4B41-AC90-D162752AAA26}"/>
    <cellStyle name="Note 15 5 2" xfId="13810" xr:uid="{F0434203-5940-41EE-9578-9881C1F135A4}"/>
    <cellStyle name="Note 15 5 3" xfId="14770" xr:uid="{46A9652A-846E-47C1-AB7E-7E326FB2208A}"/>
    <cellStyle name="Note 15 5 4" xfId="15722" xr:uid="{FB9B2C98-F99B-4B76-B9DF-10C9E88168A5}"/>
    <cellStyle name="Note 15 5 5" xfId="16596" xr:uid="{B611C2F9-ED23-4FA0-8061-FB4F565E7E71}"/>
    <cellStyle name="Note 15 5 6" xfId="17461" xr:uid="{5FCB9840-0CA4-4AFB-B520-50DF91CF1537}"/>
    <cellStyle name="Note 15 5 7" xfId="18237" xr:uid="{5A5BBE89-96F5-4862-BA62-C330EF7E45EA}"/>
    <cellStyle name="Note 15 5 8" xfId="18994" xr:uid="{4AD92464-DBEB-4DFB-BB01-659B1A5F9B2B}"/>
    <cellStyle name="Note 15 6" xfId="11846" xr:uid="{6B97DED3-6F85-4714-856B-AF14C66FBD0D}"/>
    <cellStyle name="Note 15 7" xfId="10967" xr:uid="{8A3C2852-7ABD-4BEB-9AE7-368544B8072B}"/>
    <cellStyle name="Note 15 8" xfId="11465" xr:uid="{BB7CA8B4-F618-426E-8078-BD26992D5191}"/>
    <cellStyle name="Note 15 9" xfId="11264" xr:uid="{4BE83B93-E038-4B9F-9463-8747E4A19030}"/>
    <cellStyle name="Note 16" xfId="6205" xr:uid="{6EEDCD09-BE80-4682-84E6-69952CBBD484}"/>
    <cellStyle name="Note 16 10" xfId="13076" xr:uid="{887679E9-C072-4806-9156-D8644ACFAEF0}"/>
    <cellStyle name="Note 16 11" xfId="9933" xr:uid="{26383374-B064-416C-A8D5-FD07EFE677DB}"/>
    <cellStyle name="Note 16 12" xfId="12936" xr:uid="{8F2073B4-2D7C-4C52-B464-125ABAD62114}"/>
    <cellStyle name="Note 16 2" xfId="6836" xr:uid="{24E15562-B7A8-4FD2-8144-5A87BCB1EB35}"/>
    <cellStyle name="Note 16 2 10" xfId="10977" xr:uid="{C87DD2B2-65CF-4FE1-B0A1-F1C59F94E310}"/>
    <cellStyle name="Note 16 2 11" xfId="13102" xr:uid="{67B7A831-D482-4CFF-B872-F5AE0AE396D8}"/>
    <cellStyle name="Note 16 2 2" xfId="7655" xr:uid="{6DBC36DF-983B-43DD-9060-D021DA1BAFE9}"/>
    <cellStyle name="Note 16 2 2 10" xfId="16310" xr:uid="{2BB18724-F2D3-4FDD-8874-EBB1A43D3C52}"/>
    <cellStyle name="Note 16 2 2 2" xfId="9295" xr:uid="{DF660AB4-077F-4F01-A38A-59311345C509}"/>
    <cellStyle name="Note 16 2 2 2 2" xfId="13729" xr:uid="{55C02D7D-D5FE-47EC-BF26-5F07A81A0501}"/>
    <cellStyle name="Note 16 2 2 2 3" xfId="14691" xr:uid="{31813A19-4204-4D8C-A88B-65A5E5891B71}"/>
    <cellStyle name="Note 16 2 2 2 4" xfId="15643" xr:uid="{8C23CA42-F6C5-4C98-9FD1-339B6C3DB7EB}"/>
    <cellStyle name="Note 16 2 2 2 5" xfId="16523" xr:uid="{2D2A8A1A-EDAE-43B0-9C75-AC4C9E1BF89C}"/>
    <cellStyle name="Note 16 2 2 2 6" xfId="17389" xr:uid="{BE0C8177-087A-4BDA-AC0D-6685B8BEF968}"/>
    <cellStyle name="Note 16 2 2 2 7" xfId="18165" xr:uid="{B3C25A8C-3D66-49A7-B638-46BA6B1D4639}"/>
    <cellStyle name="Note 16 2 2 2 8" xfId="18922" xr:uid="{3705A468-718F-481E-A087-C10F947B732D}"/>
    <cellStyle name="Note 16 2 2 3" xfId="9749" xr:uid="{E211EF81-10AE-462D-8EEA-614505AC5B4D}"/>
    <cellStyle name="Note 16 2 2 3 2" xfId="14153" xr:uid="{73AC673E-CCB4-417C-AF5A-0C7773027522}"/>
    <cellStyle name="Note 16 2 2 3 3" xfId="15113" xr:uid="{B0FAE31E-89E6-4A35-B2E7-43568FC0CD3A}"/>
    <cellStyle name="Note 16 2 2 3 4" xfId="16065" xr:uid="{674D064F-C8A4-4AFA-8501-5D288187BA09}"/>
    <cellStyle name="Note 16 2 2 3 5" xfId="16939" xr:uid="{D266C5E9-7186-4C48-A5FE-8F6B954DF27C}"/>
    <cellStyle name="Note 16 2 2 3 6" xfId="17804" xr:uid="{FE00B058-C74F-4A3D-8CE8-80866BA9069F}"/>
    <cellStyle name="Note 16 2 2 3 7" xfId="18580" xr:uid="{387BD42D-24F8-441B-AD8B-41F11BFD9A62}"/>
    <cellStyle name="Note 16 2 2 3 8" xfId="19337" xr:uid="{FF1EF6BB-4702-4393-9C5C-0651DAFDE6CF}"/>
    <cellStyle name="Note 16 2 2 4" xfId="12713" xr:uid="{3800036D-01FF-42EC-BC5F-DB176354C7E7}"/>
    <cellStyle name="Note 16 2 2 5" xfId="12502" xr:uid="{560E6810-3260-4860-B8CE-FBECC23B2AA0}"/>
    <cellStyle name="Note 16 2 2 6" xfId="10379" xr:uid="{2CF5591C-F8DE-420E-9BB9-BF48D64D5B8B}"/>
    <cellStyle name="Note 16 2 2 7" xfId="13412" xr:uid="{F52885EF-43F6-43AE-B6A3-0BCC61727D69}"/>
    <cellStyle name="Note 16 2 2 8" xfId="14421" xr:uid="{861453E5-762A-45E9-95B0-93510303B140}"/>
    <cellStyle name="Note 16 2 2 9" xfId="15379" xr:uid="{8F02D317-47FB-48FE-B4FE-7E0D3E71E33C}"/>
    <cellStyle name="Note 16 2 3" xfId="8476" xr:uid="{9FAA3AFD-3BF0-40F8-886D-4A423E7CA99F}"/>
    <cellStyle name="Note 16 2 3 2" xfId="13216" xr:uid="{E7148C1A-2639-491D-9A21-44CAD9F79D29}"/>
    <cellStyle name="Note 16 2 3 3" xfId="14236" xr:uid="{7482F49C-0EF7-42AF-8625-17952BD76712}"/>
    <cellStyle name="Note 16 2 3 4" xfId="15196" xr:uid="{469BDEE2-B5D0-439A-8F03-654A0FC89F69}"/>
    <cellStyle name="Note 16 2 3 5" xfId="16145" xr:uid="{28BAA050-EC18-420F-94DD-C2FA7E16D59B}"/>
    <cellStyle name="Note 16 2 3 6" xfId="17018" xr:uid="{7234C62C-A635-4536-8CA5-4CDCFBE5FA7E}"/>
    <cellStyle name="Note 16 2 3 7" xfId="17883" xr:uid="{D7F3A271-E451-40AE-9EBF-7CF487A2CA38}"/>
    <cellStyle name="Note 16 2 3 8" xfId="18659" xr:uid="{18C78422-01BC-4A9B-8394-4F94B878BE17}"/>
    <cellStyle name="Note 16 2 4" xfId="9486" xr:uid="{4667A3AD-BBB1-40AC-88FC-D873E6A7C3B7}"/>
    <cellStyle name="Note 16 2 4 2" xfId="13890" xr:uid="{306C4CAD-7FEC-4EFD-A627-1983F94FE1C9}"/>
    <cellStyle name="Note 16 2 4 3" xfId="14850" xr:uid="{D7DDDEB4-B32E-44B4-9537-8EED7431F3C8}"/>
    <cellStyle name="Note 16 2 4 4" xfId="15802" xr:uid="{2BC556F9-FDDF-4FBF-8617-9DD57A7A7735}"/>
    <cellStyle name="Note 16 2 4 5" xfId="16676" xr:uid="{A758D723-3072-4D1E-B31B-3F45F65F1471}"/>
    <cellStyle name="Note 16 2 4 6" xfId="17541" xr:uid="{2BD41397-93BE-4E56-80B8-30035D535C7E}"/>
    <cellStyle name="Note 16 2 4 7" xfId="18317" xr:uid="{1A0EDCAF-3D85-47B6-B79A-A4A77F5872A4}"/>
    <cellStyle name="Note 16 2 4 8" xfId="19074" xr:uid="{25C82B7E-B38A-4E4A-9E62-F44CFE638B3B}"/>
    <cellStyle name="Note 16 2 5" xfId="12187" xr:uid="{1BEC24F2-1D2A-47B9-B802-06013B354DFE}"/>
    <cellStyle name="Note 16 2 6" xfId="10678" xr:uid="{486578B5-A4E2-40FD-ACF9-13FB5A3F7065}"/>
    <cellStyle name="Note 16 2 7" xfId="13111" xr:uid="{9F0E6628-9DBF-40E8-9B47-A233566FC3FC}"/>
    <cellStyle name="Note 16 2 8" xfId="9914" xr:uid="{31ECF327-38C2-45C5-956A-CC0522168C7F}"/>
    <cellStyle name="Note 16 2 9" xfId="11835" xr:uid="{4C13AAAD-E7BA-4A6C-994A-FE6C529C0471}"/>
    <cellStyle name="Note 16 3" xfId="7132" xr:uid="{D0B63638-ADA6-40BE-8775-51DA791064D2}"/>
    <cellStyle name="Note 16 3 10" xfId="13606" xr:uid="{A7995DB9-A54E-4A26-8D3C-A2B00A516199}"/>
    <cellStyle name="Note 16 3 2" xfId="8772" xr:uid="{DF399ED1-82A6-4C34-A486-EB83D703B66F}"/>
    <cellStyle name="Note 16 3 2 2" xfId="13432" xr:uid="{098A3F2B-FF91-48FF-BD2F-DB8D8EAA6DC2}"/>
    <cellStyle name="Note 16 3 2 3" xfId="14438" xr:uid="{A7BB465F-FDB8-4257-983B-6E80620D35B0}"/>
    <cellStyle name="Note 16 3 2 4" xfId="15396" xr:uid="{F5A3B364-126C-49B7-B833-809395D74122}"/>
    <cellStyle name="Note 16 3 2 5" xfId="16323" xr:uid="{E6C1803C-817F-4602-87B0-EDD043A449EE}"/>
    <cellStyle name="Note 16 3 2 6" xfId="17194" xr:uid="{3D06EA17-CF00-4A0A-89A6-35DE05799B7D}"/>
    <cellStyle name="Note 16 3 2 7" xfId="18041" xr:uid="{BA6FE638-7A34-4A2A-90CD-E4C73D7D73C0}"/>
    <cellStyle name="Note 16 3 2 8" xfId="18808" xr:uid="{86160233-16E0-48B1-AE6C-08A0CBDF8291}"/>
    <cellStyle name="Note 16 3 3" xfId="9635" xr:uid="{E7E346BC-46D4-40EA-AEDA-56F9773381C2}"/>
    <cellStyle name="Note 16 3 3 2" xfId="14039" xr:uid="{181D917F-4260-4DBC-A02F-7E75A3E5BCC9}"/>
    <cellStyle name="Note 16 3 3 3" xfId="14999" xr:uid="{67415B46-7B4E-437D-9E86-7CFEFEB55C46}"/>
    <cellStyle name="Note 16 3 3 4" xfId="15951" xr:uid="{4D28E631-AF42-4BE1-9548-9A5BC5EA7C02}"/>
    <cellStyle name="Note 16 3 3 5" xfId="16825" xr:uid="{40F63D7F-C548-4E79-8DFC-3612590A66B3}"/>
    <cellStyle name="Note 16 3 3 6" xfId="17690" xr:uid="{5520991F-C104-4FA4-80E1-F7363E039462}"/>
    <cellStyle name="Note 16 3 3 7" xfId="18466" xr:uid="{CAFBE84D-A9E0-4D12-99F5-DE474BEF816A}"/>
    <cellStyle name="Note 16 3 3 8" xfId="19223" xr:uid="{F35E0260-484F-4911-AA45-9E1D9DCAAE52}"/>
    <cellStyle name="Note 16 3 4" xfId="12402" xr:uid="{2E0ED4B9-108A-4498-A40A-67A808E100AE}"/>
    <cellStyle name="Note 16 3 5" xfId="10476" xr:uid="{0A9696A0-F7B7-45A1-B732-9820035C0F68}"/>
    <cellStyle name="Note 16 3 6" xfId="12627" xr:uid="{54B46A5B-F741-4947-A92F-C3CCFB144D99}"/>
    <cellStyle name="Note 16 3 7" xfId="10282" xr:uid="{8EC6C27C-0AE6-4AC4-A2A2-B4E67B08D6C9}"/>
    <cellStyle name="Note 16 3 8" xfId="12125" xr:uid="{35F70D69-D126-4144-B9A0-5DC82EC55B58}"/>
    <cellStyle name="Note 16 3 9" xfId="10730" xr:uid="{607CD99A-2DA5-4303-A90A-69A5B8FEFD0C}"/>
    <cellStyle name="Note 16 4" xfId="7974" xr:uid="{659F7BCE-B86B-459A-9496-80E892DA3012}"/>
    <cellStyle name="Note 16 4 2" xfId="12943" xr:uid="{F40083AB-1D60-4AED-B514-97B95B93C915}"/>
    <cellStyle name="Note 16 4 3" xfId="10046" xr:uid="{76280CA9-6946-4EC6-8F0E-BF13D8F06476}"/>
    <cellStyle name="Note 16 4 4" xfId="12155" xr:uid="{411B98FD-47E3-43F5-9D8C-E316B53C4786}"/>
    <cellStyle name="Note 16 4 5" xfId="10705" xr:uid="{6886DB1B-33BE-44E0-BFDE-ED082F0BD7FB}"/>
    <cellStyle name="Note 16 4 6" xfId="13399" xr:uid="{7ACDE5E8-89C9-45DD-82DE-505FA82EDE90}"/>
    <cellStyle name="Note 16 4 7" xfId="14408" xr:uid="{B16BD8EB-CBCF-44D0-940F-A87222463CE8}"/>
    <cellStyle name="Note 16 4 8" xfId="15366" xr:uid="{E3A3C43A-C3E3-45B8-8A56-EC15230CED7C}"/>
    <cellStyle name="Note 16 5" xfId="9407" xr:uid="{451C3697-7962-4672-AF63-F6A82686440B}"/>
    <cellStyle name="Note 16 5 2" xfId="13811" xr:uid="{0F4E7429-2CB8-46CA-A128-62AE693502AC}"/>
    <cellStyle name="Note 16 5 3" xfId="14771" xr:uid="{931027E4-F5BB-493B-9C2E-E8031FDFB5AE}"/>
    <cellStyle name="Note 16 5 4" xfId="15723" xr:uid="{D575934C-12E7-4EE3-9D08-D0BD8C702C65}"/>
    <cellStyle name="Note 16 5 5" xfId="16597" xr:uid="{34CE474E-CD79-4D55-9A57-C75DF4B85ED1}"/>
    <cellStyle name="Note 16 5 6" xfId="17462" xr:uid="{5688485A-847E-4540-ACD5-ADD9582987AF}"/>
    <cellStyle name="Note 16 5 7" xfId="18238" xr:uid="{13A66002-CD74-4CAA-ABE6-08C9D07FF273}"/>
    <cellStyle name="Note 16 5 8" xfId="18995" xr:uid="{326276D5-DC26-43A9-8DD6-2362C68D7469}"/>
    <cellStyle name="Note 16 6" xfId="11847" xr:uid="{ED050CF1-E0FD-4220-9DFD-2187F1CC6EE8}"/>
    <cellStyle name="Note 16 7" xfId="10966" xr:uid="{0470C40C-EF7F-47A7-988B-97BF75D6FCF6}"/>
    <cellStyle name="Note 16 8" xfId="11466" xr:uid="{361B5D87-7320-4D40-AA84-68992AD733EF}"/>
    <cellStyle name="Note 16 9" xfId="11263" xr:uid="{7DD47EDC-A9B6-4ACA-A637-24E7C2BCD480}"/>
    <cellStyle name="Note 17" xfId="6206" xr:uid="{E5E8D9D1-5A36-4D9F-B5D4-C4E391C87CDB}"/>
    <cellStyle name="Note 17 10" xfId="11957" xr:uid="{3A804212-A0D5-45FD-8780-C94F4A71E78D}"/>
    <cellStyle name="Note 17 11" xfId="10865" xr:uid="{845596D1-D1F8-4E22-B820-4CD8F8EFDBE6}"/>
    <cellStyle name="Note 17 12" xfId="11557" xr:uid="{98458E99-7DAB-4F21-94CD-CA99742CD9DA}"/>
    <cellStyle name="Note 17 2" xfId="6835" xr:uid="{96149461-17B3-4C1A-9879-011E07D8AD2F}"/>
    <cellStyle name="Note 17 2 10" xfId="16441" xr:uid="{805BC4C4-0E2E-499B-83C1-3EC05B40E0C2}"/>
    <cellStyle name="Note 17 2 11" xfId="17312" xr:uid="{49289475-063A-490D-817E-4A34DCAA1AD2}"/>
    <cellStyle name="Note 17 2 2" xfId="7656" xr:uid="{8D198B83-4463-45ED-B947-7433DA4CC76A}"/>
    <cellStyle name="Note 17 2 2 10" xfId="11293" xr:uid="{2F1EFD50-C7BA-44A8-B364-1D1117B32045}"/>
    <cellStyle name="Note 17 2 2 2" xfId="9296" xr:uid="{33AEC065-07A1-4AE4-B2E5-D896224D52C6}"/>
    <cellStyle name="Note 17 2 2 2 2" xfId="13730" xr:uid="{C031A7A2-E69B-473C-84B4-6B9A3853308B}"/>
    <cellStyle name="Note 17 2 2 2 3" xfId="14692" xr:uid="{7670C513-A925-4812-8EB0-3F3B3DA5A2A7}"/>
    <cellStyle name="Note 17 2 2 2 4" xfId="15644" xr:uid="{EFF2F4BA-8B1D-421A-A9B3-F71EDACAF0DB}"/>
    <cellStyle name="Note 17 2 2 2 5" xfId="16524" xr:uid="{201E9ABF-394D-47FE-9116-1559B1383D74}"/>
    <cellStyle name="Note 17 2 2 2 6" xfId="17390" xr:uid="{009F0BB6-8D1D-4288-A43A-83F3FBC945D8}"/>
    <cellStyle name="Note 17 2 2 2 7" xfId="18166" xr:uid="{66930E60-5966-4CEA-A098-F38967D19505}"/>
    <cellStyle name="Note 17 2 2 2 8" xfId="18923" xr:uid="{53A4E71C-C085-4B52-A221-147E3AAB2C54}"/>
    <cellStyle name="Note 17 2 2 3" xfId="9750" xr:uid="{B4AB1BB3-865D-492E-B9DF-AE3D352D63B3}"/>
    <cellStyle name="Note 17 2 2 3 2" xfId="14154" xr:uid="{DF809E1E-3D2C-4BF3-A141-5A7C5FE19AA6}"/>
    <cellStyle name="Note 17 2 2 3 3" xfId="15114" xr:uid="{7DE7829F-B6D2-46FC-B8CB-0ED9BFDB73B5}"/>
    <cellStyle name="Note 17 2 2 3 4" xfId="16066" xr:uid="{7632B671-C733-4768-8E61-9506C59C3C33}"/>
    <cellStyle name="Note 17 2 2 3 5" xfId="16940" xr:uid="{EAB0D0DC-C244-4EC6-8901-E2CAF03CCAC5}"/>
    <cellStyle name="Note 17 2 2 3 6" xfId="17805" xr:uid="{4792BEC6-0DD7-4341-B933-75AE822830F2}"/>
    <cellStyle name="Note 17 2 2 3 7" xfId="18581" xr:uid="{DFD8E372-5DC2-4D60-B486-447ED7C8D2C3}"/>
    <cellStyle name="Note 17 2 2 3 8" xfId="19338" xr:uid="{3599267E-BE2F-4B13-AD3F-2F36DE8006B5}"/>
    <cellStyle name="Note 17 2 2 4" xfId="12714" xr:uid="{A27AE4BF-BCAE-4E7F-B478-F82A3E75DD54}"/>
    <cellStyle name="Note 17 2 2 5" xfId="12035" xr:uid="{0DACB1C1-B39B-4216-A379-42D915DA5C6B}"/>
    <cellStyle name="Note 17 2 2 6" xfId="10799" xr:uid="{F2E96EF5-A4EE-4F0F-A266-FBDC7E252FF5}"/>
    <cellStyle name="Note 17 2 2 7" xfId="11619" xr:uid="{0DE41A49-0EAC-404A-B681-A175F451AEEE}"/>
    <cellStyle name="Note 17 2 2 8" xfId="11140" xr:uid="{45C7000A-3B6F-4BD1-BECB-30EE8C87DCD1}"/>
    <cellStyle name="Note 17 2 2 9" xfId="11434" xr:uid="{7BFF8D55-60A5-4340-871F-94845A943356}"/>
    <cellStyle name="Note 17 2 3" xfId="8475" xr:uid="{FCF0F9EE-B9FD-49C0-AAC5-F87D166348F0}"/>
    <cellStyle name="Note 17 2 3 2" xfId="13215" xr:uid="{599823AB-8307-4E9A-91B2-EC9D7DFEA0E1}"/>
    <cellStyle name="Note 17 2 3 3" xfId="14235" xr:uid="{E29B3B1A-7F7B-4829-B1DB-4CEEAA2F7F04}"/>
    <cellStyle name="Note 17 2 3 4" xfId="15195" xr:uid="{A527432D-5CA3-41BA-ACD9-28EAA63FE594}"/>
    <cellStyle name="Note 17 2 3 5" xfId="16144" xr:uid="{2373CBD0-566B-4D40-B9EF-4D60A2B82DF6}"/>
    <cellStyle name="Note 17 2 3 6" xfId="17017" xr:uid="{B473B0A2-50BC-4A59-B424-F570BDD3264F}"/>
    <cellStyle name="Note 17 2 3 7" xfId="17882" xr:uid="{C0ACE2DF-6A5B-4A02-9E09-A74FAFD487AA}"/>
    <cellStyle name="Note 17 2 3 8" xfId="18658" xr:uid="{F5D1551F-B2C2-4F36-8110-D261085FA667}"/>
    <cellStyle name="Note 17 2 4" xfId="9485" xr:uid="{72C1C911-A7C7-4675-BEC4-C8108ED731A6}"/>
    <cellStyle name="Note 17 2 4 2" xfId="13889" xr:uid="{E202C5C2-9B01-4DDB-9E6A-2B5AF07BA502}"/>
    <cellStyle name="Note 17 2 4 3" xfId="14849" xr:uid="{C179720E-B56A-4C66-9F94-BFE1C551ADA8}"/>
    <cellStyle name="Note 17 2 4 4" xfId="15801" xr:uid="{8EFE047E-E883-4486-B65C-B539A8E116DB}"/>
    <cellStyle name="Note 17 2 4 5" xfId="16675" xr:uid="{68D2023D-5252-47A0-84C8-349AC19A8EA5}"/>
    <cellStyle name="Note 17 2 4 6" xfId="17540" xr:uid="{2636922C-A3FE-4701-8ED4-38698E636ECE}"/>
    <cellStyle name="Note 17 2 4 7" xfId="18316" xr:uid="{586A6B59-A399-4C64-9F92-BB729528B4C3}"/>
    <cellStyle name="Note 17 2 4 8" xfId="19073" xr:uid="{8EC40C78-EBED-442A-B639-02C74BD857AD}"/>
    <cellStyle name="Note 17 2 5" xfId="12186" xr:uid="{7A2D1F9E-6411-40BC-9903-2336AA60D08B}"/>
    <cellStyle name="Note 17 2 6" xfId="10679" xr:uid="{8ED1ADCE-FA8B-4E5E-A2E8-C6BF3ECEC09A}"/>
    <cellStyle name="Note 17 2 7" xfId="13611" xr:uid="{F1EBF512-2DC1-4AF3-B46E-EA78E98E60F0}"/>
    <cellStyle name="Note 17 2 8" xfId="14589" xr:uid="{EAC14822-20AA-45BD-9A5C-FC01C5A11244}"/>
    <cellStyle name="Note 17 2 9" xfId="15542" xr:uid="{F307C6E1-9CF6-442A-A391-CF4C5904E1F5}"/>
    <cellStyle name="Note 17 3" xfId="7133" xr:uid="{BA221D54-10B7-4FFA-8159-05F99A1BCCE7}"/>
    <cellStyle name="Note 17 3 10" xfId="17339" xr:uid="{F895E6AA-8EE5-4908-87E7-3FE3333CC468}"/>
    <cellStyle name="Note 17 3 2" xfId="8773" xr:uid="{20F2459B-0833-416E-96DF-656A1C64852C}"/>
    <cellStyle name="Note 17 3 2 2" xfId="13433" xr:uid="{2BF09B00-3ABF-432A-A27C-43A3473D7AEC}"/>
    <cellStyle name="Note 17 3 2 3" xfId="14439" xr:uid="{7F2169EF-4F45-4048-882D-66537E806DD6}"/>
    <cellStyle name="Note 17 3 2 4" xfId="15397" xr:uid="{3B9E58D4-4D42-4C06-9A9A-417E7A21D013}"/>
    <cellStyle name="Note 17 3 2 5" xfId="16324" xr:uid="{A1035959-0077-4EA4-86CC-CB30E6C5F7FE}"/>
    <cellStyle name="Note 17 3 2 6" xfId="17195" xr:uid="{883C12C8-A96D-449F-8F71-D885EDD12F12}"/>
    <cellStyle name="Note 17 3 2 7" xfId="18042" xr:uid="{55D712FB-EE4D-48B6-945D-D0581CF519D7}"/>
    <cellStyle name="Note 17 3 2 8" xfId="18809" xr:uid="{886D1780-F26A-4CFD-9217-6F5086D3DA0A}"/>
    <cellStyle name="Note 17 3 3" xfId="9636" xr:uid="{C338375E-4BF5-42DB-B4A6-5281B87AC818}"/>
    <cellStyle name="Note 17 3 3 2" xfId="14040" xr:uid="{8F998D0D-A37C-46BB-BF39-597D95BF558C}"/>
    <cellStyle name="Note 17 3 3 3" xfId="15000" xr:uid="{B8E72AD3-7504-45BF-9BDB-4189E290D1B8}"/>
    <cellStyle name="Note 17 3 3 4" xfId="15952" xr:uid="{478F1DD1-DE8F-4145-9699-8433018F9935}"/>
    <cellStyle name="Note 17 3 3 5" xfId="16826" xr:uid="{BBA7E508-AF01-4756-9AB1-A27705B31F71}"/>
    <cellStyle name="Note 17 3 3 6" xfId="17691" xr:uid="{25A2C1F4-9D57-4644-BF2F-E1966D405C20}"/>
    <cellStyle name="Note 17 3 3 7" xfId="18467" xr:uid="{B94B3166-FB38-494E-9E0C-A9242984A120}"/>
    <cellStyle name="Note 17 3 3 8" xfId="19224" xr:uid="{16F27593-5867-48B9-956B-7D1171D6A1B4}"/>
    <cellStyle name="Note 17 3 4" xfId="12403" xr:uid="{3A8C096A-5874-4C7E-8C41-B5E6F7C7286B}"/>
    <cellStyle name="Note 17 3 5" xfId="10475" xr:uid="{F8B1379A-71A9-41D5-B408-57F9EA3A89BF}"/>
    <cellStyle name="Note 17 3 6" xfId="13647" xr:uid="{96AC398E-107D-472C-A5BF-EA7428BE3DCC}"/>
    <cellStyle name="Note 17 3 7" xfId="14623" xr:uid="{9C82240A-1A5D-4591-8282-B7AF4F1C8CE4}"/>
    <cellStyle name="Note 17 3 8" xfId="15575" xr:uid="{A37B1D92-9C43-4899-AD91-300026F93CA7}"/>
    <cellStyle name="Note 17 3 9" xfId="16470" xr:uid="{1070CE4E-DED0-42D7-AB34-6CEA3C5F6E32}"/>
    <cellStyle name="Note 17 4" xfId="7975" xr:uid="{F42101E6-AE35-42D3-9C54-F4A48006CF32}"/>
    <cellStyle name="Note 17 4 2" xfId="12944" xr:uid="{13A0F4DC-3A48-457D-B49B-FB3E0A3B225C}"/>
    <cellStyle name="Note 17 4 3" xfId="10045" xr:uid="{C2139B0E-100C-4482-B956-C95B5D152AE7}"/>
    <cellStyle name="Note 17 4 4" xfId="12688" xr:uid="{1B69C007-826F-40DA-A59D-64B1BF705506}"/>
    <cellStyle name="Note 17 4 5" xfId="10233" xr:uid="{ADA19091-75F1-43D1-A676-05AA23D1E7B9}"/>
    <cellStyle name="Note 17 4 6" xfId="13679" xr:uid="{49743A5F-AF95-4C92-9934-2C17F6CC9DBF}"/>
    <cellStyle name="Note 17 4 7" xfId="14648" xr:uid="{4341D7B7-3C5F-44C0-BFFE-3C0B6D6DDF48}"/>
    <cellStyle name="Note 17 4 8" xfId="15600" xr:uid="{8CD58DDD-C247-42E3-BE1F-92B9D1CEEEC7}"/>
    <cellStyle name="Note 17 5" xfId="9408" xr:uid="{7D63B411-2D5D-4A1F-81BA-ED4586E7286D}"/>
    <cellStyle name="Note 17 5 2" xfId="13812" xr:uid="{A06B46AB-182F-4F62-BB48-EDD62A7CD8E1}"/>
    <cellStyle name="Note 17 5 3" xfId="14772" xr:uid="{4B730658-847D-47F3-8FCF-AA362478C59D}"/>
    <cellStyle name="Note 17 5 4" xfId="15724" xr:uid="{5EA63503-B213-4F8C-B604-DAE34FA975B8}"/>
    <cellStyle name="Note 17 5 5" xfId="16598" xr:uid="{B965DBA9-EE89-4C1D-B9B5-8CF5BDA9C5F0}"/>
    <cellStyle name="Note 17 5 6" xfId="17463" xr:uid="{BB707432-69E4-4DC9-A7F5-8FA7E8B8DA37}"/>
    <cellStyle name="Note 17 5 7" xfId="18239" xr:uid="{7056D46C-4A75-4C6C-B4F4-994DF6B17C32}"/>
    <cellStyle name="Note 17 5 8" xfId="18996" xr:uid="{B552CA8F-61F1-4E62-82FC-E6EBAD8411C7}"/>
    <cellStyle name="Note 17 6" xfId="11848" xr:uid="{99C61DC7-8A37-400E-9AE7-3AD29B741BDC}"/>
    <cellStyle name="Note 17 7" xfId="10965" xr:uid="{6A2F41D6-7A7D-46AA-956C-E91EF70088D0}"/>
    <cellStyle name="Note 17 8" xfId="11467" xr:uid="{67B247B0-EE69-4F93-A9BF-5B5696FBBF80}"/>
    <cellStyle name="Note 17 9" xfId="11262" xr:uid="{4A87C8F3-70FF-4B94-804C-98EC61819407}"/>
    <cellStyle name="Note 18" xfId="6207" xr:uid="{212A2456-B61B-47BC-AB65-DDEA04A60279}"/>
    <cellStyle name="Note 18 10" xfId="11261" xr:uid="{C7FEE266-FF31-423C-982C-3E62A528DE64}"/>
    <cellStyle name="Note 18 11" xfId="12527" xr:uid="{37788B42-9B77-4C67-978B-67F58CB64A15}"/>
    <cellStyle name="Note 18 12" xfId="10356" xr:uid="{686BC290-243F-4B77-9D5E-17D7C29FEF4A}"/>
    <cellStyle name="Note 18 13" xfId="13151" xr:uid="{588ED6E6-7A01-4EB3-945C-101445FEDDA3}"/>
    <cellStyle name="Note 18 2" xfId="6208" xr:uid="{9896D5F9-8A4D-4B2E-8054-A18DC22B45DA}"/>
    <cellStyle name="Note 18 2 10" xfId="13556" xr:uid="{080DE8E8-9E35-4CAA-8054-F24137E3DEA2}"/>
    <cellStyle name="Note 18 2 11" xfId="14557" xr:uid="{52B77118-EDA2-401F-8946-53C6E0428206}"/>
    <cellStyle name="Note 18 2 12" xfId="15515" xr:uid="{DB809E8A-E505-489A-8630-0A56A7AC18FF}"/>
    <cellStyle name="Note 18 2 2" xfId="6833" xr:uid="{A809AA5F-EB16-4F7C-A752-968E207CA9B8}"/>
    <cellStyle name="Note 18 2 2 10" xfId="11135" xr:uid="{BC363310-03B8-41EE-9CB3-5154538B548A}"/>
    <cellStyle name="Note 18 2 2 11" xfId="13575" xr:uid="{15917C3E-EA47-42F7-AD61-869A15D030AC}"/>
    <cellStyle name="Note 18 2 2 2" xfId="7657" xr:uid="{687A2D6E-827A-4746-AE55-6DE50780C587}"/>
    <cellStyle name="Note 18 2 2 2 10" xfId="10329" xr:uid="{84799D9D-9EFE-4D6F-B43B-82FFF8D537BD}"/>
    <cellStyle name="Note 18 2 2 2 2" xfId="9297" xr:uid="{2045B3DF-8409-420E-916F-D3EAB58A49DC}"/>
    <cellStyle name="Note 18 2 2 2 2 2" xfId="13731" xr:uid="{276D41B7-8702-499A-B9C6-1F51CAEB0D47}"/>
    <cellStyle name="Note 18 2 2 2 2 3" xfId="14693" xr:uid="{FD8D4A20-7D47-4716-A785-4643EABEBE32}"/>
    <cellStyle name="Note 18 2 2 2 2 4" xfId="15645" xr:uid="{5EC89DB2-4B78-4BB7-9883-761686645647}"/>
    <cellStyle name="Note 18 2 2 2 2 5" xfId="16525" xr:uid="{3F006944-6AFE-43BC-9CBA-BC3DA41BEF98}"/>
    <cellStyle name="Note 18 2 2 2 2 6" xfId="17391" xr:uid="{23902EDF-D8CB-434E-AF20-BE014F4C12A3}"/>
    <cellStyle name="Note 18 2 2 2 2 7" xfId="18167" xr:uid="{27048256-E65E-4FB2-950A-B944ACAA9DDB}"/>
    <cellStyle name="Note 18 2 2 2 2 8" xfId="18924" xr:uid="{BCBF7375-DAD7-434B-906B-A80F8B1FC6E1}"/>
    <cellStyle name="Note 18 2 2 2 3" xfId="9751" xr:uid="{FEB0A71A-E38A-4AEF-9C84-EFD53D5AD0C1}"/>
    <cellStyle name="Note 18 2 2 2 3 2" xfId="14155" xr:uid="{EDD4193D-74AA-41B4-8FDD-A0136F103AE0}"/>
    <cellStyle name="Note 18 2 2 2 3 3" xfId="15115" xr:uid="{C3C5F4B5-8281-4D4C-9A79-F1E9646905E3}"/>
    <cellStyle name="Note 18 2 2 2 3 4" xfId="16067" xr:uid="{C8AC779E-0B22-4DAB-ACB9-DD0EAFDE7DB2}"/>
    <cellStyle name="Note 18 2 2 2 3 5" xfId="16941" xr:uid="{82584CDA-6DEC-492C-A23F-757229BEF917}"/>
    <cellStyle name="Note 18 2 2 2 3 6" xfId="17806" xr:uid="{7E2B61BE-8CDD-4A8C-B86B-A9FA532408FB}"/>
    <cellStyle name="Note 18 2 2 2 3 7" xfId="18582" xr:uid="{462E1C38-B6B6-4C97-8B09-9A28AB4691E3}"/>
    <cellStyle name="Note 18 2 2 2 3 8" xfId="19339" xr:uid="{B4A658FA-B3CF-48D3-BE4D-4ED1EBC38D95}"/>
    <cellStyle name="Note 18 2 2 2 4" xfId="12715" xr:uid="{0BDFF28F-0EA1-42BD-B014-F790F8630153}"/>
    <cellStyle name="Note 18 2 2 2 5" xfId="12823" xr:uid="{52C013A9-F045-4891-8E8B-3466F6A8E183}"/>
    <cellStyle name="Note 18 2 2 2 6" xfId="10151" xr:uid="{B91A074C-C68C-4D1B-8C7D-B73F37B5801E}"/>
    <cellStyle name="Note 18 2 2 2 7" xfId="11796" xr:uid="{112FF9BF-D4BA-4B65-A7C4-A32479716C07}"/>
    <cellStyle name="Note 18 2 2 2 8" xfId="11008" xr:uid="{C86415EB-8546-45AB-9655-530662A73C26}"/>
    <cellStyle name="Note 18 2 2 2 9" xfId="12570" xr:uid="{A2B3A0FA-5A82-4562-9C5E-B01AE886289D}"/>
    <cellStyle name="Note 18 2 2 3" xfId="8473" xr:uid="{A5AD4548-0038-455E-871E-0C0DF9DDE213}"/>
    <cellStyle name="Note 18 2 2 3 2" xfId="13213" xr:uid="{00F4831F-AA1F-4A91-B712-1E4B2766E489}"/>
    <cellStyle name="Note 18 2 2 3 3" xfId="14233" xr:uid="{80B3C916-2DA0-4A46-A631-3C9D4D0F3AD8}"/>
    <cellStyle name="Note 18 2 2 3 4" xfId="15193" xr:uid="{A57F3E4A-A1A0-4804-8931-F737FFE8D929}"/>
    <cellStyle name="Note 18 2 2 3 5" xfId="16142" xr:uid="{04231F8B-0C4D-4EDB-A80B-5BE58F796C68}"/>
    <cellStyle name="Note 18 2 2 3 6" xfId="17015" xr:uid="{FA0E38CD-3568-410C-B84A-6B12936310B7}"/>
    <cellStyle name="Note 18 2 2 3 7" xfId="17880" xr:uid="{1A1CAEB8-23F1-4C9D-B9AB-42DD8CACE695}"/>
    <cellStyle name="Note 18 2 2 3 8" xfId="18656" xr:uid="{C2F7A405-5080-4DBF-BBAC-DC1402739F4C}"/>
    <cellStyle name="Note 18 2 2 4" xfId="9483" xr:uid="{2FE4D8A1-CD72-4B1C-9723-D9B2D2790C59}"/>
    <cellStyle name="Note 18 2 2 4 2" xfId="13887" xr:uid="{799EAC6E-2379-4734-A7B5-CED376CCA697}"/>
    <cellStyle name="Note 18 2 2 4 3" xfId="14847" xr:uid="{0DD761DD-6B82-4FB1-9A74-8F5436A211A4}"/>
    <cellStyle name="Note 18 2 2 4 4" xfId="15799" xr:uid="{E2170296-5325-4C52-A2D7-E39F5E719FE8}"/>
    <cellStyle name="Note 18 2 2 4 5" xfId="16673" xr:uid="{9F1D3171-9C9F-4992-9775-0D3BAA18FDB8}"/>
    <cellStyle name="Note 18 2 2 4 6" xfId="17538" xr:uid="{D912F452-9E35-4BF4-8946-F35CBB07912F}"/>
    <cellStyle name="Note 18 2 2 4 7" xfId="18314" xr:uid="{CED4A206-E26E-4A43-A2B5-44B5F0C0E3DC}"/>
    <cellStyle name="Note 18 2 2 4 8" xfId="19071" xr:uid="{69BACD01-57E2-48B9-BEA8-64F67A800B79}"/>
    <cellStyle name="Note 18 2 2 5" xfId="12184" xr:uid="{B4219419-A610-42EF-A2FA-9CBF26B46A7F}"/>
    <cellStyle name="Note 18 2 2 6" xfId="10681" xr:uid="{84D3384E-DEA2-4334-ACC0-9CEC1FE581D7}"/>
    <cellStyle name="Note 18 2 2 7" xfId="12078" xr:uid="{0CA8C958-39F9-4563-91F0-8D9443C0A29D}"/>
    <cellStyle name="Note 18 2 2 8" xfId="10772" xr:uid="{4200A8B9-C782-402B-9B6F-D8793BAAB62A}"/>
    <cellStyle name="Note 18 2 2 9" xfId="11642" xr:uid="{1BC0A3CF-18D4-409C-9A50-E4CC23FB633F}"/>
    <cellStyle name="Note 18 2 3" xfId="7135" xr:uid="{BAD5E981-CE0B-4526-AD31-E98E1A86CAC0}"/>
    <cellStyle name="Note 18 2 3 10" xfId="15538" xr:uid="{BE581C62-4AAD-4FCC-A2FD-025F074A4BF4}"/>
    <cellStyle name="Note 18 2 3 2" xfId="8775" xr:uid="{F742B0B8-1FD4-4F24-9D97-BB6E480ECB60}"/>
    <cellStyle name="Note 18 2 3 2 2" xfId="13435" xr:uid="{4135E61A-C987-4F7F-853E-82C142406083}"/>
    <cellStyle name="Note 18 2 3 2 3" xfId="14441" xr:uid="{6EEB6CAE-B13A-4D93-BD74-81A3FD81C275}"/>
    <cellStyle name="Note 18 2 3 2 4" xfId="15399" xr:uid="{FBCB8A10-E991-4EF7-BD9E-94928407E3CA}"/>
    <cellStyle name="Note 18 2 3 2 5" xfId="16326" xr:uid="{5F158D5A-2A8D-416C-B91F-B9F672FE5658}"/>
    <cellStyle name="Note 18 2 3 2 6" xfId="17197" xr:uid="{62160D0E-C3A2-4D69-8D2C-BD8E62AF1AA3}"/>
    <cellStyle name="Note 18 2 3 2 7" xfId="18044" xr:uid="{27C20986-C152-48DB-93AD-E1EAE4E3EAE8}"/>
    <cellStyle name="Note 18 2 3 2 8" xfId="18811" xr:uid="{72C37D42-ACD1-4210-95C0-7B09A1AC7F7C}"/>
    <cellStyle name="Note 18 2 3 3" xfId="9638" xr:uid="{A114D216-C048-4EC4-A52E-E5463E658E43}"/>
    <cellStyle name="Note 18 2 3 3 2" xfId="14042" xr:uid="{15CC3BED-DED6-415F-ADEA-43A1E61CBE44}"/>
    <cellStyle name="Note 18 2 3 3 3" xfId="15002" xr:uid="{AD0F52F1-C94A-477B-B75D-A6553F86102E}"/>
    <cellStyle name="Note 18 2 3 3 4" xfId="15954" xr:uid="{7C3399B0-0A91-40BA-97BD-0AED9B861AE9}"/>
    <cellStyle name="Note 18 2 3 3 5" xfId="16828" xr:uid="{EF8FF6E5-F9D6-4932-859F-C4D3606CFDAB}"/>
    <cellStyle name="Note 18 2 3 3 6" xfId="17693" xr:uid="{52058903-30FE-47F5-B78C-121E1F0C794E}"/>
    <cellStyle name="Note 18 2 3 3 7" xfId="18469" xr:uid="{0675E839-B806-491E-B4C8-DA516C2499FD}"/>
    <cellStyle name="Note 18 2 3 3 8" xfId="19226" xr:uid="{02777FD2-5586-4084-A2AC-D6E83CCE22E7}"/>
    <cellStyle name="Note 18 2 3 4" xfId="12405" xr:uid="{7A7B8FA4-D040-49DA-A1FF-183B8C051D74}"/>
    <cellStyle name="Note 18 2 3 5" xfId="10473" xr:uid="{9F9753C5-02FC-49E5-B9ED-CD4AD0BBCC7D}"/>
    <cellStyle name="Note 18 2 3 6" xfId="12110" xr:uid="{89007E96-4D73-4886-A283-02CE42140F12}"/>
    <cellStyle name="Note 18 2 3 7" xfId="10742" xr:uid="{961DA490-02EA-4E1A-AEE1-287B72BA4194}"/>
    <cellStyle name="Note 18 2 3 8" xfId="13604" xr:uid="{2FD762FD-5576-43EE-A404-F04D03F7B586}"/>
    <cellStyle name="Note 18 2 3 9" xfId="14585" xr:uid="{007EB21B-51DF-4E73-97BE-8FB1EE8FF553}"/>
    <cellStyle name="Note 18 2 4" xfId="7977" xr:uid="{659BB3F9-B1E3-41AC-94A0-AD09B3EB5D68}"/>
    <cellStyle name="Note 18 2 4 2" xfId="12946" xr:uid="{E4F4599B-2235-4071-BC31-78A3190EF209}"/>
    <cellStyle name="Note 18 2 4 3" xfId="12013" xr:uid="{90254737-1006-473A-AD39-B75990E36F14}"/>
    <cellStyle name="Note 18 2 4 4" xfId="10820" xr:uid="{53D366F8-822D-4832-9AF4-5EA07524E1CF}"/>
    <cellStyle name="Note 18 2 4 5" xfId="11601" xr:uid="{556C9F38-78DB-488B-B3A0-8B9DC4EAEC07}"/>
    <cellStyle name="Note 18 2 4 6" xfId="11158" xr:uid="{1C3D45A6-EBAE-476B-BA4B-5F30491067C8}"/>
    <cellStyle name="Note 18 2 4 7" xfId="13572" xr:uid="{3D145334-2385-44D9-B388-9E25571FC1AC}"/>
    <cellStyle name="Note 18 2 4 8" xfId="14568" xr:uid="{CA42802D-EB0B-4CDE-B731-A8A98CF846AA}"/>
    <cellStyle name="Note 18 2 5" xfId="9410" xr:uid="{40F9FDD0-6F7B-4A94-A4E4-A34F0D68DC96}"/>
    <cellStyle name="Note 18 2 5 2" xfId="13814" xr:uid="{6F3C10E1-9056-4B7F-9A09-7301303E1D52}"/>
    <cellStyle name="Note 18 2 5 3" xfId="14774" xr:uid="{15ECD490-F20C-431F-8E19-AFE336C31109}"/>
    <cellStyle name="Note 18 2 5 4" xfId="15726" xr:uid="{A6E97EA2-552A-47F8-A808-9DEE6F26BEB2}"/>
    <cellStyle name="Note 18 2 5 5" xfId="16600" xr:uid="{F6AD6BD2-3C58-4CC6-BEB1-E7BBF2FC446B}"/>
    <cellStyle name="Note 18 2 5 6" xfId="17465" xr:uid="{0C0047AD-60CD-428C-A308-C773040AA0E7}"/>
    <cellStyle name="Note 18 2 5 7" xfId="18241" xr:uid="{02EAEAD0-6C97-400D-A882-3973115C81C7}"/>
    <cellStyle name="Note 18 2 5 8" xfId="18998" xr:uid="{F52A92E4-C349-4928-B09D-6D0E230FD146}"/>
    <cellStyle name="Note 18 2 6" xfId="11850" xr:uid="{1E8A2440-D2FB-46E5-8C33-53D63C76F2DD}"/>
    <cellStyle name="Note 18 2 7" xfId="10963" xr:uid="{BDCA8DA9-D8A0-49C5-B7E9-A976B4FE5FC5}"/>
    <cellStyle name="Note 18 2 8" xfId="11469" xr:uid="{44030D1E-59F4-46AA-BCA1-21B088015A0C}"/>
    <cellStyle name="Note 18 2 9" xfId="11260" xr:uid="{A67D5078-7D72-41ED-9893-368E1BB03461}"/>
    <cellStyle name="Note 18 3" xfId="6834" xr:uid="{F1E2C909-F147-4BFC-8686-20FFB2062ED7}"/>
    <cellStyle name="Note 18 3 10" xfId="11050" xr:uid="{652A3298-A754-45CF-B200-1D8F4DBA01ED}"/>
    <cellStyle name="Note 18 3 11" xfId="13588" xr:uid="{59FB34D0-BDFF-4C84-8738-BA217401FB57}"/>
    <cellStyle name="Note 18 3 2" xfId="7658" xr:uid="{2731E55B-5BEE-4E8E-93CF-073555D9D35B}"/>
    <cellStyle name="Note 18 3 2 10" xfId="18012" xr:uid="{6952AA41-3B32-4914-BD87-0B7F41531BC8}"/>
    <cellStyle name="Note 18 3 2 2" xfId="9298" xr:uid="{69192E10-226A-4B06-ABF8-C12CCD159BF5}"/>
    <cellStyle name="Note 18 3 2 2 2" xfId="13732" xr:uid="{E7DB861A-2CFB-484E-B12A-7F99E52106FB}"/>
    <cellStyle name="Note 18 3 2 2 3" xfId="14694" xr:uid="{91745411-6B0C-45D9-BBE5-4553397045AE}"/>
    <cellStyle name="Note 18 3 2 2 4" xfId="15646" xr:uid="{D6C9E7B9-B858-4F82-AA85-1EEE72BAAD65}"/>
    <cellStyle name="Note 18 3 2 2 5" xfId="16526" xr:uid="{45A747B5-59C5-49A9-B93E-87403195AF1B}"/>
    <cellStyle name="Note 18 3 2 2 6" xfId="17392" xr:uid="{F1AD0CC7-6240-41D2-A51C-24CC5AB780F0}"/>
    <cellStyle name="Note 18 3 2 2 7" xfId="18168" xr:uid="{3CC0EFD9-33FB-4B01-B9AC-619855465C56}"/>
    <cellStyle name="Note 18 3 2 2 8" xfId="18925" xr:uid="{EC378DAE-D6C2-4D56-9234-1F8D93A12FBB}"/>
    <cellStyle name="Note 18 3 2 3" xfId="9752" xr:uid="{19D1290B-79DA-402D-AC30-D38689CC137B}"/>
    <cellStyle name="Note 18 3 2 3 2" xfId="14156" xr:uid="{A0067BF8-B3AD-4604-81B3-74C824EA47E4}"/>
    <cellStyle name="Note 18 3 2 3 3" xfId="15116" xr:uid="{15DF5E66-87B1-479F-B177-EDF4A3164913}"/>
    <cellStyle name="Note 18 3 2 3 4" xfId="16068" xr:uid="{2BAFCA5C-12D3-457B-911F-431108416C7A}"/>
    <cellStyle name="Note 18 3 2 3 5" xfId="16942" xr:uid="{10C8CD9E-259F-4D53-B3C2-B0052C9711F4}"/>
    <cellStyle name="Note 18 3 2 3 6" xfId="17807" xr:uid="{BE593B4D-2666-4782-B384-4249BC8398BD}"/>
    <cellStyle name="Note 18 3 2 3 7" xfId="18583" xr:uid="{27C8DE03-3E41-4D52-BB7C-5FD419DFCB02}"/>
    <cellStyle name="Note 18 3 2 3 8" xfId="19340" xr:uid="{CC9BB1E2-BCE0-48E6-8F0C-81BA3FF6A5B2}"/>
    <cellStyle name="Note 18 3 2 4" xfId="12716" xr:uid="{C1C34FEB-4D7D-4764-A71B-3393D75A92C6}"/>
    <cellStyle name="Note 18 3 2 5" xfId="13358" xr:uid="{EEF6C088-E0CF-4D02-8B85-B816439CEA58}"/>
    <cellStyle name="Note 18 3 2 6" xfId="14372" xr:uid="{D37B3FD1-5F9E-405A-BAF3-50A0F93FF440}"/>
    <cellStyle name="Note 18 3 2 7" xfId="15330" xr:uid="{2D1EC4FB-56D6-4170-AEB6-3A3706095B45}"/>
    <cellStyle name="Note 18 3 2 8" xfId="16274" xr:uid="{AC88A42C-9E5A-4B3F-88C9-27AE3E25B0D2}"/>
    <cellStyle name="Note 18 3 2 9" xfId="17147" xr:uid="{855A4199-3975-4DE6-82F4-03DB26D22111}"/>
    <cellStyle name="Note 18 3 3" xfId="8474" xr:uid="{1ECC8865-4278-41A7-B4B9-11F9DD57446C}"/>
    <cellStyle name="Note 18 3 3 2" xfId="13214" xr:uid="{DD42763D-C72B-494C-A375-5D970D762DCC}"/>
    <cellStyle name="Note 18 3 3 3" xfId="14234" xr:uid="{1A28ECC7-32BA-4556-813D-73C1639D82C1}"/>
    <cellStyle name="Note 18 3 3 4" xfId="15194" xr:uid="{E181E18E-E588-425D-8BAA-954565D92589}"/>
    <cellStyle name="Note 18 3 3 5" xfId="16143" xr:uid="{46648CF4-9CB9-4E29-9E43-BC6B816E4959}"/>
    <cellStyle name="Note 18 3 3 6" xfId="17016" xr:uid="{5C1327CA-BB8E-44E1-A220-8FFD7B27C5D3}"/>
    <cellStyle name="Note 18 3 3 7" xfId="17881" xr:uid="{E9B94F12-4D28-41C0-98AA-CB5A2AD84362}"/>
    <cellStyle name="Note 18 3 3 8" xfId="18657" xr:uid="{01105769-81B5-42E6-8EAD-F8FA0C373034}"/>
    <cellStyle name="Note 18 3 4" xfId="9484" xr:uid="{90505D39-E180-4F17-A395-E2BD2D959DA1}"/>
    <cellStyle name="Note 18 3 4 2" xfId="13888" xr:uid="{8AE9303A-4BF9-4045-A997-918276C5D2ED}"/>
    <cellStyle name="Note 18 3 4 3" xfId="14848" xr:uid="{77BC4929-DC3E-49DA-ABB0-1BFB440A048E}"/>
    <cellStyle name="Note 18 3 4 4" xfId="15800" xr:uid="{E239D677-1F73-4668-B5E2-CE1EBCAEA51B}"/>
    <cellStyle name="Note 18 3 4 5" xfId="16674" xr:uid="{30AE67EC-A7B9-4FE5-9EF2-100191EAEE35}"/>
    <cellStyle name="Note 18 3 4 6" xfId="17539" xr:uid="{5060E253-96C7-44FB-A882-8A92C90EEF3A}"/>
    <cellStyle name="Note 18 3 4 7" xfId="18315" xr:uid="{C2E4D762-7769-4203-BC34-AF5F5228A696}"/>
    <cellStyle name="Note 18 3 4 8" xfId="19072" xr:uid="{ACC31840-92A0-40CD-A04C-D2D82BAA8C12}"/>
    <cellStyle name="Note 18 3 5" xfId="12185" xr:uid="{2FA309BF-2454-43C1-8FA1-100BFADFD9AB}"/>
    <cellStyle name="Note 18 3 6" xfId="10680" xr:uid="{45C419E9-A269-4589-8095-D6FB992F5E3D}"/>
    <cellStyle name="Note 18 3 7" xfId="12589" xr:uid="{83C88C66-C6DA-4D03-948E-695A316735DC}"/>
    <cellStyle name="Note 18 3 8" xfId="10315" xr:uid="{963967B5-1DDD-4094-AE8B-306D78D3A118}"/>
    <cellStyle name="Note 18 3 9" xfId="11747" xr:uid="{5204D628-96B4-4368-B0FB-57B95CB71A22}"/>
    <cellStyle name="Note 18 4" xfId="7134" xr:uid="{30190A7B-28BD-4130-AD1B-3CDE49E495E3}"/>
    <cellStyle name="Note 18 4 10" xfId="12092" xr:uid="{91F62797-8430-4941-9F71-EBB143D67662}"/>
    <cellStyle name="Note 18 4 2" xfId="8774" xr:uid="{D05CE008-29EF-43AB-99E4-52DF552C76F9}"/>
    <cellStyle name="Note 18 4 2 2" xfId="13434" xr:uid="{517DBCD9-FE7C-4676-B3AD-8405110CC9DC}"/>
    <cellStyle name="Note 18 4 2 3" xfId="14440" xr:uid="{D5477919-8F29-4FC5-8167-552DD652FD64}"/>
    <cellStyle name="Note 18 4 2 4" xfId="15398" xr:uid="{298FDD36-8D59-41D6-A91A-54ABAF41861F}"/>
    <cellStyle name="Note 18 4 2 5" xfId="16325" xr:uid="{A8DFB057-A256-407F-BAA6-2AFE7CE2C1DA}"/>
    <cellStyle name="Note 18 4 2 6" xfId="17196" xr:uid="{A04DE790-706F-45B8-86A6-7D1AE48B16C5}"/>
    <cellStyle name="Note 18 4 2 7" xfId="18043" xr:uid="{DB072C81-FA84-44B2-BBAC-BE58AB1D6790}"/>
    <cellStyle name="Note 18 4 2 8" xfId="18810" xr:uid="{E4BBC304-7027-4F19-9D54-3BD9304C225A}"/>
    <cellStyle name="Note 18 4 3" xfId="9637" xr:uid="{B8502451-F5C5-4ACE-AABE-8ED5E64EFE2D}"/>
    <cellStyle name="Note 18 4 3 2" xfId="14041" xr:uid="{CEAF57A7-FA9D-4627-AACD-0C6E2A3F0665}"/>
    <cellStyle name="Note 18 4 3 3" xfId="15001" xr:uid="{E78181B0-F80B-400E-8852-E697F140F323}"/>
    <cellStyle name="Note 18 4 3 4" xfId="15953" xr:uid="{C1355CF2-1F2A-4059-BEE1-44AE12D42701}"/>
    <cellStyle name="Note 18 4 3 5" xfId="16827" xr:uid="{DDD48F0F-D865-4C6D-B6C1-E25A7521113C}"/>
    <cellStyle name="Note 18 4 3 6" xfId="17692" xr:uid="{EB9C8936-87BF-4BDC-B3AF-E79E435561EB}"/>
    <cellStyle name="Note 18 4 3 7" xfId="18468" xr:uid="{A531F16D-280D-4802-8E82-94365C008D14}"/>
    <cellStyle name="Note 18 4 3 8" xfId="19225" xr:uid="{5422B688-04F0-423C-857B-A6717580DE29}"/>
    <cellStyle name="Note 18 4 4" xfId="12404" xr:uid="{789B2058-7AD2-4865-B325-F107628BE93B}"/>
    <cellStyle name="Note 18 4 5" xfId="10474" xr:uid="{C7687CF7-4EE6-4633-8A04-DEA0CDA83F01}"/>
    <cellStyle name="Note 18 4 6" xfId="13140" xr:uid="{F5A6A5C5-3932-4A48-AB83-BF49CEE716A6}"/>
    <cellStyle name="Note 18 4 7" xfId="9890" xr:uid="{65314822-249D-48F3-9FE1-33F29CFDD52B}"/>
    <cellStyle name="Note 18 4 8" xfId="12293" xr:uid="{5F620242-16D4-48D8-BBBA-DF5BB2CDBCF3}"/>
    <cellStyle name="Note 18 4 9" xfId="10573" xr:uid="{6E04E10A-C9DB-4D13-A452-5AC6A8B89C52}"/>
    <cellStyle name="Note 18 5" xfId="7976" xr:uid="{04E5BAA5-6499-4D59-9E1A-1008E72455B9}"/>
    <cellStyle name="Note 18 5 2" xfId="12945" xr:uid="{042F41EA-B9A4-4593-B6C7-7E788AE86B66}"/>
    <cellStyle name="Note 18 5 3" xfId="10044" xr:uid="{BF16FAD8-900C-4E57-959C-7FA3804E24DD}"/>
    <cellStyle name="Note 18 5 4" xfId="13709" xr:uid="{10481ABD-E4AD-43C5-A556-A56863D48BCC}"/>
    <cellStyle name="Note 18 5 5" xfId="14673" xr:uid="{C2332D9B-8873-46DD-AE17-8D26EF02A57C}"/>
    <cellStyle name="Note 18 5 6" xfId="15625" xr:uid="{A5FB80F2-1B6C-4F65-9F33-67784FA4CDDC}"/>
    <cellStyle name="Note 18 5 7" xfId="16507" xr:uid="{AD68093A-6201-431D-93C2-2416234349A1}"/>
    <cellStyle name="Note 18 5 8" xfId="17375" xr:uid="{4A6EB22C-6282-4FFA-AE8F-4F3D4FAF59B1}"/>
    <cellStyle name="Note 18 6" xfId="9409" xr:uid="{322DC520-F307-491E-A03A-8AF7D89107D9}"/>
    <cellStyle name="Note 18 6 2" xfId="13813" xr:uid="{4463548C-A1DE-4572-A261-AC587FED76AB}"/>
    <cellStyle name="Note 18 6 3" xfId="14773" xr:uid="{69D82DF5-17E2-4920-85D9-976E90C0841D}"/>
    <cellStyle name="Note 18 6 4" xfId="15725" xr:uid="{54696CA6-5A1F-4429-9342-73ABDF42CFA5}"/>
    <cellStyle name="Note 18 6 5" xfId="16599" xr:uid="{97D72BD9-CDED-46D0-BED8-6075FC9E91FA}"/>
    <cellStyle name="Note 18 6 6" xfId="17464" xr:uid="{A8CCA47F-3591-4A37-A058-F543A962ED6B}"/>
    <cellStyle name="Note 18 6 7" xfId="18240" xr:uid="{7FD9B779-7B77-4E1E-A344-62AFFC5986E9}"/>
    <cellStyle name="Note 18 6 8" xfId="18997" xr:uid="{199F5F0D-2BCD-4BEC-B2C8-269C29262363}"/>
    <cellStyle name="Note 18 7" xfId="11849" xr:uid="{56765E9F-8AF1-41B1-A691-BA0B11FAB256}"/>
    <cellStyle name="Note 18 8" xfId="10964" xr:uid="{8A8E15D6-A7BA-480A-A652-59ABDE836BA9}"/>
    <cellStyle name="Note 18 9" xfId="11468" xr:uid="{E4FB6256-4FD6-4709-9F6A-5CA84CFD8335}"/>
    <cellStyle name="Note 19" xfId="6209" xr:uid="{842B3E3E-5723-4A8B-8317-A39E9D85E215}"/>
    <cellStyle name="Note 19 10" xfId="11259" xr:uid="{45BDCB6E-6C29-4673-8AB9-4BFC6EAE4D3B}"/>
    <cellStyle name="Note 19 11" xfId="13018" xr:uid="{BA875B70-DDB9-4609-853C-82286CEB1E0F}"/>
    <cellStyle name="Note 19 12" xfId="9976" xr:uid="{BA11E9C9-7B94-412B-90F8-C650A4B5655B}"/>
    <cellStyle name="Note 19 13" xfId="11829" xr:uid="{09DC5F21-5DD1-4A7F-95FB-0806DAF25554}"/>
    <cellStyle name="Note 19 2" xfId="6210" xr:uid="{04CC7007-4CAF-471B-B2D4-9387388C181F}"/>
    <cellStyle name="Note 19 2 10" xfId="12292" xr:uid="{1DD322E0-1E1E-4CCE-AE64-5281346E9428}"/>
    <cellStyle name="Note 19 2 11" xfId="10574" xr:uid="{CF5C6F5B-C96A-44CC-9488-9E668E0FEC6A}"/>
    <cellStyle name="Note 19 2 12" xfId="12091" xr:uid="{1DC33940-C901-4BF0-B084-9F4A8B1288DA}"/>
    <cellStyle name="Note 19 2 2" xfId="6831" xr:uid="{807ED372-A960-42E6-86CD-DCFECB95B20D}"/>
    <cellStyle name="Note 19 2 2 10" xfId="10517" xr:uid="{66DE8567-CE5E-43C2-833F-D00E32D19D04}"/>
    <cellStyle name="Note 19 2 2 11" xfId="12620" xr:uid="{2077025B-4CF8-4FE3-A68D-2DE8A3703CF6}"/>
    <cellStyle name="Note 19 2 2 2" xfId="7659" xr:uid="{5DF3CD0C-9429-462B-A324-69CC35DAC1CB}"/>
    <cellStyle name="Note 19 2 2 2 10" xfId="10323" xr:uid="{14CE20CC-0E0B-4383-8FC3-58346005C870}"/>
    <cellStyle name="Note 19 2 2 2 2" xfId="9299" xr:uid="{6DF18E8E-02FC-4702-8CCA-F1AC534CD9FF}"/>
    <cellStyle name="Note 19 2 2 2 2 2" xfId="13733" xr:uid="{B7F81298-0BF2-491A-B444-C43C1B1B1353}"/>
    <cellStyle name="Note 19 2 2 2 2 3" xfId="14695" xr:uid="{890B4D48-D175-4150-93A7-B0CFF34A2A09}"/>
    <cellStyle name="Note 19 2 2 2 2 4" xfId="15647" xr:uid="{57D3C57C-861A-485D-B235-9B7851E00EF5}"/>
    <cellStyle name="Note 19 2 2 2 2 5" xfId="16527" xr:uid="{E28F069B-9A86-4BFE-9833-E49ED779CC3F}"/>
    <cellStyle name="Note 19 2 2 2 2 6" xfId="17393" xr:uid="{955B5231-870D-436D-8CE7-8409D0EE2E22}"/>
    <cellStyle name="Note 19 2 2 2 2 7" xfId="18169" xr:uid="{4534841F-4853-48A8-B52B-CCE06D543F6F}"/>
    <cellStyle name="Note 19 2 2 2 2 8" xfId="18926" xr:uid="{440A6575-EB91-4433-8FE2-C61B0ECCE0C5}"/>
    <cellStyle name="Note 19 2 2 2 3" xfId="9753" xr:uid="{1BDAE784-ED24-4787-B776-8457CC3907DE}"/>
    <cellStyle name="Note 19 2 2 2 3 2" xfId="14157" xr:uid="{02657E58-1FE2-4926-9F79-63606F44C720}"/>
    <cellStyle name="Note 19 2 2 2 3 3" xfId="15117" xr:uid="{E75AD574-BDA5-40F5-99F8-58788F4BCFCC}"/>
    <cellStyle name="Note 19 2 2 2 3 4" xfId="16069" xr:uid="{D06A8CB0-5709-46F0-9FF0-FBA6CAD58196}"/>
    <cellStyle name="Note 19 2 2 2 3 5" xfId="16943" xr:uid="{71007436-99B0-4BFE-A860-718AE2207D07}"/>
    <cellStyle name="Note 19 2 2 2 3 6" xfId="17808" xr:uid="{5E6B8EA4-0677-4831-84E0-E9DAB1E02726}"/>
    <cellStyle name="Note 19 2 2 2 3 7" xfId="18584" xr:uid="{AB09FA17-E5A4-4C5F-A2BE-4C10D082DA19}"/>
    <cellStyle name="Note 19 2 2 2 3 8" xfId="19341" xr:uid="{548B4E8A-9277-434D-B8DB-A336B1310A11}"/>
    <cellStyle name="Note 19 2 2 2 4" xfId="12717" xr:uid="{EE85B051-DACD-44D1-BC81-F46B23DF6C30}"/>
    <cellStyle name="Note 19 2 2 2 5" xfId="12329" xr:uid="{3646C9D0-65EF-488E-A7E7-58EE8B4272D6}"/>
    <cellStyle name="Note 19 2 2 2 6" xfId="10541" xr:uid="{BC573A14-2D12-4161-AE6B-1ECE8F789DB9}"/>
    <cellStyle name="Note 19 2 2 2 7" xfId="12100" xr:uid="{8BE4041A-61E8-4024-9992-C4BA561A1C0C}"/>
    <cellStyle name="Note 19 2 2 2 8" xfId="10752" xr:uid="{1440F2D7-B516-41CD-94F1-7901555CCF6A}"/>
    <cellStyle name="Note 19 2 2 2 9" xfId="12578" xr:uid="{7BA793FB-05AC-4870-B90B-C28E29D0D383}"/>
    <cellStyle name="Note 19 2 2 3" xfId="8471" xr:uid="{5BF8276E-3607-4A20-A8E0-F0502C36D093}"/>
    <cellStyle name="Note 19 2 2 3 2" xfId="13211" xr:uid="{B1ED42A8-267C-4DF9-83F2-DD843E881B78}"/>
    <cellStyle name="Note 19 2 2 3 3" xfId="14231" xr:uid="{92E0DB90-DCE0-4D17-AC75-6549E24010A3}"/>
    <cellStyle name="Note 19 2 2 3 4" xfId="15191" xr:uid="{0AAC0E33-4BB2-4D9E-A9C7-088959BD43FD}"/>
    <cellStyle name="Note 19 2 2 3 5" xfId="16140" xr:uid="{7BCA6DB3-65F9-42DE-A33B-884258FA6596}"/>
    <cellStyle name="Note 19 2 2 3 6" xfId="17013" xr:uid="{0C552B9A-275B-4E4D-A6C4-8C995A65A78F}"/>
    <cellStyle name="Note 19 2 2 3 7" xfId="17878" xr:uid="{7281F320-EF51-4BA1-8A83-AF25C06B677A}"/>
    <cellStyle name="Note 19 2 2 3 8" xfId="18654" xr:uid="{27DB239B-C28B-4A17-B05B-66001D592C35}"/>
    <cellStyle name="Note 19 2 2 4" xfId="9481" xr:uid="{A74959DD-8FAE-45C9-BC65-FC94D90573F3}"/>
    <cellStyle name="Note 19 2 2 4 2" xfId="13885" xr:uid="{737FCD52-4BF6-4362-9B53-D33EB645D61D}"/>
    <cellStyle name="Note 19 2 2 4 3" xfId="14845" xr:uid="{5B81973A-A6BA-4CB7-9B19-A82A1E1329F4}"/>
    <cellStyle name="Note 19 2 2 4 4" xfId="15797" xr:uid="{1D16D8F4-82D4-48DD-B61B-EC3B3DFEEA6C}"/>
    <cellStyle name="Note 19 2 2 4 5" xfId="16671" xr:uid="{B7615635-5E04-41F9-A3BD-0EEADD33C410}"/>
    <cellStyle name="Note 19 2 2 4 6" xfId="17536" xr:uid="{95B8CFED-F697-409B-A324-9DB49BF751B1}"/>
    <cellStyle name="Note 19 2 2 4 7" xfId="18312" xr:uid="{6D38F217-AA52-4FDA-BE89-E6DBB581615C}"/>
    <cellStyle name="Note 19 2 2 4 8" xfId="19069" xr:uid="{093ABFAC-A38E-41A9-B682-4EE010155ED9}"/>
    <cellStyle name="Note 19 2 2 5" xfId="12182" xr:uid="{A72C8B8C-2A1C-41C7-9D7B-DCDB2E8CDCD6}"/>
    <cellStyle name="Note 19 2 2 6" xfId="10683" xr:uid="{4CAE042D-D5C4-4A74-8F59-D33956762763}"/>
    <cellStyle name="Note 19 2 2 7" xfId="11672" xr:uid="{619F0836-D6AC-403D-AE2E-CA81A3CA102E}"/>
    <cellStyle name="Note 19 2 2 8" xfId="11109" xr:uid="{28C456C2-4ED7-4A13-8E54-1DD91ACAB7BD}"/>
    <cellStyle name="Note 19 2 2 9" xfId="12355" xr:uid="{7E683A15-3790-498A-985C-C9D5D3D35159}"/>
    <cellStyle name="Note 19 2 3" xfId="7137" xr:uid="{DA369375-B45C-4B42-AD94-05DC1BC5726F}"/>
    <cellStyle name="Note 19 2 3 10" xfId="17340" xr:uid="{A22FE5AF-21B1-47D1-AB78-D176D54B24C8}"/>
    <cellStyle name="Note 19 2 3 2" xfId="8777" xr:uid="{6C0C461E-6BAA-4256-ADC6-ACD0FB1C482A}"/>
    <cellStyle name="Note 19 2 3 2 2" xfId="13437" xr:uid="{F0B3194D-D702-40B8-90A1-5C6BE8E3B571}"/>
    <cellStyle name="Note 19 2 3 2 3" xfId="14443" xr:uid="{0DC6DBBE-A253-4799-8597-318B34735A69}"/>
    <cellStyle name="Note 19 2 3 2 4" xfId="15401" xr:uid="{4921F538-9BC3-4368-A9D6-14C90CF640E9}"/>
    <cellStyle name="Note 19 2 3 2 5" xfId="16328" xr:uid="{02269E64-CBA6-437B-89BC-B56F692944B1}"/>
    <cellStyle name="Note 19 2 3 2 6" xfId="17199" xr:uid="{515928E8-B389-466C-B809-5E0CD02A1954}"/>
    <cellStyle name="Note 19 2 3 2 7" xfId="18046" xr:uid="{DE2147B6-7B14-4498-8E16-99167786D48A}"/>
    <cellStyle name="Note 19 2 3 2 8" xfId="18813" xr:uid="{F67114A6-4003-4C0F-BF3C-7AC0BCCD14A2}"/>
    <cellStyle name="Note 19 2 3 3" xfId="9640" xr:uid="{6EA6C782-6155-438D-AAF4-3B06E252174C}"/>
    <cellStyle name="Note 19 2 3 3 2" xfId="14044" xr:uid="{94284712-7EAD-4CAD-BCDB-4C33DE962136}"/>
    <cellStyle name="Note 19 2 3 3 3" xfId="15004" xr:uid="{13A3BB53-B164-496A-ADDF-D5C74D350AC6}"/>
    <cellStyle name="Note 19 2 3 3 4" xfId="15956" xr:uid="{FE506602-A7A8-4FFD-B9A5-9FFAE35E2139}"/>
    <cellStyle name="Note 19 2 3 3 5" xfId="16830" xr:uid="{502E2068-C1F6-4C72-B10C-4F1ED20BC5F4}"/>
    <cellStyle name="Note 19 2 3 3 6" xfId="17695" xr:uid="{68175B0D-5117-4235-8D9A-D39978471AFB}"/>
    <cellStyle name="Note 19 2 3 3 7" xfId="18471" xr:uid="{13ABED58-99C1-4BC0-82B7-2540F3F2DDCC}"/>
    <cellStyle name="Note 19 2 3 3 8" xfId="19228" xr:uid="{81E5FC87-A8AC-4201-ABAC-0A92F9B1F819}"/>
    <cellStyle name="Note 19 2 3 4" xfId="12407" xr:uid="{29275B76-47BE-4D72-9A2B-9BAFD3858352}"/>
    <cellStyle name="Note 19 2 3 5" xfId="10471" xr:uid="{81BDFE9E-56DE-482F-90F2-C1BFC110FFD4}"/>
    <cellStyle name="Note 19 2 3 6" xfId="13648" xr:uid="{1A6030A7-43E2-44BF-9528-D255323187CF}"/>
    <cellStyle name="Note 19 2 3 7" xfId="14624" xr:uid="{7FD6B836-87A7-4C56-ACA7-2E2162319A13}"/>
    <cellStyle name="Note 19 2 3 8" xfId="15576" xr:uid="{D8EFEB30-F58F-430B-AF84-25783BB099ED}"/>
    <cellStyle name="Note 19 2 3 9" xfId="16471" xr:uid="{BCE5B612-BB4C-4566-A702-9E031C508953}"/>
    <cellStyle name="Note 19 2 4" xfId="7979" xr:uid="{4B39AA32-F5B4-4A5D-A300-E3F90DE48816}"/>
    <cellStyle name="Note 19 2 4 2" xfId="12948" xr:uid="{650B4630-1A68-45AF-8424-CBCB5B0532C6}"/>
    <cellStyle name="Note 19 2 4 3" xfId="10042" xr:uid="{E97DE837-E06B-4E11-B14F-62295847CDC3}"/>
    <cellStyle name="Note 19 2 4 4" xfId="12156" xr:uid="{1ECE1F12-7D95-43C2-991F-A4AD1EAB4746}"/>
    <cellStyle name="Note 19 2 4 5" xfId="10704" xr:uid="{2ADDD7D5-312F-424F-8704-E4857D7C2AED}"/>
    <cellStyle name="Note 19 2 4 6" xfId="12909" xr:uid="{EF100537-FEFF-4B15-B1A6-868F33CB19EF}"/>
    <cellStyle name="Note 19 2 4 7" xfId="10074" xr:uid="{F6506543-4638-425C-87D9-E4646AD71B96}"/>
    <cellStyle name="Note 19 2 4 8" xfId="12147" xr:uid="{971E9A1F-437E-4575-A33A-8A7BC685B758}"/>
    <cellStyle name="Note 19 2 5" xfId="9412" xr:uid="{A438CE1D-054F-4C91-91FE-238ED061DD6F}"/>
    <cellStyle name="Note 19 2 5 2" xfId="13816" xr:uid="{623A7160-2BC8-4A75-A168-E4672E29D1E9}"/>
    <cellStyle name="Note 19 2 5 3" xfId="14776" xr:uid="{18CF40E3-9EAC-43C4-9CD2-AD244E15003A}"/>
    <cellStyle name="Note 19 2 5 4" xfId="15728" xr:uid="{75A298A8-C0A0-4769-B475-199F9E84A9D4}"/>
    <cellStyle name="Note 19 2 5 5" xfId="16602" xr:uid="{49F97F9C-78EF-4D0C-9AFF-FF27484AE779}"/>
    <cellStyle name="Note 19 2 5 6" xfId="17467" xr:uid="{2B1DC4F8-A7C6-4F48-94E2-8C0057C22A2F}"/>
    <cellStyle name="Note 19 2 5 7" xfId="18243" xr:uid="{122E323F-3CB0-45F9-B3B8-F7FEF8BF793A}"/>
    <cellStyle name="Note 19 2 5 8" xfId="19000" xr:uid="{B930DD02-1EC8-4DFC-930A-7E5708CEF66D}"/>
    <cellStyle name="Note 19 2 6" xfId="11852" xr:uid="{2024D854-5ED8-4CDD-ADEB-D4369A3A8372}"/>
    <cellStyle name="Note 19 2 7" xfId="10961" xr:uid="{FCDBA2B6-ECAA-49F0-8A92-2BA4D879E4FE}"/>
    <cellStyle name="Note 19 2 8" xfId="11471" xr:uid="{C3A374EC-0A47-4172-B79D-E6E52693B425}"/>
    <cellStyle name="Note 19 2 9" xfId="11258" xr:uid="{3D27BEAC-9145-4C05-AB9A-C358D95CE360}"/>
    <cellStyle name="Note 19 3" xfId="6832" xr:uid="{4CBA56AF-B462-4676-9BCE-AC100E598174}"/>
    <cellStyle name="Note 19 3 10" xfId="14396" xr:uid="{36681AD7-AAE8-46BE-99BC-85D6858B187B}"/>
    <cellStyle name="Note 19 3 11" xfId="15354" xr:uid="{E3095940-739E-4C00-9E39-4F2E31A4D1D3}"/>
    <cellStyle name="Note 19 3 2" xfId="7660" xr:uid="{34EDF818-11CF-4073-8455-61114721300C}"/>
    <cellStyle name="Note 19 3 2 10" xfId="14579" xr:uid="{EBB580D4-C7DC-490E-823D-75340350B42E}"/>
    <cellStyle name="Note 19 3 2 2" xfId="9300" xr:uid="{280CBCB4-5A7D-4727-B0B3-B710FAFE1596}"/>
    <cellStyle name="Note 19 3 2 2 2" xfId="13734" xr:uid="{CF9DB70D-C27C-4BAC-93F8-DF757C057D01}"/>
    <cellStyle name="Note 19 3 2 2 3" xfId="14696" xr:uid="{DDACD6A6-5533-4DBD-AA8E-64FFDCD87B1B}"/>
    <cellStyle name="Note 19 3 2 2 4" xfId="15648" xr:uid="{E5D3DFFD-A3B6-4F2A-AF44-B67562841F60}"/>
    <cellStyle name="Note 19 3 2 2 5" xfId="16528" xr:uid="{63B65480-63E6-44CC-94B4-F01411FED42C}"/>
    <cellStyle name="Note 19 3 2 2 6" xfId="17394" xr:uid="{5393D69F-B530-41F8-8D83-7B7C05306219}"/>
    <cellStyle name="Note 19 3 2 2 7" xfId="18170" xr:uid="{11FE3018-E559-4CBA-939E-E4E3BA6838AF}"/>
    <cellStyle name="Note 19 3 2 2 8" xfId="18927" xr:uid="{18EDF45D-1ABF-47A0-91EA-D4F81F0C0396}"/>
    <cellStyle name="Note 19 3 2 3" xfId="9754" xr:uid="{43A3128D-3106-439B-AA49-E5980CF9FD95}"/>
    <cellStyle name="Note 19 3 2 3 2" xfId="14158" xr:uid="{92767645-2A20-444F-9598-9B83524786E9}"/>
    <cellStyle name="Note 19 3 2 3 3" xfId="15118" xr:uid="{14BBB17F-CADF-4D63-85C5-B8753DB8A8F0}"/>
    <cellStyle name="Note 19 3 2 3 4" xfId="16070" xr:uid="{CBE930F5-25FA-4BE4-AC95-F42D4E68854F}"/>
    <cellStyle name="Note 19 3 2 3 5" xfId="16944" xr:uid="{37C1398E-AAE4-431E-AC54-74EB4E9FD122}"/>
    <cellStyle name="Note 19 3 2 3 6" xfId="17809" xr:uid="{B314CB79-76F9-4B59-8A8C-61D614627EFF}"/>
    <cellStyle name="Note 19 3 2 3 7" xfId="18585" xr:uid="{7026BE1A-CBE4-4DC7-B122-D56547A2E842}"/>
    <cellStyle name="Note 19 3 2 3 8" xfId="19342" xr:uid="{D3A24E66-5760-45F4-8C2B-470C175D3F21}"/>
    <cellStyle name="Note 19 3 2 4" xfId="12718" xr:uid="{208A75F6-20E8-4E87-AEF1-4CC6F1B07E67}"/>
    <cellStyle name="Note 19 3 2 5" xfId="12824" xr:uid="{C7ED51C1-8D6F-4E36-B6EE-74E92339611D}"/>
    <cellStyle name="Note 19 3 2 6" xfId="10150" xr:uid="{7C5AB8A9-B3C8-4BBF-BC8C-7B05E697EA68}"/>
    <cellStyle name="Note 19 3 2 7" xfId="11797" xr:uid="{21F7EC7C-0A51-4962-A683-D89916360FB2}"/>
    <cellStyle name="Note 19 3 2 8" xfId="11007" xr:uid="{20B2BD96-8BD5-49F8-A80A-352F21913DEF}"/>
    <cellStyle name="Note 19 3 2 9" xfId="13597" xr:uid="{9CE2A228-0629-4F20-BE0D-43BDA9DF5BD8}"/>
    <cellStyle name="Note 19 3 3" xfId="8472" xr:uid="{48B376A0-4C2B-4875-9887-649524951687}"/>
    <cellStyle name="Note 19 3 3 2" xfId="13212" xr:uid="{7088C78E-75D0-4652-8D5C-34EE2C5EF5C5}"/>
    <cellStyle name="Note 19 3 3 3" xfId="14232" xr:uid="{C51F58A8-FB65-430E-B133-D01B66D1E67E}"/>
    <cellStyle name="Note 19 3 3 4" xfId="15192" xr:uid="{CB41EC68-3A77-4267-94AD-9542A595570D}"/>
    <cellStyle name="Note 19 3 3 5" xfId="16141" xr:uid="{E4D7BC88-6FF3-4831-BD07-82AB484926BA}"/>
    <cellStyle name="Note 19 3 3 6" xfId="17014" xr:uid="{288E5D8E-5937-4287-8B2F-09CFB03F17F5}"/>
    <cellStyle name="Note 19 3 3 7" xfId="17879" xr:uid="{579681F2-2C85-498B-8435-45F69F94F02C}"/>
    <cellStyle name="Note 19 3 3 8" xfId="18655" xr:uid="{4C918A87-1B81-4D55-AFCF-9120CE96008F}"/>
    <cellStyle name="Note 19 3 4" xfId="9482" xr:uid="{6798F4DD-B9AB-441F-A2CD-4BE6A47F375A}"/>
    <cellStyle name="Note 19 3 4 2" xfId="13886" xr:uid="{75CE69DF-8A98-4DB5-9483-CF84E969C07A}"/>
    <cellStyle name="Note 19 3 4 3" xfId="14846" xr:uid="{B1DFD13E-ACE1-4263-AAD8-B95565435E78}"/>
    <cellStyle name="Note 19 3 4 4" xfId="15798" xr:uid="{BC0C096D-9005-4323-9B9E-0F10133CB830}"/>
    <cellStyle name="Note 19 3 4 5" xfId="16672" xr:uid="{7A6B64B9-8844-4D5C-9910-60FF3F962E90}"/>
    <cellStyle name="Note 19 3 4 6" xfId="17537" xr:uid="{1EC691EC-D506-4D3F-84B8-C5E13101DE7C}"/>
    <cellStyle name="Note 19 3 4 7" xfId="18313" xr:uid="{AFC23C05-9BD0-471B-9E0A-FDD9ED1DCB4E}"/>
    <cellStyle name="Note 19 3 4 8" xfId="19070" xr:uid="{3D4C6D21-FC59-4360-AC9E-B7F363A0D724}"/>
    <cellStyle name="Note 19 3 5" xfId="12183" xr:uid="{6C9445ED-D5DF-4621-9E47-B725DAF37044}"/>
    <cellStyle name="Note 19 3 6" xfId="10682" xr:uid="{B46F9253-9628-4F63-B6D5-D0B1629636E7}"/>
    <cellStyle name="Note 19 3 7" xfId="11673" xr:uid="{B136745B-ACED-4817-A33F-9B7EE838CB1A}"/>
    <cellStyle name="Note 19 3 8" xfId="11108" xr:uid="{0F212870-C16B-4CA4-AA27-C11807C4B715}"/>
    <cellStyle name="Note 19 3 9" xfId="13385" xr:uid="{EA0B153B-1FF5-429B-942C-9D01CAD83C25}"/>
    <cellStyle name="Note 19 4" xfId="7136" xr:uid="{202077DC-1447-4655-BAD9-841FFBD59087}"/>
    <cellStyle name="Note 19 4 10" xfId="12928" xr:uid="{81E43F4F-85C6-467E-BDA9-877A0B052133}"/>
    <cellStyle name="Note 19 4 2" xfId="8776" xr:uid="{07E21DC7-D9DA-4BED-8964-8BA54015AA4C}"/>
    <cellStyle name="Note 19 4 2 2" xfId="13436" xr:uid="{2EFE429D-1726-4803-8F2C-CEE897DBC414}"/>
    <cellStyle name="Note 19 4 2 3" xfId="14442" xr:uid="{BD293AAE-8196-4D36-8513-1AE7B463D124}"/>
    <cellStyle name="Note 19 4 2 4" xfId="15400" xr:uid="{B2859C62-5E18-426B-BE65-69453B0A90F5}"/>
    <cellStyle name="Note 19 4 2 5" xfId="16327" xr:uid="{C3590280-4BC8-4D5C-A659-EB40E8E3A794}"/>
    <cellStyle name="Note 19 4 2 6" xfId="17198" xr:uid="{51754BA9-16F1-40B9-BE9D-85BCAF059F48}"/>
    <cellStyle name="Note 19 4 2 7" xfId="18045" xr:uid="{C8F0ECD0-E4CB-4942-AC9E-51976C95CD3E}"/>
    <cellStyle name="Note 19 4 2 8" xfId="18812" xr:uid="{726C7125-A775-4299-8CD2-9EE9A0F389DD}"/>
    <cellStyle name="Note 19 4 3" xfId="9639" xr:uid="{E736AE33-2C80-42F8-9969-7DD43E4B7A1D}"/>
    <cellStyle name="Note 19 4 3 2" xfId="14043" xr:uid="{A2BA3912-7733-4FEC-805E-A2662A5C8236}"/>
    <cellStyle name="Note 19 4 3 3" xfId="15003" xr:uid="{2623CDFC-87A5-4867-98FB-54B0EBC226A2}"/>
    <cellStyle name="Note 19 4 3 4" xfId="15955" xr:uid="{87F6CA53-DA83-4C98-A517-0B843F991101}"/>
    <cellStyle name="Note 19 4 3 5" xfId="16829" xr:uid="{A186C2CA-0A99-41B4-9EEB-3EF418E4221D}"/>
    <cellStyle name="Note 19 4 3 6" xfId="17694" xr:uid="{A7810D65-F1A7-4E69-8543-7275BC6E8034}"/>
    <cellStyle name="Note 19 4 3 7" xfId="18470" xr:uid="{36D91E4B-DE9C-4922-9C6C-74DC72692286}"/>
    <cellStyle name="Note 19 4 3 8" xfId="19227" xr:uid="{07C6997C-5A51-4BEE-AC46-126B69B11A06}"/>
    <cellStyle name="Note 19 4 4" xfId="12406" xr:uid="{7639A33C-B376-4732-BA6E-004D6DCF1A33}"/>
    <cellStyle name="Note 19 4 5" xfId="10472" xr:uid="{040AEB23-EB07-4A7B-9BC7-03BCFD5E26A0}"/>
    <cellStyle name="Note 19 4 6" xfId="12628" xr:uid="{5B8FC516-9DF3-432A-B432-841D781226B5}"/>
    <cellStyle name="Note 19 4 7" xfId="10281" xr:uid="{E9DD7A82-5100-4965-86DC-91DA28121F6D}"/>
    <cellStyle name="Note 19 4 8" xfId="12652" xr:uid="{00EF48F2-6271-45ED-8423-37F9700F9FDA}"/>
    <cellStyle name="Note 19 4 9" xfId="10262" xr:uid="{30CC0D8A-03B4-4D84-B31C-878ED3818EDE}"/>
    <cellStyle name="Note 19 5" xfId="7978" xr:uid="{075E7370-8B0C-4065-B08D-BCF83621476F}"/>
    <cellStyle name="Note 19 5 2" xfId="12947" xr:uid="{1FF37DD9-CB55-4007-8810-27164B969E2D}"/>
    <cellStyle name="Note 19 5 3" xfId="10043" xr:uid="{07A89D07-286B-47D3-8161-516BBCF20394}"/>
    <cellStyle name="Note 19 5 4" xfId="13184" xr:uid="{7B840DC0-9157-47AF-AD90-C6C9FEDB0311}"/>
    <cellStyle name="Note 19 5 5" xfId="9854" xr:uid="{E7D24670-6870-426B-947E-2804CB564923}"/>
    <cellStyle name="Note 19 5 6" xfId="13466" xr:uid="{F88F8D3D-698F-4B1B-89DD-8B45C17F6F87}"/>
    <cellStyle name="Note 19 5 7" xfId="14472" xr:uid="{A7A4993C-7254-4C2A-8D0F-724B63090EAE}"/>
    <cellStyle name="Note 19 5 8" xfId="15430" xr:uid="{5E19A8C0-B9AB-43F8-A373-B19C90C6C7D2}"/>
    <cellStyle name="Note 19 6" xfId="9411" xr:uid="{C246CAE6-1FAD-4F24-B6A5-58EEFBB98702}"/>
    <cellStyle name="Note 19 6 2" xfId="13815" xr:uid="{7ACD780F-3B7E-4701-8611-5EF9B5B77A6A}"/>
    <cellStyle name="Note 19 6 3" xfId="14775" xr:uid="{B2F65C7B-37DF-4BA1-B31F-F4BC95F63C1D}"/>
    <cellStyle name="Note 19 6 4" xfId="15727" xr:uid="{D8B19A99-54F5-4AA9-ACD7-6F5173BB3780}"/>
    <cellStyle name="Note 19 6 5" xfId="16601" xr:uid="{4784CCBE-D5BA-4D30-843D-59E4D1BBEE8B}"/>
    <cellStyle name="Note 19 6 6" xfId="17466" xr:uid="{AB6E7DF0-3152-43A6-BAD0-91EF457F3F35}"/>
    <cellStyle name="Note 19 6 7" xfId="18242" xr:uid="{7EA5328D-ADD4-48E5-AADD-E5DEA696906B}"/>
    <cellStyle name="Note 19 6 8" xfId="18999" xr:uid="{9C265A14-24CC-498A-9CF1-51DB7FDB9FE4}"/>
    <cellStyle name="Note 19 7" xfId="11851" xr:uid="{6206E6EF-9793-487B-AE66-A8122C072637}"/>
    <cellStyle name="Note 19 8" xfId="10962" xr:uid="{AD0669FC-6BF0-4DD8-B2A8-B7479281F96E}"/>
    <cellStyle name="Note 19 9" xfId="11470" xr:uid="{9C75729E-74FF-44C5-B7FB-DD98AB515C7A}"/>
    <cellStyle name="Note 2" xfId="6211" xr:uid="{30C9E9A3-429A-47AE-9EE4-A15E366155CF}"/>
    <cellStyle name="Note 2 10" xfId="11257" xr:uid="{4EF6C375-34B4-494B-81C3-2512694FCE04}"/>
    <cellStyle name="Note 2 11" xfId="12294" xr:uid="{D70E5595-D180-4A33-B34D-4B392B15D4ED}"/>
    <cellStyle name="Note 2 12" xfId="10572" xr:uid="{C5EE2805-84F9-4732-B67B-FBFBAF10FDF2}"/>
    <cellStyle name="Note 2 13" xfId="13123" xr:uid="{3CF7C7F1-F864-42D8-AE61-6BD32C9CA2A7}"/>
    <cellStyle name="Note 2 2" xfId="6212" xr:uid="{C8AC68A8-ADBC-4819-9EE2-83C71D2D8592}"/>
    <cellStyle name="Note 2 3" xfId="6830" xr:uid="{9280824C-F7B7-4688-8A14-FE483CCD253D}"/>
    <cellStyle name="Note 2 3 10" xfId="9862" xr:uid="{ABAD4610-D6DD-4C8A-A149-41011EB7CA99}"/>
    <cellStyle name="Note 2 3 11" xfId="11891" xr:uid="{1E58442C-3569-4728-B2D9-3A5C5AD5D48C}"/>
    <cellStyle name="Note 2 3 2" xfId="7661" xr:uid="{D72C52D9-EABB-48C2-A588-3D49BEFDD75D}"/>
    <cellStyle name="Note 2 3 2 10" xfId="18013" xr:uid="{F4B6F44E-D43A-43EF-AFAF-1ED24C30F317}"/>
    <cellStyle name="Note 2 3 2 2" xfId="9301" xr:uid="{CCEB30C1-DC9A-4DCD-87F0-3C6B29E43A65}"/>
    <cellStyle name="Note 2 3 2 2 2" xfId="13735" xr:uid="{E234A1FA-E652-4461-B12A-286BE5F5ADE1}"/>
    <cellStyle name="Note 2 3 2 2 3" xfId="14697" xr:uid="{F04A57AD-A51B-4087-8DC3-CFC9BB64A82B}"/>
    <cellStyle name="Note 2 3 2 2 4" xfId="15649" xr:uid="{5B53AE57-7ECB-4811-8BB0-D195D8339D56}"/>
    <cellStyle name="Note 2 3 2 2 5" xfId="16529" xr:uid="{B30B6314-4109-4FCC-8210-27C3129A7359}"/>
    <cellStyle name="Note 2 3 2 2 6" xfId="17395" xr:uid="{BBE9DE1A-0A93-4AF9-AEEC-4F2D0341BD49}"/>
    <cellStyle name="Note 2 3 2 2 7" xfId="18171" xr:uid="{0F861327-2FEE-4982-834D-EBF78A6A22DF}"/>
    <cellStyle name="Note 2 3 2 2 8" xfId="18928" xr:uid="{AAAC63CB-F92B-4691-84C1-8FE43C006284}"/>
    <cellStyle name="Note 2 3 2 3" xfId="9755" xr:uid="{55AEB816-46E2-4D89-954E-E725A0EF4E2C}"/>
    <cellStyle name="Note 2 3 2 3 2" xfId="14159" xr:uid="{8D4D5A7F-722C-4594-8068-3499D1272957}"/>
    <cellStyle name="Note 2 3 2 3 3" xfId="15119" xr:uid="{29B3A5CE-B69F-4E12-BFDE-8AB02AA7B532}"/>
    <cellStyle name="Note 2 3 2 3 4" xfId="16071" xr:uid="{EB46D9E9-1119-4D9F-91DF-4E85A401BAA6}"/>
    <cellStyle name="Note 2 3 2 3 5" xfId="16945" xr:uid="{74BC2DD5-E1D1-4BD6-9A36-93A0A234B32B}"/>
    <cellStyle name="Note 2 3 2 3 6" xfId="17810" xr:uid="{8456DBDE-B662-4294-94EE-6F6EAA252716}"/>
    <cellStyle name="Note 2 3 2 3 7" xfId="18586" xr:uid="{6EB6A295-4A68-464E-A9B1-32472C439540}"/>
    <cellStyle name="Note 2 3 2 3 8" xfId="19343" xr:uid="{BAAD63A9-5A0A-4960-B7B6-873F81860227}"/>
    <cellStyle name="Note 2 3 2 4" xfId="12719" xr:uid="{2B17597F-AB8E-4CD4-8116-E2DC3BC2DA78}"/>
    <cellStyle name="Note 2 3 2 5" xfId="13359" xr:uid="{91B7F5D4-B561-419B-8886-3CB29BED8D83}"/>
    <cellStyle name="Note 2 3 2 6" xfId="14373" xr:uid="{08D2A409-0DE4-41FE-8291-FAD6EB4DB5DF}"/>
    <cellStyle name="Note 2 3 2 7" xfId="15331" xr:uid="{0B355E86-30E4-443F-89F5-C9AD4DA42CEF}"/>
    <cellStyle name="Note 2 3 2 8" xfId="16275" xr:uid="{3BF81D9B-6BDC-476D-AC41-0AB4F8B9DAE7}"/>
    <cellStyle name="Note 2 3 2 9" xfId="17148" xr:uid="{92B21B69-B004-4D2A-96E1-E999B228943E}"/>
    <cellStyle name="Note 2 3 3" xfId="8470" xr:uid="{F140DF7E-BE0A-40EB-B183-898977ACAF26}"/>
    <cellStyle name="Note 2 3 3 2" xfId="13210" xr:uid="{48B83E2C-6720-4B7E-9153-2C0C976FD3FD}"/>
    <cellStyle name="Note 2 3 3 3" xfId="14230" xr:uid="{C420B6AD-D0D4-4CE9-9732-44AFCBEE10B4}"/>
    <cellStyle name="Note 2 3 3 4" xfId="15190" xr:uid="{856703E4-074E-425A-8049-695AA298F7B8}"/>
    <cellStyle name="Note 2 3 3 5" xfId="16139" xr:uid="{6B12F415-26F2-414A-8863-EFA4DE684E12}"/>
    <cellStyle name="Note 2 3 3 6" xfId="17012" xr:uid="{AC3B0B13-D0F3-41E1-BC7B-44B28C7B7A5C}"/>
    <cellStyle name="Note 2 3 3 7" xfId="17877" xr:uid="{2EC984E1-BA63-49CA-9E3F-D2A32D6DFB44}"/>
    <cellStyle name="Note 2 3 3 8" xfId="18653" xr:uid="{2A044448-8985-458F-90F3-4516A07FD6AF}"/>
    <cellStyle name="Note 2 3 4" xfId="9480" xr:uid="{0E826B6B-D4A5-4411-9624-A9EE4123482F}"/>
    <cellStyle name="Note 2 3 4 2" xfId="13884" xr:uid="{D29BAB24-5DE7-471F-B0FA-F2A505D960AE}"/>
    <cellStyle name="Note 2 3 4 3" xfId="14844" xr:uid="{4B8D9706-2CF0-4527-A284-E6BDB4A405B3}"/>
    <cellStyle name="Note 2 3 4 4" xfId="15796" xr:uid="{C293EB70-EE6F-420B-AA15-5C6B87759D32}"/>
    <cellStyle name="Note 2 3 4 5" xfId="16670" xr:uid="{5A06DC0E-6467-44DE-99BF-C1863ECFD5B3}"/>
    <cellStyle name="Note 2 3 4 6" xfId="17535" xr:uid="{5FE84338-1D2F-4769-9505-FE5BB1BC26CA}"/>
    <cellStyle name="Note 2 3 4 7" xfId="18311" xr:uid="{F60FF3F2-D019-47D7-BF10-660111C9B97B}"/>
    <cellStyle name="Note 2 3 4 8" xfId="19068" xr:uid="{918CA112-1515-4DFA-B6C7-74A9B292DEF5}"/>
    <cellStyle name="Note 2 3 5" xfId="12181" xr:uid="{F3A05998-92AE-4484-9736-E84C9FC41290}"/>
    <cellStyle name="Note 2 3 6" xfId="10684" xr:uid="{C1A49917-778B-42A2-B64E-132035E0931E}"/>
    <cellStyle name="Note 2 3 7" xfId="12911" xr:uid="{91DC0543-272F-4C64-BFE2-E544AB2D5675}"/>
    <cellStyle name="Note 2 3 8" xfId="10072" xr:uid="{EBD59565-3DBA-43CE-A454-A4B32DEE13CB}"/>
    <cellStyle name="Note 2 3 9" xfId="13175" xr:uid="{283B7B51-A424-48D6-93F4-D6C9EB4194F8}"/>
    <cellStyle name="Note 2 4" xfId="7138" xr:uid="{F308F5F5-0C9B-426D-8ACA-0480074337CB}"/>
    <cellStyle name="Note 2 4 10" xfId="11473" xr:uid="{B0DF7BDD-F2B7-42D8-BF07-746C296A7C2E}"/>
    <cellStyle name="Note 2 4 2" xfId="8778" xr:uid="{CA18D426-DEAE-4310-8E6A-BF117A24877B}"/>
    <cellStyle name="Note 2 4 2 2" xfId="13438" xr:uid="{4D635231-4978-4165-8368-D01AAC0BDB9F}"/>
    <cellStyle name="Note 2 4 2 3" xfId="14444" xr:uid="{3C8E6B83-3D70-414B-AA4A-E0838D55F58C}"/>
    <cellStyle name="Note 2 4 2 4" xfId="15402" xr:uid="{EE5BBF05-5D6C-40FB-96A0-7E7B2E2830AE}"/>
    <cellStyle name="Note 2 4 2 5" xfId="16329" xr:uid="{B915BBF4-B91C-4124-AD3E-26C885D53FD4}"/>
    <cellStyle name="Note 2 4 2 6" xfId="17200" xr:uid="{157F94AE-6A39-4B4E-9503-9679459502AC}"/>
    <cellStyle name="Note 2 4 2 7" xfId="18047" xr:uid="{DF3129EF-C8F2-4101-893C-DD4C8D64B1C9}"/>
    <cellStyle name="Note 2 4 2 8" xfId="18814" xr:uid="{CDCE82EC-5CFF-42F2-9A76-4AFC4B720F67}"/>
    <cellStyle name="Note 2 4 3" xfId="9641" xr:uid="{E3D692AF-35E1-4706-AEE2-64ACD63F4B3E}"/>
    <cellStyle name="Note 2 4 3 2" xfId="14045" xr:uid="{338C8EAF-FD7B-4692-981E-C22765A8322E}"/>
    <cellStyle name="Note 2 4 3 3" xfId="15005" xr:uid="{261B4D45-1354-4E18-B3B5-C9766F6A35DC}"/>
    <cellStyle name="Note 2 4 3 4" xfId="15957" xr:uid="{08F04061-0797-411D-ABF8-EF648BB4F78B}"/>
    <cellStyle name="Note 2 4 3 5" xfId="16831" xr:uid="{D1AFBEEE-B147-4158-931C-C639FF2EED0B}"/>
    <cellStyle name="Note 2 4 3 6" xfId="17696" xr:uid="{9477AA27-AC11-461E-A1E4-9F0B3CE29E9E}"/>
    <cellStyle name="Note 2 4 3 7" xfId="18472" xr:uid="{AC67BF9B-6019-4C77-8616-34449DA5208B}"/>
    <cellStyle name="Note 2 4 3 8" xfId="19229" xr:uid="{2DC36F31-8049-4686-8642-30EFD084457E}"/>
    <cellStyle name="Note 2 4 4" xfId="12408" xr:uid="{23A5B86D-EEF7-4815-89E0-6F6306EF13F2}"/>
    <cellStyle name="Note 2 4 5" xfId="10470" xr:uid="{D4BC5255-96C8-4937-B157-E1FE2E199B06}"/>
    <cellStyle name="Note 2 4 6" xfId="13141" xr:uid="{45198A12-6AAF-4F1A-BE29-26D0C3F84C06}"/>
    <cellStyle name="Note 2 4 7" xfId="9889" xr:uid="{4370F483-5DC3-4934-9288-EE66F3D0A009}"/>
    <cellStyle name="Note 2 4 8" xfId="11854" xr:uid="{72D309D8-E1F5-4C59-8EEC-7BCE3181DE3B}"/>
    <cellStyle name="Note 2 4 9" xfId="10959" xr:uid="{BE3E59A2-CCA2-4A08-A2F5-0FF56E632ECF}"/>
    <cellStyle name="Note 2 5" xfId="7980" xr:uid="{BEF29A3B-0C54-49D1-9E75-D11DC3285767}"/>
    <cellStyle name="Note 2 5 2" xfId="12949" xr:uid="{8EA8324B-A58C-4EEB-A3EF-21625FAE2DB7}"/>
    <cellStyle name="Note 2 5 3" xfId="10041" xr:uid="{D3266BB4-8A59-4D46-9219-DD39FB07974C}"/>
    <cellStyle name="Note 2 5 4" xfId="12689" xr:uid="{1BC21762-8711-4306-BD0A-E5A0B4CFA518}"/>
    <cellStyle name="Note 2 5 5" xfId="10232" xr:uid="{7458C62D-227C-4A48-BB24-ECBF82AB7BDF}"/>
    <cellStyle name="Note 2 5 6" xfId="13053" xr:uid="{62190346-1716-4022-AABF-79AC27827606}"/>
    <cellStyle name="Note 2 5 7" xfId="9950" xr:uid="{822D7383-CD04-4286-BBCC-9413E98E5F7C}"/>
    <cellStyle name="Note 2 5 8" xfId="13717" xr:uid="{A60CE8AA-A78C-4227-BD0E-8FBCFC7115F0}"/>
    <cellStyle name="Note 2 6" xfId="9413" xr:uid="{A4E69FC0-7D19-4C44-8DAA-B6AECE10E436}"/>
    <cellStyle name="Note 2 6 2" xfId="13817" xr:uid="{10B7208B-CC3D-41C9-BC4E-086E4E830CA7}"/>
    <cellStyle name="Note 2 6 3" xfId="14777" xr:uid="{DAE2365D-558E-4AC3-A442-1CC0D652B1FC}"/>
    <cellStyle name="Note 2 6 4" xfId="15729" xr:uid="{92357C73-B30A-4E2C-9944-E61DDEEDBF84}"/>
    <cellStyle name="Note 2 6 5" xfId="16603" xr:uid="{7FD4209F-950A-49FB-BF5B-C3CD67C69063}"/>
    <cellStyle name="Note 2 6 6" xfId="17468" xr:uid="{BCA6D3D3-BDC9-4AA4-A721-5806B4A1A689}"/>
    <cellStyle name="Note 2 6 7" xfId="18244" xr:uid="{0ADE3C7D-AD6A-4BBD-AD36-3D73D307F3C2}"/>
    <cellStyle name="Note 2 6 8" xfId="19001" xr:uid="{E972DDFC-0DF5-4D3F-AEE4-0BBA3E187EF4}"/>
    <cellStyle name="Note 2 7" xfId="11853" xr:uid="{0C0B9ED6-1771-4779-8FE3-E3C4DCF28687}"/>
    <cellStyle name="Note 2 8" xfId="10960" xr:uid="{0F918B17-6399-47FB-AF40-40DBC16F667A}"/>
    <cellStyle name="Note 2 9" xfId="11472" xr:uid="{CFC46BBC-40CD-4C32-BD07-3BBC943AED3F}"/>
    <cellStyle name="Note 3" xfId="6213" xr:uid="{237B9587-0E7A-4494-8192-02BA69708CB2}"/>
    <cellStyle name="Note 3 10" xfId="13804" xr:uid="{A8A27881-1E1B-4556-844A-9510A2B05FDA}"/>
    <cellStyle name="Note 3 11" xfId="14764" xr:uid="{1DD4D365-87D1-43EE-83ED-1E69834CC224}"/>
    <cellStyle name="Note 3 12" xfId="15716" xr:uid="{CF2D1606-A88A-4EF0-888E-1463FBC49D25}"/>
    <cellStyle name="Note 3 2" xfId="6829" xr:uid="{73674A08-5EE7-4786-B36E-F49BB4D6ECF5}"/>
    <cellStyle name="Note 3 2 10" xfId="16299" xr:uid="{0255CF0E-199F-46FD-A32A-5478226198CA}"/>
    <cellStyle name="Note 3 2 11" xfId="17171" xr:uid="{5174C29A-1A4C-48A2-958D-93F327228864}"/>
    <cellStyle name="Note 3 2 2" xfId="7662" xr:uid="{37B9A42F-CDA1-4A8C-8F88-25B58242FD39}"/>
    <cellStyle name="Note 3 2 2 10" xfId="10492" xr:uid="{9D7B5E87-90CA-4D97-AA64-79DD6C227DE0}"/>
    <cellStyle name="Note 3 2 2 2" xfId="9302" xr:uid="{9E46B96B-72D3-43AB-9C75-45BF07956E90}"/>
    <cellStyle name="Note 3 2 2 2 2" xfId="13736" xr:uid="{C8CD6DD3-1E80-4E07-B4AF-A9AF9BD81520}"/>
    <cellStyle name="Note 3 2 2 2 3" xfId="14698" xr:uid="{B032D17E-C536-435D-9BDD-3D2A41DFA9F7}"/>
    <cellStyle name="Note 3 2 2 2 4" xfId="15650" xr:uid="{464CFA20-86B6-440A-84BE-DD38B4B4EBC0}"/>
    <cellStyle name="Note 3 2 2 2 5" xfId="16530" xr:uid="{AD3A4F4D-5CE5-4369-941E-95F4E6077314}"/>
    <cellStyle name="Note 3 2 2 2 6" xfId="17396" xr:uid="{BBA6B94D-EEC6-4257-8700-5F07D23C3C1F}"/>
    <cellStyle name="Note 3 2 2 2 7" xfId="18172" xr:uid="{F7815993-D564-449F-B08F-60A71ABCFCE9}"/>
    <cellStyle name="Note 3 2 2 2 8" xfId="18929" xr:uid="{D53CF811-B519-41BE-AC50-E9B43895A392}"/>
    <cellStyle name="Note 3 2 2 3" xfId="9756" xr:uid="{0D76D6A3-AE25-45B0-AB83-3D4E5486FDD4}"/>
    <cellStyle name="Note 3 2 2 3 2" xfId="14160" xr:uid="{F69E0CCA-15BF-4ACD-8C35-F67936628D4A}"/>
    <cellStyle name="Note 3 2 2 3 3" xfId="15120" xr:uid="{E225B186-9ECA-4139-B793-D4E0A7B88F76}"/>
    <cellStyle name="Note 3 2 2 3 4" xfId="16072" xr:uid="{E8BAB9A9-1950-459E-9106-DA191E4D5B14}"/>
    <cellStyle name="Note 3 2 2 3 5" xfId="16946" xr:uid="{C42A621D-89C3-4730-803B-A61902C2A1F0}"/>
    <cellStyle name="Note 3 2 2 3 6" xfId="17811" xr:uid="{0AA7AC46-6392-46C5-AE96-E2C64969C5D3}"/>
    <cellStyle name="Note 3 2 2 3 7" xfId="18587" xr:uid="{7AB534A8-1A75-4956-AD52-85AAAA495C6B}"/>
    <cellStyle name="Note 3 2 2 3 8" xfId="19344" xr:uid="{B41DE109-F1FF-4D5E-95A9-76D16291F394}"/>
    <cellStyle name="Note 3 2 2 4" xfId="12720" xr:uid="{2874D31C-2E88-4A22-923D-CEF1EB1DE2E9}"/>
    <cellStyle name="Note 3 2 2 5" xfId="12330" xr:uid="{9E828602-C31F-47CE-8C12-B0A4013A5CD5}"/>
    <cellStyle name="Note 3 2 2 6" xfId="10540" xr:uid="{B7C5A1F7-DC55-4C91-A19B-381A5E0A9958}"/>
    <cellStyle name="Note 3 2 2 7" xfId="12615" xr:uid="{AE110F30-87F5-4F75-A8BD-0AFB72972108}"/>
    <cellStyle name="Note 3 2 2 8" xfId="10290" xr:uid="{EF235A5D-328B-4090-A190-FB5766DA86DF}"/>
    <cellStyle name="Note 3 2 2 9" xfId="12383" xr:uid="{741CF016-1712-445A-B2A9-09D7CEB7F5BD}"/>
    <cellStyle name="Note 3 2 3" xfId="8469" xr:uid="{E791C297-AA53-4B6E-92EB-5DBD764AA161}"/>
    <cellStyle name="Note 3 2 3 2" xfId="13209" xr:uid="{62E45DBE-83C2-42A3-91E6-2A0CAC0A2A3A}"/>
    <cellStyle name="Note 3 2 3 3" xfId="14229" xr:uid="{CD03DD6C-B93C-441E-95B0-B8661A22857F}"/>
    <cellStyle name="Note 3 2 3 4" xfId="15189" xr:uid="{0CE1FAD7-BD8E-4609-8770-392121A0D9A7}"/>
    <cellStyle name="Note 3 2 3 5" xfId="16138" xr:uid="{1E02085A-1C7B-411A-A2D4-3EB50B9E89B8}"/>
    <cellStyle name="Note 3 2 3 6" xfId="17011" xr:uid="{4AE37FEF-C005-4AEE-98C1-762642FE4B24}"/>
    <cellStyle name="Note 3 2 3 7" xfId="17876" xr:uid="{5DB2A43D-FF4E-4CDC-B291-124C3FED5AA6}"/>
    <cellStyle name="Note 3 2 3 8" xfId="18652" xr:uid="{8C36ABDD-9F88-47F6-B88D-CBCD8A26BA6D}"/>
    <cellStyle name="Note 3 2 4" xfId="9479" xr:uid="{419E36DA-B2DE-41E8-8FB1-FC5F9B840417}"/>
    <cellStyle name="Note 3 2 4 2" xfId="13883" xr:uid="{50670E7D-AA1D-4A08-BA63-E2692A212ECD}"/>
    <cellStyle name="Note 3 2 4 3" xfId="14843" xr:uid="{ADC5AF62-2D01-45D5-8E6E-05B58FAD6D89}"/>
    <cellStyle name="Note 3 2 4 4" xfId="15795" xr:uid="{AF688584-9459-4827-85AB-8EFC126AD8CB}"/>
    <cellStyle name="Note 3 2 4 5" xfId="16669" xr:uid="{31F621D7-7780-4BE1-B5D2-1D634B2989C4}"/>
    <cellStyle name="Note 3 2 4 6" xfId="17534" xr:uid="{86905596-D7FF-4F8C-A863-E882A3E83885}"/>
    <cellStyle name="Note 3 2 4 7" xfId="18310" xr:uid="{9E127F5F-F99F-4C43-8274-366CD3E5CBE5}"/>
    <cellStyle name="Note 3 2 4 8" xfId="19067" xr:uid="{CE860B2A-3FC8-4D9A-B388-0095345D4AD8}"/>
    <cellStyle name="Note 3 2 5" xfId="12180" xr:uid="{8A98304F-DF50-4058-A77C-8A9D9BA2CAF0}"/>
    <cellStyle name="Note 3 2 6" xfId="10685" xr:uid="{D577111A-2568-46F1-AD60-BA3544E17301}"/>
    <cellStyle name="Note 3 2 7" xfId="13401" xr:uid="{672E6C06-96B1-411C-B871-44C08636A927}"/>
    <cellStyle name="Note 3 2 8" xfId="14410" xr:uid="{06C7A4E1-497A-493A-9984-8342CE2B7F62}"/>
    <cellStyle name="Note 3 2 9" xfId="15368" xr:uid="{971DCE48-25C5-408D-B559-962937A81337}"/>
    <cellStyle name="Note 3 3" xfId="7139" xr:uid="{F129BB24-8E77-4167-B865-004057B4D56A}"/>
    <cellStyle name="Note 3 3 10" xfId="12541" xr:uid="{7DBABEEC-78D1-4296-B25B-1D1AC1C24214}"/>
    <cellStyle name="Note 3 3 2" xfId="8779" xr:uid="{C49A1901-FCF8-4716-BA6C-5E64CE161E8E}"/>
    <cellStyle name="Note 3 3 2 2" xfId="13439" xr:uid="{AEFE5A25-15B1-45A7-8A33-D6550302558B}"/>
    <cellStyle name="Note 3 3 2 3" xfId="14445" xr:uid="{8442A48C-A523-4276-B431-8A414CB7BD3D}"/>
    <cellStyle name="Note 3 3 2 4" xfId="15403" xr:uid="{A8D730B8-B2BD-4BF5-87F3-67BE36B24378}"/>
    <cellStyle name="Note 3 3 2 5" xfId="16330" xr:uid="{AD10ABAC-FF87-4D02-A1A8-112E7BA4940B}"/>
    <cellStyle name="Note 3 3 2 6" xfId="17201" xr:uid="{D3FE1A5B-5DF6-4998-A31C-BC76C7AADFC4}"/>
    <cellStyle name="Note 3 3 2 7" xfId="18048" xr:uid="{71E9373F-2213-4CB7-8DF8-78C2BD133775}"/>
    <cellStyle name="Note 3 3 2 8" xfId="18815" xr:uid="{B5C74BE4-2556-4215-B8D9-CF727BFE4A86}"/>
    <cellStyle name="Note 3 3 3" xfId="9642" xr:uid="{2D21022C-F360-4A49-A586-B34838214A5A}"/>
    <cellStyle name="Note 3 3 3 2" xfId="14046" xr:uid="{446EC0F3-5D00-4C81-B354-43D5B7AF948E}"/>
    <cellStyle name="Note 3 3 3 3" xfId="15006" xr:uid="{352FAA32-A5F6-46C3-A700-19D3DCB48B30}"/>
    <cellStyle name="Note 3 3 3 4" xfId="15958" xr:uid="{0C12F246-E34A-4891-976B-2E990A4CB392}"/>
    <cellStyle name="Note 3 3 3 5" xfId="16832" xr:uid="{9E9933D2-6C27-4350-B245-05C9988FD3FC}"/>
    <cellStyle name="Note 3 3 3 6" xfId="17697" xr:uid="{17333362-EE88-48BF-995E-A77218329DCB}"/>
    <cellStyle name="Note 3 3 3 7" xfId="18473" xr:uid="{0B6C5B96-6BAD-4703-A2BF-095399FEA80D}"/>
    <cellStyle name="Note 3 3 3 8" xfId="19230" xr:uid="{D496DDE8-F26F-4936-8704-934967A356F4}"/>
    <cellStyle name="Note 3 3 4" xfId="12409" xr:uid="{D088ACE7-1237-4055-8D02-DEA2CCB1EA6A}"/>
    <cellStyle name="Note 3 3 5" xfId="10469" xr:uid="{8666D544-C208-4924-921E-5C644B690DF8}"/>
    <cellStyle name="Note 3 3 6" xfId="11984" xr:uid="{C71924CB-EC52-4603-AFE5-C5EE045E32EE}"/>
    <cellStyle name="Note 3 3 7" xfId="10845" xr:uid="{ABA152AB-BC9A-49BB-8CD0-47C379C53B89}"/>
    <cellStyle name="Note 3 3 8" xfId="11577" xr:uid="{92249B5C-F086-4211-BE39-3156C804B76A}"/>
    <cellStyle name="Note 3 3 9" xfId="11177" xr:uid="{ACE26606-C90B-441A-A8AB-5FDED8A37F3D}"/>
    <cellStyle name="Note 3 4" xfId="7981" xr:uid="{779FFE55-ED93-414A-B974-BC35ED1E4802}"/>
    <cellStyle name="Note 3 4 2" xfId="12950" xr:uid="{36800C00-6186-4F11-8001-242212725C53}"/>
    <cellStyle name="Note 3 4 3" xfId="10040" xr:uid="{98B1C0D2-87D2-4A71-8B80-E0F77CACF37F}"/>
    <cellStyle name="Note 3 4 4" xfId="13710" xr:uid="{413F6DB0-3286-41F2-8E9B-976299DABF9F}"/>
    <cellStyle name="Note 3 4 5" xfId="14674" xr:uid="{C0126CAA-BFD8-49A3-B400-09FB788828F1}"/>
    <cellStyle name="Note 3 4 6" xfId="15626" xr:uid="{524B8B6C-5681-4FC8-A4B7-F663A0AA0245}"/>
    <cellStyle name="Note 3 4 7" xfId="16508" xr:uid="{C1FFC496-C6AE-474E-A4DA-59CE643DE6A3}"/>
    <cellStyle name="Note 3 4 8" xfId="17376" xr:uid="{45E4B97C-9DE6-4413-9140-A638636B07BE}"/>
    <cellStyle name="Note 3 5" xfId="9414" xr:uid="{8F74ABF9-D587-48DC-BC7C-BE4DA4D692A6}"/>
    <cellStyle name="Note 3 5 2" xfId="13818" xr:uid="{3646FC1A-FCAB-4117-B84E-63C0C50FE89F}"/>
    <cellStyle name="Note 3 5 3" xfId="14778" xr:uid="{910D8B96-4245-4007-9146-741F13AAE18B}"/>
    <cellStyle name="Note 3 5 4" xfId="15730" xr:uid="{5060E6FF-FAD8-434B-96C3-8FC33A878E06}"/>
    <cellStyle name="Note 3 5 5" xfId="16604" xr:uid="{16A88EB6-328E-40AF-B654-C0A12EDB89C6}"/>
    <cellStyle name="Note 3 5 6" xfId="17469" xr:uid="{A5C73DA4-6D99-484E-BAD6-9AC35C9155AD}"/>
    <cellStyle name="Note 3 5 7" xfId="18245" xr:uid="{A71250A7-AA72-4AFF-8286-327754DA997D}"/>
    <cellStyle name="Note 3 5 8" xfId="19002" xr:uid="{8CF031DF-6FFE-4CC0-9FB0-0934A4A653A5}"/>
    <cellStyle name="Note 3 6" xfId="11855" xr:uid="{F38201D3-B740-435C-8782-E268DD911769}"/>
    <cellStyle name="Note 3 7" xfId="10958" xr:uid="{3EBA7C3A-D2ED-43FF-B0F5-6E96D54B1BCE}"/>
    <cellStyle name="Note 3 8" xfId="11474" xr:uid="{30E4DE9C-8BAF-4E54-91DF-F4B112DA9F22}"/>
    <cellStyle name="Note 3 9" xfId="11256" xr:uid="{27EEB38C-999E-4BAC-8499-97BB2EEB2147}"/>
    <cellStyle name="Note 4" xfId="6214" xr:uid="{3F6BAD3E-5B26-4E50-AC73-A74FEBFB83C2}"/>
    <cellStyle name="Note 4 10" xfId="13325" xr:uid="{AF0C5131-985A-4277-A4FB-3CC4CBE4996D}"/>
    <cellStyle name="Note 4 11" xfId="14341" xr:uid="{7BEFAD89-C475-409F-AF8D-06C272E36DFE}"/>
    <cellStyle name="Note 4 12" xfId="15301" xr:uid="{F9BB8393-E6EE-4AE3-A674-3E8C5F8D03DB}"/>
    <cellStyle name="Note 4 2" xfId="6828" xr:uid="{B2180959-C76D-40FD-A68E-DB4B49CCAF85}"/>
    <cellStyle name="Note 4 2 10" xfId="14619" xr:uid="{49DD2EF9-D050-4071-B21B-8E8BDB57CEE1}"/>
    <cellStyle name="Note 4 2 11" xfId="15572" xr:uid="{938197B7-E0DC-4390-A9B6-4B6DFC138A18}"/>
    <cellStyle name="Note 4 2 2" xfId="7663" xr:uid="{56CEA233-59B5-40D3-ABCD-A379D5AA5AE1}"/>
    <cellStyle name="Note 4 2 2 10" xfId="17355" xr:uid="{90FD210F-61C7-4091-BEEA-D986A1F51376}"/>
    <cellStyle name="Note 4 2 2 2" xfId="9303" xr:uid="{1E4DB750-417C-4541-90CD-D04A8F5100A7}"/>
    <cellStyle name="Note 4 2 2 2 2" xfId="13737" xr:uid="{F8B6B757-D38A-4DB3-92D8-549052EA6D78}"/>
    <cellStyle name="Note 4 2 2 2 3" xfId="14699" xr:uid="{1DA76C90-503D-4438-9E74-47240DA3B900}"/>
    <cellStyle name="Note 4 2 2 2 4" xfId="15651" xr:uid="{707D3840-409C-4EFA-9613-AA5BDC8BBA4C}"/>
    <cellStyle name="Note 4 2 2 2 5" xfId="16531" xr:uid="{258D2AF8-B3BD-4976-948B-B9CEB2B89A7F}"/>
    <cellStyle name="Note 4 2 2 2 6" xfId="17397" xr:uid="{3FE94EF3-0400-4CA1-AB2E-65E04567467E}"/>
    <cellStyle name="Note 4 2 2 2 7" xfId="18173" xr:uid="{B4BD9F74-EE9C-450D-83AA-ECEC4233AF90}"/>
    <cellStyle name="Note 4 2 2 2 8" xfId="18930" xr:uid="{0F8D220E-CAC8-4C3A-975E-6480CE98BA8A}"/>
    <cellStyle name="Note 4 2 2 3" xfId="9757" xr:uid="{0434DD9A-6AAF-4A1E-B278-ADF22B117771}"/>
    <cellStyle name="Note 4 2 2 3 2" xfId="14161" xr:uid="{01032A71-6C57-423F-85C8-D77A7E08C6D3}"/>
    <cellStyle name="Note 4 2 2 3 3" xfId="15121" xr:uid="{84B209F4-66AC-460B-811D-51363E171564}"/>
    <cellStyle name="Note 4 2 2 3 4" xfId="16073" xr:uid="{0552E394-B478-46DA-BA67-C9190F94C850}"/>
    <cellStyle name="Note 4 2 2 3 5" xfId="16947" xr:uid="{4629CCD6-572D-4F89-9D7F-DA2E99BD44E6}"/>
    <cellStyle name="Note 4 2 2 3 6" xfId="17812" xr:uid="{59C21A44-A930-4621-989F-18224A24B912}"/>
    <cellStyle name="Note 4 2 2 3 7" xfId="18588" xr:uid="{3A6A3A2A-AF9A-4C16-9E22-7CC8BD008A33}"/>
    <cellStyle name="Note 4 2 2 3 8" xfId="19345" xr:uid="{B623D63A-61E3-493C-873E-32C4A4F8A732}"/>
    <cellStyle name="Note 4 2 2 4" xfId="12721" xr:uid="{DF6AE606-FC22-4AB4-BF91-85937C7571CF}"/>
    <cellStyle name="Note 4 2 2 5" xfId="10220" xr:uid="{76A87022-8409-4375-B0FD-3B207B290A14}"/>
    <cellStyle name="Note 4 2 2 6" xfId="13682" xr:uid="{53CCCC5E-C9A2-44F9-A373-C08970DBEF0E}"/>
    <cellStyle name="Note 4 2 2 7" xfId="14650" xr:uid="{5419CFB7-8C05-4B5E-8222-915E87E1C46B}"/>
    <cellStyle name="Note 4 2 2 8" xfId="15602" xr:uid="{375CED52-BC64-473B-AE89-614B6AB688C3}"/>
    <cellStyle name="Note 4 2 2 9" xfId="16487" xr:uid="{5E9D78F3-4230-4462-B2DE-09B40723F0F4}"/>
    <cellStyle name="Note 4 2 3" xfId="8468" xr:uid="{88DB7375-E432-4F4A-8F92-CFFA98EBFBE6}"/>
    <cellStyle name="Note 4 2 3 2" xfId="13208" xr:uid="{40D1839D-B01C-4F4F-93C1-5B7A9D6C87AF}"/>
    <cellStyle name="Note 4 2 3 3" xfId="14228" xr:uid="{00D729D8-F5D5-4B20-B936-4596B0BF7C83}"/>
    <cellStyle name="Note 4 2 3 4" xfId="15188" xr:uid="{396CEB7E-D105-420B-AC33-A69D8BEF4B13}"/>
    <cellStyle name="Note 4 2 3 5" xfId="16137" xr:uid="{73A68F7B-9948-4F4F-95E3-275C9046E039}"/>
    <cellStyle name="Note 4 2 3 6" xfId="17010" xr:uid="{AA673C39-BD26-4304-992F-71EBDE2BF728}"/>
    <cellStyle name="Note 4 2 3 7" xfId="17875" xr:uid="{DB1CD84C-F349-4645-A594-A66894F85C7D}"/>
    <cellStyle name="Note 4 2 3 8" xfId="18651" xr:uid="{27D562FD-AAE6-4D89-B3B4-F5A0C7C5C2F9}"/>
    <cellStyle name="Note 4 2 4" xfId="9478" xr:uid="{11BCD3AF-F996-4FE7-A96C-F1D9BC8BC9D2}"/>
    <cellStyle name="Note 4 2 4 2" xfId="13882" xr:uid="{D9024AA9-6980-4466-B662-F6789CD122EE}"/>
    <cellStyle name="Note 4 2 4 3" xfId="14842" xr:uid="{DAE95A60-4CCF-4E34-9734-949791C69B44}"/>
    <cellStyle name="Note 4 2 4 4" xfId="15794" xr:uid="{360F77E6-0065-44BD-AEE8-BB9F441067E9}"/>
    <cellStyle name="Note 4 2 4 5" xfId="16668" xr:uid="{50A84EEE-6785-4D24-A13E-4EABD75A6FB5}"/>
    <cellStyle name="Note 4 2 4 6" xfId="17533" xr:uid="{C804C879-A604-449C-A094-483CF39C6FBB}"/>
    <cellStyle name="Note 4 2 4 7" xfId="18309" xr:uid="{D5EFDB6F-4A45-4CFE-8082-5F96D7ADB310}"/>
    <cellStyle name="Note 4 2 4 8" xfId="19066" xr:uid="{1A917ADC-79F8-4EA1-8E34-6976CCDB360B}"/>
    <cellStyle name="Note 4 2 5" xfId="12179" xr:uid="{E3466A21-295C-4302-A3CF-20E8F52D67A9}"/>
    <cellStyle name="Note 4 2 6" xfId="10686" xr:uid="{A7D83498-05A5-4E0D-B3BB-97E87DC7CD8A}"/>
    <cellStyle name="Note 4 2 7" xfId="12368" xr:uid="{78927593-460C-49C7-B8F9-AC7200275306}"/>
    <cellStyle name="Note 4 2 8" xfId="10506" xr:uid="{AF334FFA-8FEA-47CB-8BDB-342589B108AC}"/>
    <cellStyle name="Note 4 2 9" xfId="13642" xr:uid="{902EF168-FED6-46AF-B53D-4527686B950A}"/>
    <cellStyle name="Note 4 3" xfId="7140" xr:uid="{D495B37F-0A76-4AF6-B014-9919377C7F3B}"/>
    <cellStyle name="Note 4 3 10" xfId="15593" xr:uid="{8562E3F8-5F74-4229-9666-84DA2039E82E}"/>
    <cellStyle name="Note 4 3 2" xfId="8780" xr:uid="{B75B882F-54AB-4A98-8994-49D168176C56}"/>
    <cellStyle name="Note 4 3 2 2" xfId="13440" xr:uid="{44C75CC0-028D-48E3-9516-41F698589E1E}"/>
    <cellStyle name="Note 4 3 2 3" xfId="14446" xr:uid="{81E31D34-75FB-41B4-AF3E-898AC10F1121}"/>
    <cellStyle name="Note 4 3 2 4" xfId="15404" xr:uid="{02976E14-ED35-4537-9389-91B0687A4114}"/>
    <cellStyle name="Note 4 3 2 5" xfId="16331" xr:uid="{DC738FB5-EC10-4722-A489-67E3A3454DA1}"/>
    <cellStyle name="Note 4 3 2 6" xfId="17202" xr:uid="{7EC93B5D-F37F-49A8-BE4C-BC9AC4DCF9E7}"/>
    <cellStyle name="Note 4 3 2 7" xfId="18049" xr:uid="{1C3B44F5-2763-4343-8195-E7CC4ED66C62}"/>
    <cellStyle name="Note 4 3 2 8" xfId="18816" xr:uid="{41AC0604-7513-4AD6-BA73-27A657790359}"/>
    <cellStyle name="Note 4 3 3" xfId="9643" xr:uid="{2015E0F5-D850-409C-B83E-86B7D4C33571}"/>
    <cellStyle name="Note 4 3 3 2" xfId="14047" xr:uid="{CA2B2152-D624-4A14-A223-0485CAB6BA42}"/>
    <cellStyle name="Note 4 3 3 3" xfId="15007" xr:uid="{B9058A27-8E41-4469-AB69-CDFFCE834883}"/>
    <cellStyle name="Note 4 3 3 4" xfId="15959" xr:uid="{AFABA0EC-8B29-4149-8C3F-1900DF9426E8}"/>
    <cellStyle name="Note 4 3 3 5" xfId="16833" xr:uid="{F6564E74-6538-4A87-AED9-BAE2CA6B6699}"/>
    <cellStyle name="Note 4 3 3 6" xfId="17698" xr:uid="{A72FF33A-6397-4E1C-BF6E-5BA977301200}"/>
    <cellStyle name="Note 4 3 3 7" xfId="18474" xr:uid="{82AF1BAB-99CF-4BF7-A9E4-9C4408B8AA0E}"/>
    <cellStyle name="Note 4 3 3 8" xfId="19231" xr:uid="{1ECFB5BE-2349-43A5-8FEB-94954E8AD0AD}"/>
    <cellStyle name="Note 4 3 4" xfId="12410" xr:uid="{847320ED-DD08-4155-81CF-F0866027D16F}"/>
    <cellStyle name="Note 4 3 5" xfId="10468" xr:uid="{76FF2582-F534-4756-93F7-399E4541A334}"/>
    <cellStyle name="Note 4 3 6" xfId="12629" xr:uid="{A629E9FC-368F-48E4-9DA0-71B7FFD4DD92}"/>
    <cellStyle name="Note 4 3 7" xfId="10280" xr:uid="{88DE3C7A-CC2F-4D46-9E84-329EBC22F4AF}"/>
    <cellStyle name="Note 4 3 8" xfId="13670" xr:uid="{384ABCBE-E400-423C-9595-5CF328CCE117}"/>
    <cellStyle name="Note 4 3 9" xfId="14641" xr:uid="{C0B89CD4-0AD7-4DA9-832E-9EE87E2A2D49}"/>
    <cellStyle name="Note 4 4" xfId="7982" xr:uid="{896E6CD5-DD29-48B7-9457-163D98D087D3}"/>
    <cellStyle name="Note 4 4 2" xfId="12951" xr:uid="{7A4748B4-8DAB-452C-A039-0B01158DD4F8}"/>
    <cellStyle name="Note 4 4 3" xfId="10039" xr:uid="{968A6EAF-D539-4DD5-85C3-2A2059AD0172}"/>
    <cellStyle name="Note 4 4 4" xfId="13185" xr:uid="{A50A9B13-E3BB-4F51-B35A-CC9381DD6F86}"/>
    <cellStyle name="Note 4 4 5" xfId="9853" xr:uid="{9844ECFD-1BBC-4354-B587-81AF46E63D69}"/>
    <cellStyle name="Note 4 4 6" xfId="12977" xr:uid="{E8B66BFB-A1A5-48B7-BF4C-F1AA1905D6B2}"/>
    <cellStyle name="Note 4 4 7" xfId="10014" xr:uid="{BF71A6BC-32C7-415C-AE85-27F76A4E69B8}"/>
    <cellStyle name="Note 4 4 8" xfId="11808" xr:uid="{357B34CE-116B-42BD-AFAD-EB939AACD277}"/>
    <cellStyle name="Note 4 5" xfId="9415" xr:uid="{72BBC6F5-8363-458E-A861-9AEF15EA3DBC}"/>
    <cellStyle name="Note 4 5 2" xfId="13819" xr:uid="{D0C34C79-3626-42F1-A816-DD4A1B02BB7F}"/>
    <cellStyle name="Note 4 5 3" xfId="14779" xr:uid="{CFC66152-B33B-4097-A3A3-8081C5A301A7}"/>
    <cellStyle name="Note 4 5 4" xfId="15731" xr:uid="{E05A99B2-57C9-4258-970C-B72E306AEF6A}"/>
    <cellStyle name="Note 4 5 5" xfId="16605" xr:uid="{680750DF-1450-4E58-A993-D45F57B9417F}"/>
    <cellStyle name="Note 4 5 6" xfId="17470" xr:uid="{F3BB75AE-7D71-445F-9AA5-2C483B3C69EB}"/>
    <cellStyle name="Note 4 5 7" xfId="18246" xr:uid="{02AB67B4-10D2-426B-A690-3EC6B4C4BE9E}"/>
    <cellStyle name="Note 4 5 8" xfId="19003" xr:uid="{12B2229C-EACC-4298-ADE3-971CF4C4865C}"/>
    <cellStyle name="Note 4 6" xfId="11856" xr:uid="{0DF76BD1-A95C-447C-A6C3-5770B39B49A5}"/>
    <cellStyle name="Note 4 7" xfId="10957" xr:uid="{C8F7F011-9910-4720-BED2-6C2D4A356307}"/>
    <cellStyle name="Note 4 8" xfId="11475" xr:uid="{46B03122-1693-4BA6-8C9E-5CD3665CDA0A}"/>
    <cellStyle name="Note 4 9" xfId="11255" xr:uid="{BEC343A0-E40B-4AB7-9CF0-45A6B91B666D}"/>
    <cellStyle name="Note 5" xfId="6215" xr:uid="{26CFB288-955B-4C10-96C4-96433B7FB4B5}"/>
    <cellStyle name="Note 5 10" xfId="12787" xr:uid="{40E584B0-0A37-449C-A61C-6363B1B991B7}"/>
    <cellStyle name="Note 5 11" xfId="10180" xr:uid="{DBAA060D-4004-4618-BE94-8E548C889909}"/>
    <cellStyle name="Note 5 12" xfId="11779" xr:uid="{8DBC9F56-3D2D-46A3-B6AC-A6F60059C322}"/>
    <cellStyle name="Note 5 2" xfId="6827" xr:uid="{E8DFFF25-11E3-4A5D-9C18-FE98CB5F1E66}"/>
    <cellStyle name="Note 5 2 10" xfId="9847" xr:uid="{8E9B7544-A293-4256-BA62-3151E1A8A4AA}"/>
    <cellStyle name="Note 5 2 11" xfId="12000" xr:uid="{F9A33E0A-1E46-426F-9BE1-78138EFC4475}"/>
    <cellStyle name="Note 5 2 2" xfId="7664" xr:uid="{13295C20-DC91-4BDD-A449-3A3C85AB0F74}"/>
    <cellStyle name="Note 5 2 2 10" xfId="13063" xr:uid="{5B00CEDE-47F9-41F7-8C4D-D547133C58C4}"/>
    <cellStyle name="Note 5 2 2 2" xfId="9304" xr:uid="{1440F22E-4106-4421-93C9-4FA0509747C9}"/>
    <cellStyle name="Note 5 2 2 2 2" xfId="13738" xr:uid="{CFBCF90F-03C7-4A71-B770-2207AAD43F83}"/>
    <cellStyle name="Note 5 2 2 2 3" xfId="14700" xr:uid="{C627DB5B-5192-4E9F-8EB8-FE3BB2BE9AE6}"/>
    <cellStyle name="Note 5 2 2 2 4" xfId="15652" xr:uid="{28365826-3806-4276-89EE-0FF2B28E7501}"/>
    <cellStyle name="Note 5 2 2 2 5" xfId="16532" xr:uid="{CE60636A-F463-4386-90D5-233A541339E8}"/>
    <cellStyle name="Note 5 2 2 2 6" xfId="17398" xr:uid="{8BCE1B72-DD56-40CA-BBB9-8395C3EBF718}"/>
    <cellStyle name="Note 5 2 2 2 7" xfId="18174" xr:uid="{75F12F36-9045-43DD-8172-F80F7DD53F86}"/>
    <cellStyle name="Note 5 2 2 2 8" xfId="18931" xr:uid="{1CA66F2F-4097-4820-A9C6-4269157B05C7}"/>
    <cellStyle name="Note 5 2 2 3" xfId="9758" xr:uid="{4BDD0DED-7F14-4867-8227-8799C0BEB709}"/>
    <cellStyle name="Note 5 2 2 3 2" xfId="14162" xr:uid="{BBDB2312-C7C7-4E79-8C28-1452FD88BA9D}"/>
    <cellStyle name="Note 5 2 2 3 3" xfId="15122" xr:uid="{DB18253B-C385-47B9-880B-ADB87CF665A0}"/>
    <cellStyle name="Note 5 2 2 3 4" xfId="16074" xr:uid="{4685BC4E-3007-4169-898E-E87EC988CB8F}"/>
    <cellStyle name="Note 5 2 2 3 5" xfId="16948" xr:uid="{6C93C7A0-FBF2-49F9-9731-C9828F3B8E5C}"/>
    <cellStyle name="Note 5 2 2 3 6" xfId="17813" xr:uid="{CF6FCA72-E470-478F-B40B-65C530D1D111}"/>
    <cellStyle name="Note 5 2 2 3 7" xfId="18589" xr:uid="{329015C4-0A9A-469B-9201-D0A7E5A98ECB}"/>
    <cellStyle name="Note 5 2 2 3 8" xfId="19346" xr:uid="{5509B261-8822-4D8E-962D-B2B7889B69E8}"/>
    <cellStyle name="Note 5 2 2 4" xfId="12722" xr:uid="{14FB9695-2965-40B0-90EC-0239F7CADE78}"/>
    <cellStyle name="Note 5 2 2 5" xfId="10219" xr:uid="{554AEB0E-731F-48AA-BA5C-8FB0B2E6954F}"/>
    <cellStyle name="Note 5 2 2 6" xfId="13054" xr:uid="{F5198055-B54A-44CA-A886-C5EDA67F9561}"/>
    <cellStyle name="Note 5 2 2 7" xfId="9949" xr:uid="{9AFDF589-6E8A-4472-A79F-3707AC15D1DA}"/>
    <cellStyle name="Note 5 2 2 8" xfId="13195" xr:uid="{519AA996-102C-4A74-B59C-6BE0F407C471}"/>
    <cellStyle name="Note 5 2 2 9" xfId="9846" xr:uid="{29B8283F-B648-4E14-B22F-E62196262B0A}"/>
    <cellStyle name="Note 5 2 3" xfId="8467" xr:uid="{EAE10023-C2DD-40B8-BFBA-B96103DEE02F}"/>
    <cellStyle name="Note 5 2 3 2" xfId="13207" xr:uid="{2274B6B6-AF73-4040-9238-3EBD1F300BB1}"/>
    <cellStyle name="Note 5 2 3 3" xfId="14227" xr:uid="{EE04056C-E13A-4C66-813E-26098A90C102}"/>
    <cellStyle name="Note 5 2 3 4" xfId="15187" xr:uid="{6FFC354B-2042-4119-9BF5-660772F91714}"/>
    <cellStyle name="Note 5 2 3 5" xfId="16136" xr:uid="{2DD24319-AA32-4032-9E5C-3BC977432080}"/>
    <cellStyle name="Note 5 2 3 6" xfId="17009" xr:uid="{331EC362-6ECE-4A70-9D1C-D9B8613DBE6C}"/>
    <cellStyle name="Note 5 2 3 7" xfId="17874" xr:uid="{EB5ED2D7-6BDD-43A4-A9D9-07E975D2EEF7}"/>
    <cellStyle name="Note 5 2 3 8" xfId="18650" xr:uid="{AE770F0A-34FF-4413-BE81-4E3A802132DA}"/>
    <cellStyle name="Note 5 2 4" xfId="9477" xr:uid="{851D9DC5-DEEB-416B-9C90-787D993FAE60}"/>
    <cellStyle name="Note 5 2 4 2" xfId="13881" xr:uid="{1AB00BFC-9EFE-4C31-933B-1123041909CC}"/>
    <cellStyle name="Note 5 2 4 3" xfId="14841" xr:uid="{80178279-AB4B-415E-8BCF-82AA08A11D61}"/>
    <cellStyle name="Note 5 2 4 4" xfId="15793" xr:uid="{76391A7B-B3C9-40D1-891E-EFD9216CC78C}"/>
    <cellStyle name="Note 5 2 4 5" xfId="16667" xr:uid="{ECC381C6-A3EF-451E-B6E6-36C75960F398}"/>
    <cellStyle name="Note 5 2 4 6" xfId="17532" xr:uid="{95F5EA25-8555-404E-AAD9-985298263E3D}"/>
    <cellStyle name="Note 5 2 4 7" xfId="18308" xr:uid="{2D252ECC-7883-482C-A5DD-8CCA1A6F867E}"/>
    <cellStyle name="Note 5 2 4 8" xfId="19065" xr:uid="{47CE9AF9-119B-4956-AFB3-3C5FC0120CD1}"/>
    <cellStyle name="Note 5 2 5" xfId="12178" xr:uid="{6A0255BC-45B7-4417-9429-5B8353A322E6}"/>
    <cellStyle name="Note 5 2 6" xfId="10687" xr:uid="{BCB18472-CC1F-4989-8ECA-F0E6FDB96FC2}"/>
    <cellStyle name="Note 5 2 7" xfId="13033" xr:uid="{1A4FA5C7-FE28-4FD2-BE0B-3DAC3CC4E518}"/>
    <cellStyle name="Note 5 2 8" xfId="9967" xr:uid="{DA257A62-C668-46BD-A75D-96C8B72039B6}"/>
    <cellStyle name="Note 5 2 9" xfId="13192" xr:uid="{517FA06B-3A2D-4D2E-BE5C-889D9B5E5478}"/>
    <cellStyle name="Note 5 3" xfId="7141" xr:uid="{AE291EED-7898-4399-B89B-1E03110C4286}"/>
    <cellStyle name="Note 5 3 10" xfId="17341" xr:uid="{B388661D-3B66-4DF1-A571-3905786A53C2}"/>
    <cellStyle name="Note 5 3 2" xfId="8781" xr:uid="{2242E8E5-4E50-45D8-A618-431B7FE375B9}"/>
    <cellStyle name="Note 5 3 2 2" xfId="13441" xr:uid="{80ED4BE7-0884-4884-82F2-9377577FA383}"/>
    <cellStyle name="Note 5 3 2 3" xfId="14447" xr:uid="{FAD8F562-237B-474A-937A-84BDABAE38B9}"/>
    <cellStyle name="Note 5 3 2 4" xfId="15405" xr:uid="{D4224C09-B476-41D3-908E-CB2AD3F02934}"/>
    <cellStyle name="Note 5 3 2 5" xfId="16332" xr:uid="{B46726D7-C6BF-4C1A-8223-82F2FEF54424}"/>
    <cellStyle name="Note 5 3 2 6" xfId="17203" xr:uid="{EDADCC76-F941-4483-ACD7-AEF1F62FCD55}"/>
    <cellStyle name="Note 5 3 2 7" xfId="18050" xr:uid="{574B3BC1-43BD-4E31-A736-72E36DFCB0C5}"/>
    <cellStyle name="Note 5 3 2 8" xfId="18817" xr:uid="{F13B08AE-5525-4021-8A76-0D06025FEF14}"/>
    <cellStyle name="Note 5 3 3" xfId="9644" xr:uid="{1BBDAD1A-4B5E-46CF-BCBB-437B60999975}"/>
    <cellStyle name="Note 5 3 3 2" xfId="14048" xr:uid="{2F3B046E-D5D7-4C51-BC59-5FB5C334674E}"/>
    <cellStyle name="Note 5 3 3 3" xfId="15008" xr:uid="{EB7B7FB7-69C1-4E2F-A19C-F063CC130152}"/>
    <cellStyle name="Note 5 3 3 4" xfId="15960" xr:uid="{F57941C7-A2F4-445D-8613-A42F72D2207E}"/>
    <cellStyle name="Note 5 3 3 5" xfId="16834" xr:uid="{1BCD919B-06E7-416F-AF35-7A45CE4D69B7}"/>
    <cellStyle name="Note 5 3 3 6" xfId="17699" xr:uid="{5AFE33E1-3A6D-4A64-9B50-665CE11CDB24}"/>
    <cellStyle name="Note 5 3 3 7" xfId="18475" xr:uid="{3A93DBDC-9880-4733-9CB3-B49428A567F5}"/>
    <cellStyle name="Note 5 3 3 8" xfId="19232" xr:uid="{E0673C62-E9D6-4186-B9C2-4EF5CE4E6C6A}"/>
    <cellStyle name="Note 5 3 4" xfId="12411" xr:uid="{971FC4A8-D962-4CDC-A548-6739DDD57713}"/>
    <cellStyle name="Note 5 3 5" xfId="10467" xr:uid="{65C66DDA-D5B4-43A9-9A0F-66ACCFD2F7FE}"/>
    <cellStyle name="Note 5 3 6" xfId="13649" xr:uid="{E975BB7C-C056-4510-BBD8-25E66CEDF78D}"/>
    <cellStyle name="Note 5 3 7" xfId="14625" xr:uid="{D43A59A4-9B73-410D-8E30-2F130D475547}"/>
    <cellStyle name="Note 5 3 8" xfId="15577" xr:uid="{8BFEBA3D-7C4C-4F9D-B8CB-58ABDA6ABC6C}"/>
    <cellStyle name="Note 5 3 9" xfId="16472" xr:uid="{EC975005-EC6E-4D8E-A89B-F4332DA1DEEB}"/>
    <cellStyle name="Note 5 4" xfId="7983" xr:uid="{6D103FAB-CDEA-448A-987C-CD146AFB887A}"/>
    <cellStyle name="Note 5 4 2" xfId="12952" xr:uid="{EBE97370-42AA-4573-B575-D5B81E3016D7}"/>
    <cellStyle name="Note 5 4 3" xfId="10038" xr:uid="{30886A98-7E40-483C-973D-693BF0D65F28}"/>
    <cellStyle name="Note 5 4 4" xfId="12686" xr:uid="{2ED772A1-6751-4A20-8033-6FF0FA18CD7C}"/>
    <cellStyle name="Note 5 4 5" xfId="10235" xr:uid="{3F8F332A-E837-4236-9BED-FD3A5B7C16E7}"/>
    <cellStyle name="Note 5 4 6" xfId="13162" xr:uid="{50C71012-339A-4238-B609-605160D1B555}"/>
    <cellStyle name="Note 5 4 7" xfId="9873" xr:uid="{C98B3FB1-EA83-4DAB-9BB3-05DC59C8B710}"/>
    <cellStyle name="Note 5 4 8" xfId="12006" xr:uid="{7C2334DA-1B71-46DD-AD74-DE013BF7CFAE}"/>
    <cellStyle name="Note 5 5" xfId="9416" xr:uid="{FB0AA9A4-B7BE-4002-B696-61121AB9EDE4}"/>
    <cellStyle name="Note 5 5 2" xfId="13820" xr:uid="{B5707ED4-2650-40BF-919D-9C0A4277E550}"/>
    <cellStyle name="Note 5 5 3" xfId="14780" xr:uid="{9BBD0263-22E0-4A0F-AB70-B2E8D4B987B9}"/>
    <cellStyle name="Note 5 5 4" xfId="15732" xr:uid="{32D0154E-308A-424C-AA6A-58C111AD72C0}"/>
    <cellStyle name="Note 5 5 5" xfId="16606" xr:uid="{EF2C8EC3-EBA5-46C9-ACB9-E531A3DF9E29}"/>
    <cellStyle name="Note 5 5 6" xfId="17471" xr:uid="{C8A04430-FE15-4EC4-937C-8B5BB06DB887}"/>
    <cellStyle name="Note 5 5 7" xfId="18247" xr:uid="{617B0C45-4A54-4DDE-A539-5B7B307DFF51}"/>
    <cellStyle name="Note 5 5 8" xfId="19004" xr:uid="{1C970F58-E3FE-4FED-BC10-E74498510C5D}"/>
    <cellStyle name="Note 5 6" xfId="11857" xr:uid="{813C4C3C-A935-459B-8ADF-F04D2ADEDA9E}"/>
    <cellStyle name="Note 5 7" xfId="10956" xr:uid="{986F37C3-0687-4043-8C2D-F1B94EF701CB}"/>
    <cellStyle name="Note 5 8" xfId="11476" xr:uid="{32292784-FCC7-43AC-BC44-D97F3955EA6F}"/>
    <cellStyle name="Note 5 9" xfId="11254" xr:uid="{1719AA49-980F-41C8-B68F-8AF775A9AAD3}"/>
    <cellStyle name="Note 6" xfId="6216" xr:uid="{C5344521-014A-4F04-9CD4-FA771407F306}"/>
    <cellStyle name="Note 6 10" xfId="13801" xr:uid="{5D6CA489-2043-415D-9713-CC6B0FE340DF}"/>
    <cellStyle name="Note 6 11" xfId="14763" xr:uid="{540C2FF3-5BDD-4DB8-AC1E-40840717C928}"/>
    <cellStyle name="Note 6 12" xfId="15715" xr:uid="{FA546285-2142-40F8-9C28-D91AEBDFC626}"/>
    <cellStyle name="Note 6 2" xfId="6826" xr:uid="{CFBFC905-BF38-4072-A782-D3CFF207DD04}"/>
    <cellStyle name="Note 6 2 10" xfId="16440" xr:uid="{490F6C5A-0999-40F9-B66E-3E3AEC871EAD}"/>
    <cellStyle name="Note 6 2 11" xfId="17311" xr:uid="{439116F3-E21B-4CF8-A9F6-7C87165D4E6D}"/>
    <cellStyle name="Note 6 2 2" xfId="7665" xr:uid="{CD2A55AD-D50A-44E1-8127-2140E4EE760F}"/>
    <cellStyle name="Note 6 2 2 10" xfId="10782" xr:uid="{893C1DF5-370D-4BE2-93C7-4A8378AD41D3}"/>
    <cellStyle name="Note 6 2 2 2" xfId="9305" xr:uid="{103E2C6C-7DFB-4E16-9A8C-EC4231077E9E}"/>
    <cellStyle name="Note 6 2 2 2 2" xfId="13739" xr:uid="{131C331E-4B4B-4036-8378-1B40A5100AE2}"/>
    <cellStyle name="Note 6 2 2 2 3" xfId="14701" xr:uid="{7CCAABB4-7708-4182-A387-55CA6A6CE38C}"/>
    <cellStyle name="Note 6 2 2 2 4" xfId="15653" xr:uid="{F33F5346-82C0-4C44-BFF9-CA7B877BF202}"/>
    <cellStyle name="Note 6 2 2 2 5" xfId="16533" xr:uid="{2EE54B42-BB09-461D-9265-535C6F520AA9}"/>
    <cellStyle name="Note 6 2 2 2 6" xfId="17399" xr:uid="{24E311EB-3CF6-4199-85FF-422249D244A7}"/>
    <cellStyle name="Note 6 2 2 2 7" xfId="18175" xr:uid="{3186990C-F662-497B-BC20-5568EF858637}"/>
    <cellStyle name="Note 6 2 2 2 8" xfId="18932" xr:uid="{38837AD7-641C-468B-968E-3D25A57730FB}"/>
    <cellStyle name="Note 6 2 2 3" xfId="9759" xr:uid="{A6E2338D-9A49-41B2-A9BE-4B155911EFD2}"/>
    <cellStyle name="Note 6 2 2 3 2" xfId="14163" xr:uid="{814B8946-33BB-4877-AE4E-F0C74E9D1C40}"/>
    <cellStyle name="Note 6 2 2 3 3" xfId="15123" xr:uid="{CF88CA6D-F4F0-4939-9D53-0A045BF5C064}"/>
    <cellStyle name="Note 6 2 2 3 4" xfId="16075" xr:uid="{D3A5F3D7-3F71-4741-8EED-37C49B312CC2}"/>
    <cellStyle name="Note 6 2 2 3 5" xfId="16949" xr:uid="{F19FF166-4A82-475B-92FD-80EDA30F61CD}"/>
    <cellStyle name="Note 6 2 2 3 6" xfId="17814" xr:uid="{9A625CE4-38A4-410E-B276-9CF9B0F55FA9}"/>
    <cellStyle name="Note 6 2 2 3 7" xfId="18590" xr:uid="{4FD184AE-BD0F-4A36-B571-101CD78FBCFA}"/>
    <cellStyle name="Note 6 2 2 3 8" xfId="19347" xr:uid="{D4AE9706-5985-4CA7-BC3F-67943BE6796C}"/>
    <cellStyle name="Note 6 2 2 4" xfId="12723" xr:uid="{518BA727-67A2-4DB8-95A7-59C7BD0804D6}"/>
    <cellStyle name="Note 6 2 2 5" xfId="12822" xr:uid="{64930160-8102-487C-9FC9-1EFE644E3220}"/>
    <cellStyle name="Note 6 2 2 6" xfId="10152" xr:uid="{492A02A3-5561-4733-AD4B-6D609FB0D4C9}"/>
    <cellStyle name="Note 6 2 2 7" xfId="11795" xr:uid="{3D40AC23-DF4A-4B1F-9AC9-766DD3B1C6FB}"/>
    <cellStyle name="Note 6 2 2 8" xfId="11009" xr:uid="{FCDF2B46-65A9-4DD1-AF5A-8347F12C140D}"/>
    <cellStyle name="Note 6 2 2 9" xfId="12064" xr:uid="{07592CA5-84A8-4C00-85DF-D20AD1620FA9}"/>
    <cellStyle name="Note 6 2 3" xfId="8466" xr:uid="{2CE15173-2903-4977-A199-B0E58BA603B0}"/>
    <cellStyle name="Note 6 2 3 2" xfId="13206" xr:uid="{9D3F5280-8209-4D30-9FF2-5101A45ECE66}"/>
    <cellStyle name="Note 6 2 3 3" xfId="14226" xr:uid="{3FDB1DFB-7035-4D5E-A1F7-8D7501899F0F}"/>
    <cellStyle name="Note 6 2 3 4" xfId="15186" xr:uid="{FC208DBE-1A12-48F1-8F0B-FCDFF7C54BDD}"/>
    <cellStyle name="Note 6 2 3 5" xfId="16135" xr:uid="{F5F76E54-3D2E-4B72-B9F5-819551B5576F}"/>
    <cellStyle name="Note 6 2 3 6" xfId="17008" xr:uid="{B82EF231-A3D2-4346-9DB7-3ACF305C36FB}"/>
    <cellStyle name="Note 6 2 3 7" xfId="17873" xr:uid="{7F5079E6-E097-4D9B-93E1-5F4301EFE644}"/>
    <cellStyle name="Note 6 2 3 8" xfId="18649" xr:uid="{55FFE5BB-E5E8-4528-B8D5-D3E07395BF2F}"/>
    <cellStyle name="Note 6 2 4" xfId="9476" xr:uid="{003FA485-D410-485F-B81E-ECA65BD56552}"/>
    <cellStyle name="Note 6 2 4 2" xfId="13880" xr:uid="{D9FAFB34-C192-4CF8-AD43-E67D19A581FE}"/>
    <cellStyle name="Note 6 2 4 3" xfId="14840" xr:uid="{45AAC70E-6962-4529-9957-35479727DAFA}"/>
    <cellStyle name="Note 6 2 4 4" xfId="15792" xr:uid="{2344B137-63A1-4B37-88C4-20679900C5A5}"/>
    <cellStyle name="Note 6 2 4 5" xfId="16666" xr:uid="{FB25675B-676A-411A-90C9-C5CC3339F9C7}"/>
    <cellStyle name="Note 6 2 4 6" xfId="17531" xr:uid="{635AC11E-3CE4-4623-B683-4C7A6C53674A}"/>
    <cellStyle name="Note 6 2 4 7" xfId="18307" xr:uid="{5A10F0ED-F0EC-4230-80C2-E3BF008D89BD}"/>
    <cellStyle name="Note 6 2 4 8" xfId="19064" xr:uid="{EA58E2DB-26A7-4184-9502-CADA9B7C2FF4}"/>
    <cellStyle name="Note 6 2 5" xfId="12177" xr:uid="{21C36C36-BC6C-4136-8335-5DE14A8C1DF7}"/>
    <cellStyle name="Note 6 2 6" xfId="10688" xr:uid="{A37B91D9-E927-457E-8A09-25E3BE72BE22}"/>
    <cellStyle name="Note 6 2 7" xfId="13610" xr:uid="{06F13119-E3CB-420D-A3D4-0D9024E025E2}"/>
    <cellStyle name="Note 6 2 8" xfId="14588" xr:uid="{D979BC38-149C-4983-BA91-C33B9E73EEED}"/>
    <cellStyle name="Note 6 2 9" xfId="15541" xr:uid="{765865B3-856D-4FAB-9D62-CFB47619E6B6}"/>
    <cellStyle name="Note 6 3" xfId="7142" xr:uid="{DCAF2E23-AE7C-45E0-8057-DC11D4146EC1}"/>
    <cellStyle name="Note 6 3 10" xfId="12882" xr:uid="{8B8BF092-C29B-4607-8F56-CE3C4C6BBF4B}"/>
    <cellStyle name="Note 6 3 2" xfId="8782" xr:uid="{87335F39-5E0D-4D72-A9A4-B08FDF9053EF}"/>
    <cellStyle name="Note 6 3 2 2" xfId="13442" xr:uid="{FB3DA23A-EE2A-4E51-98C0-FA3A6610385E}"/>
    <cellStyle name="Note 6 3 2 3" xfId="14448" xr:uid="{9AB81947-3EFB-447D-B2A3-7A6D38566586}"/>
    <cellStyle name="Note 6 3 2 4" xfId="15406" xr:uid="{D94C084F-E586-48AB-8FB1-C65271958218}"/>
    <cellStyle name="Note 6 3 2 5" xfId="16333" xr:uid="{B9150142-7B0C-4CD6-9DCF-01D3323CA6F1}"/>
    <cellStyle name="Note 6 3 2 6" xfId="17204" xr:uid="{41340249-D993-4710-8983-C22BCD6B9FF9}"/>
    <cellStyle name="Note 6 3 2 7" xfId="18051" xr:uid="{0E878BAD-178F-497A-9530-0EDAC5ED3656}"/>
    <cellStyle name="Note 6 3 2 8" xfId="18818" xr:uid="{4931FD14-D43B-4158-A81D-31D325EBEC63}"/>
    <cellStyle name="Note 6 3 3" xfId="9645" xr:uid="{E454FF96-10BF-47CB-AE3C-222C3FCC9584}"/>
    <cellStyle name="Note 6 3 3 2" xfId="14049" xr:uid="{623C069F-28C4-499C-99D4-749F215FDBDA}"/>
    <cellStyle name="Note 6 3 3 3" xfId="15009" xr:uid="{ED9DAA26-1E0E-409A-B962-588C8577069E}"/>
    <cellStyle name="Note 6 3 3 4" xfId="15961" xr:uid="{E4F98FE5-767E-405F-94F9-24F23C931411}"/>
    <cellStyle name="Note 6 3 3 5" xfId="16835" xr:uid="{CDA73661-FD6F-4174-B13B-9D49B76D1DA2}"/>
    <cellStyle name="Note 6 3 3 6" xfId="17700" xr:uid="{95B79BE2-E983-4E35-8E13-F638770C4BCD}"/>
    <cellStyle name="Note 6 3 3 7" xfId="18476" xr:uid="{C09D49C7-74C4-4207-B00B-B08296FB2161}"/>
    <cellStyle name="Note 6 3 3 8" xfId="19233" xr:uid="{0EC3BD6C-AD01-45E7-8CC1-C54FB15C5656}"/>
    <cellStyle name="Note 6 3 4" xfId="12412" xr:uid="{B17E10E2-97AB-415E-93E6-C66BD00D1B00}"/>
    <cellStyle name="Note 6 3 5" xfId="10466" xr:uid="{345757A3-9F94-4292-AE5C-DA2263C69DD9}"/>
    <cellStyle name="Note 6 3 6" xfId="13041" xr:uid="{7F19AD1E-E0E5-45CC-B053-89AFC4B5A0C6}"/>
    <cellStyle name="Note 6 3 7" xfId="9961" xr:uid="{9B63FCDA-F05E-4AC4-B10A-CAEAA58EE594}"/>
    <cellStyle name="Note 6 3 8" xfId="11832" xr:uid="{B94B0839-C4A4-4295-B761-9872229E3DEF}"/>
    <cellStyle name="Note 6 3 9" xfId="10978" xr:uid="{B192241D-8269-4762-8D61-65C8E4E2DA39}"/>
    <cellStyle name="Note 6 4" xfId="7984" xr:uid="{409AFF2D-07D0-4E1F-B261-5A0B61DBA4A4}"/>
    <cellStyle name="Note 6 4 2" xfId="12953" xr:uid="{DF3C794E-BBE4-47C7-8995-18A36094000C}"/>
    <cellStyle name="Note 6 4 3" xfId="10037" xr:uid="{A89E4196-124B-42C8-8B92-3B1128AB6463}"/>
    <cellStyle name="Note 6 4 4" xfId="13706" xr:uid="{AA89A733-3FF7-4E33-A276-428CBDA4B365}"/>
    <cellStyle name="Note 6 4 5" xfId="14670" xr:uid="{B3AD01A1-5351-4858-9B86-AE2E84F71B49}"/>
    <cellStyle name="Note 6 4 6" xfId="15622" xr:uid="{02E18802-9FC2-4BEE-A1A5-9F1CCF4129F1}"/>
    <cellStyle name="Note 6 4 7" xfId="16504" xr:uid="{FE3395D5-44B0-45B8-8D5B-06101D86E6DF}"/>
    <cellStyle name="Note 6 4 8" xfId="17372" xr:uid="{4DD6F34B-18AF-4DCE-88B0-45AD851BE90E}"/>
    <cellStyle name="Note 6 5" xfId="9417" xr:uid="{E3AD745D-CA50-46C8-B18B-AEA0EB0A6EBB}"/>
    <cellStyle name="Note 6 5 2" xfId="13821" xr:uid="{8C609216-98DC-4336-AF2F-0EC159B9B81F}"/>
    <cellStyle name="Note 6 5 3" xfId="14781" xr:uid="{92B8E6C4-7E48-4E82-B869-0ED30B481B19}"/>
    <cellStyle name="Note 6 5 4" xfId="15733" xr:uid="{666C17B8-9FE5-42E9-8472-3C1A7A1CECDA}"/>
    <cellStyle name="Note 6 5 5" xfId="16607" xr:uid="{988D6846-CE10-48BF-A40A-64262AE2366F}"/>
    <cellStyle name="Note 6 5 6" xfId="17472" xr:uid="{75FC97F7-5385-41EF-9428-B97C9BB8C7E6}"/>
    <cellStyle name="Note 6 5 7" xfId="18248" xr:uid="{947157CF-6505-47D8-8A04-68B1DABE8095}"/>
    <cellStyle name="Note 6 5 8" xfId="19005" xr:uid="{702DAD22-462F-44AE-B20C-8BFF70AC8215}"/>
    <cellStyle name="Note 6 6" xfId="11858" xr:uid="{6547674D-24A8-4DB5-8ED7-01F567783C0C}"/>
    <cellStyle name="Note 6 7" xfId="10955" xr:uid="{1C79D047-FD41-4010-B733-FFB163BB9B67}"/>
    <cellStyle name="Note 6 8" xfId="11477" xr:uid="{6B5914BE-FE6A-45E2-A019-A4006C8DB065}"/>
    <cellStyle name="Note 6 9" xfId="11253" xr:uid="{04CE4FEB-C79C-4A01-A2FE-5A9DC499E887}"/>
    <cellStyle name="Note 7" xfId="6217" xr:uid="{BDC73D46-9434-4443-99B9-E326BDF09149}"/>
    <cellStyle name="Note 7 10" xfId="13324" xr:uid="{030FD351-757D-41F8-9108-FB0626C80121}"/>
    <cellStyle name="Note 7 11" xfId="14340" xr:uid="{A8646BC8-6B16-471F-9620-F1F92961DB02}"/>
    <cellStyle name="Note 7 12" xfId="15300" xr:uid="{1C2F26F4-6561-432C-A087-DBAA57D98FA9}"/>
    <cellStyle name="Note 7 2" xfId="6937" xr:uid="{866B6BFF-87D9-403B-AA98-9E0BFAB2D39F}"/>
    <cellStyle name="Note 7 2 10" xfId="11123" xr:uid="{F4F7E14A-2C50-488F-B2CC-0448FAEF3553}"/>
    <cellStyle name="Note 7 2 11" xfId="12872" xr:uid="{36AD849C-4E91-44ED-B3D8-9C911BFB6C26}"/>
    <cellStyle name="Note 7 2 2" xfId="7666" xr:uid="{77FB44D9-39CF-4A90-847D-1BEBA1C24465}"/>
    <cellStyle name="Note 7 2 2 10" xfId="18011" xr:uid="{37D18DC4-AF0A-43C9-8E32-658D6A8E3827}"/>
    <cellStyle name="Note 7 2 2 2" xfId="9306" xr:uid="{34A27126-62D8-4FDD-AE7A-3116D308FCD9}"/>
    <cellStyle name="Note 7 2 2 2 2" xfId="13740" xr:uid="{E544F118-BBAC-4AF3-B80A-51275F3640D3}"/>
    <cellStyle name="Note 7 2 2 2 3" xfId="14702" xr:uid="{6C437021-DDDF-4EE7-8C1A-49C701538547}"/>
    <cellStyle name="Note 7 2 2 2 4" xfId="15654" xr:uid="{815DCCDB-970C-4371-AF5A-704413B6C530}"/>
    <cellStyle name="Note 7 2 2 2 5" xfId="16534" xr:uid="{E074E831-409B-44BD-9887-820BEB603BA1}"/>
    <cellStyle name="Note 7 2 2 2 6" xfId="17400" xr:uid="{6D937E51-A58A-4EF2-AC2F-38E491EE004E}"/>
    <cellStyle name="Note 7 2 2 2 7" xfId="18176" xr:uid="{8DAB6976-3C17-44F5-A27C-94D4FC59FF61}"/>
    <cellStyle name="Note 7 2 2 2 8" xfId="18933" xr:uid="{4C6A3953-6244-47B2-B04A-26BEAF13EC7A}"/>
    <cellStyle name="Note 7 2 2 3" xfId="9760" xr:uid="{8F3CBA13-171C-4F24-8DAC-D8BCEB85C45B}"/>
    <cellStyle name="Note 7 2 2 3 2" xfId="14164" xr:uid="{114D1149-8116-4A7F-B1E4-F9939F42D576}"/>
    <cellStyle name="Note 7 2 2 3 3" xfId="15124" xr:uid="{ADED5FDC-66DB-40F0-9992-A36CBBA237FF}"/>
    <cellStyle name="Note 7 2 2 3 4" xfId="16076" xr:uid="{1595B3C6-17A5-4F72-A51F-03D163F38D33}"/>
    <cellStyle name="Note 7 2 2 3 5" xfId="16950" xr:uid="{02B8B4D5-E5C2-4AFA-A3E6-6C6EC16607E4}"/>
    <cellStyle name="Note 7 2 2 3 6" xfId="17815" xr:uid="{458C539A-A751-4CA9-A891-094ECF16A99B}"/>
    <cellStyle name="Note 7 2 2 3 7" xfId="18591" xr:uid="{A0395B24-80B2-49BB-9095-482713EC116E}"/>
    <cellStyle name="Note 7 2 2 3 8" xfId="19348" xr:uid="{107BAE48-C9EF-49A9-80AD-86C2DC2DF1E9}"/>
    <cellStyle name="Note 7 2 2 4" xfId="12724" xr:uid="{70C9E6D6-3FBB-49F3-861D-35BE9849804D}"/>
    <cellStyle name="Note 7 2 2 5" xfId="13357" xr:uid="{4739908C-8ADB-46CD-A581-ADFFACA9F30D}"/>
    <cellStyle name="Note 7 2 2 6" xfId="14371" xr:uid="{8F13B8A4-6B0D-43AC-81AE-E2CEB95AC5A9}"/>
    <cellStyle name="Note 7 2 2 7" xfId="15329" xr:uid="{25514A01-4A45-4111-85CC-A4D0BE8BD845}"/>
    <cellStyle name="Note 7 2 2 8" xfId="16273" xr:uid="{FBAA8152-A4A4-4C04-A15C-A5FCB038CEDC}"/>
    <cellStyle name="Note 7 2 2 9" xfId="17146" xr:uid="{C1B85E58-80C0-4CFC-BF79-B74F2D367F5D}"/>
    <cellStyle name="Note 7 2 3" xfId="8577" xr:uid="{EAA70486-A022-4878-8D39-7D055BE6095A}"/>
    <cellStyle name="Note 7 2 3 2" xfId="13317" xr:uid="{D1F6CCD1-3956-4C9E-9966-EB599DE18509}"/>
    <cellStyle name="Note 7 2 3 3" xfId="14337" xr:uid="{FD7BEAD5-ADDE-4F0E-8DD2-208EE927032D}"/>
    <cellStyle name="Note 7 2 3 4" xfId="15297" xr:uid="{5D480947-B410-4D66-8F2D-D064FE2EAFB9}"/>
    <cellStyle name="Note 7 2 3 5" xfId="16246" xr:uid="{8F84841D-616D-4C2D-B331-756F1468D52C}"/>
    <cellStyle name="Note 7 2 3 6" xfId="17119" xr:uid="{3C3A5B0E-BA2D-43A9-B52F-D6F58E9CFE4E}"/>
    <cellStyle name="Note 7 2 3 7" xfId="17984" xr:uid="{BDF73D56-5B94-4B1B-A8A3-51FE56DCFCF6}"/>
    <cellStyle name="Note 7 2 3 8" xfId="18760" xr:uid="{A81D79E0-515A-4651-BC47-EEDA6F27F138}"/>
    <cellStyle name="Note 7 2 4" xfId="9587" xr:uid="{AEB24374-266B-459E-BA05-0C15BA6549F3}"/>
    <cellStyle name="Note 7 2 4 2" xfId="13991" xr:uid="{34FD3F17-12F9-4E4E-8FF1-538E2EAF56C7}"/>
    <cellStyle name="Note 7 2 4 3" xfId="14951" xr:uid="{E5DFC233-8C32-4943-9B05-5976283B4D64}"/>
    <cellStyle name="Note 7 2 4 4" xfId="15903" xr:uid="{0D685754-2B59-4EA3-8873-2BE5F119FF21}"/>
    <cellStyle name="Note 7 2 4 5" xfId="16777" xr:uid="{3CB13D0B-8C58-40C4-ABF6-D19A272A1D1B}"/>
    <cellStyle name="Note 7 2 4 6" xfId="17642" xr:uid="{9C29073B-81C3-49C9-8D6E-990A12B0F457}"/>
    <cellStyle name="Note 7 2 4 7" xfId="18418" xr:uid="{79405896-373C-44FF-A8B8-577DDACB9975}"/>
    <cellStyle name="Note 7 2 4 8" xfId="19175" xr:uid="{98B69FEB-CE7F-40BB-91B9-277B24382F8A}"/>
    <cellStyle name="Note 7 2 5" xfId="12288" xr:uid="{89DB4128-0FE9-4985-8B38-A8CC48977135}"/>
    <cellStyle name="Note 7 2 6" xfId="10577" xr:uid="{803940F6-5D47-40C8-B17D-37DDFE10B22E}"/>
    <cellStyle name="Note 7 2 7" xfId="12090" xr:uid="{F884A0B0-0ED0-4217-BA4F-64C3823EF02D}"/>
    <cellStyle name="Note 7 2 8" xfId="10760" xr:uid="{4701D890-803D-4D1C-A4AD-B1D136E8E224}"/>
    <cellStyle name="Note 7 2 9" xfId="11654" xr:uid="{195C8298-CFB6-4CF4-8313-2A56EB31BEA3}"/>
    <cellStyle name="Note 7 3" xfId="7143" xr:uid="{FDFE44CA-DAA7-4C78-883C-5D40F426BA2E}"/>
    <cellStyle name="Note 7 3 10" xfId="13580" xr:uid="{29F26E78-C633-4D95-849F-9C89F6D047FC}"/>
    <cellStyle name="Note 7 3 2" xfId="8783" xr:uid="{BDC29953-B681-451E-9102-8A393D204F54}"/>
    <cellStyle name="Note 7 3 2 2" xfId="13443" xr:uid="{B0BB3931-8CCE-40D3-B000-A408F7F6EEA6}"/>
    <cellStyle name="Note 7 3 2 3" xfId="14449" xr:uid="{B1A38AA0-EE57-4DBD-8C12-1685F8BE486B}"/>
    <cellStyle name="Note 7 3 2 4" xfId="15407" xr:uid="{32763AAC-0503-4132-8DFA-53D901964B98}"/>
    <cellStyle name="Note 7 3 2 5" xfId="16334" xr:uid="{6167543C-9E98-4596-9729-A209C1475F99}"/>
    <cellStyle name="Note 7 3 2 6" xfId="17205" xr:uid="{C5FDDC17-D807-45BA-A3B9-17C1645B11A2}"/>
    <cellStyle name="Note 7 3 2 7" xfId="18052" xr:uid="{4E25DA5B-94CA-4AA1-8390-C0F27AF987E2}"/>
    <cellStyle name="Note 7 3 2 8" xfId="18819" xr:uid="{52F748EC-ABD4-4F75-828E-F6E9E3D624ED}"/>
    <cellStyle name="Note 7 3 3" xfId="9646" xr:uid="{DBB7BC8B-EB01-48FD-8AB0-43750F0160B8}"/>
    <cellStyle name="Note 7 3 3 2" xfId="14050" xr:uid="{BA71CD60-F87D-4500-A642-A9CDD5B36C6D}"/>
    <cellStyle name="Note 7 3 3 3" xfId="15010" xr:uid="{A9CD87DF-87A8-4F18-B5BE-43F63A53359E}"/>
    <cellStyle name="Note 7 3 3 4" xfId="15962" xr:uid="{A9D0612E-FC07-4CEB-88AB-D6750B0877D2}"/>
    <cellStyle name="Note 7 3 3 5" xfId="16836" xr:uid="{C4A87322-ECE4-4D1B-9591-8642ECBA7B1D}"/>
    <cellStyle name="Note 7 3 3 6" xfId="17701" xr:uid="{77A857F8-9815-43E2-82B9-02C0C33B6CDC}"/>
    <cellStyle name="Note 7 3 3 7" xfId="18477" xr:uid="{EE58420A-37B3-4A7B-806A-F206F1F57E7F}"/>
    <cellStyle name="Note 7 3 3 8" xfId="19234" xr:uid="{9BB21CA1-1487-4B4C-8508-F56B084E5FF2}"/>
    <cellStyle name="Note 7 3 4" xfId="12413" xr:uid="{A12AB74F-8722-42B2-A1D6-F7D788292A60}"/>
    <cellStyle name="Note 7 3 5" xfId="10465" xr:uid="{3ED38E0F-BA7A-46B3-BC19-920D2A164B7E}"/>
    <cellStyle name="Note 7 3 6" xfId="12377" xr:uid="{3F1CC232-B984-48C9-9F56-C4FD5B3DC81E}"/>
    <cellStyle name="Note 7 3 7" xfId="10498" xr:uid="{C50C0DD9-CC06-4955-84BA-46053B915C11}"/>
    <cellStyle name="Note 7 3 8" xfId="11694" xr:uid="{008C56FC-C00E-4391-AED9-210F816797B6}"/>
    <cellStyle name="Note 7 3 9" xfId="11091" xr:uid="{3B5C86D9-5D67-492F-95D5-162A12E35100}"/>
    <cellStyle name="Note 7 4" xfId="7985" xr:uid="{371C1BA5-CCFC-42E0-89EC-887F58E0FF5C}"/>
    <cellStyle name="Note 7 4 2" xfId="12954" xr:uid="{4459A838-87F5-4262-9174-AE294C9F9341}"/>
    <cellStyle name="Note 7 4 3" xfId="10036" xr:uid="{D829C7E9-B60D-4BDA-B6A6-5ABF73F6CD4F}"/>
    <cellStyle name="Note 7 4 4" xfId="13181" xr:uid="{14E91E5D-04DB-49E9-AB69-DB7E60CACDB1}"/>
    <cellStyle name="Note 7 4 5" xfId="9857" xr:uid="{403CEB83-431E-4334-8771-09791707602A}"/>
    <cellStyle name="Note 7 4 6" xfId="13764" xr:uid="{6EE36E90-8055-48BB-8883-48A4E605BCE8}"/>
    <cellStyle name="Note 7 4 7" xfId="14726" xr:uid="{DBAEDEAD-9DC0-40C4-9123-09EA322668AA}"/>
    <cellStyle name="Note 7 4 8" xfId="15678" xr:uid="{7CBF97B8-D8B6-454A-BE28-414574F5862E}"/>
    <cellStyle name="Note 7 5" xfId="9418" xr:uid="{CAD1EFD9-6F50-47E4-8BD3-58BAB0A6778D}"/>
    <cellStyle name="Note 7 5 2" xfId="13822" xr:uid="{624E808A-9716-48B5-AE9B-BC7B12830B93}"/>
    <cellStyle name="Note 7 5 3" xfId="14782" xr:uid="{93530788-2BD1-4225-8F1E-2D91AE746B6F}"/>
    <cellStyle name="Note 7 5 4" xfId="15734" xr:uid="{28B2CDE7-1E21-4C5F-88F1-4E8CD2F4E344}"/>
    <cellStyle name="Note 7 5 5" xfId="16608" xr:uid="{B95E1AD6-F2EA-44B6-A19F-CC871D03352E}"/>
    <cellStyle name="Note 7 5 6" xfId="17473" xr:uid="{1A87A153-D8C6-4793-B9D0-6033A38D781B}"/>
    <cellStyle name="Note 7 5 7" xfId="18249" xr:uid="{5D499437-E122-40A8-8FE3-E062BE4B3173}"/>
    <cellStyle name="Note 7 5 8" xfId="19006" xr:uid="{61854AA3-5EFC-495E-8B63-E4C5FEA0E00B}"/>
    <cellStyle name="Note 7 6" xfId="11859" xr:uid="{1B48CC77-3CEC-44EF-8564-13881C68A2AA}"/>
    <cellStyle name="Note 7 7" xfId="10954" xr:uid="{EF5EF2B8-EBC2-44BE-9134-3B60DDEE0DAD}"/>
    <cellStyle name="Note 7 8" xfId="11478" xr:uid="{4843EA0B-AD88-48ED-80DC-D5C127CF57D0}"/>
    <cellStyle name="Note 7 9" xfId="11252" xr:uid="{FB3AE5DB-BA41-4705-A378-61B85FD75940}"/>
    <cellStyle name="Note 8" xfId="6218" xr:uid="{C1C5C4A0-0407-45EB-8801-789274C67DEE}"/>
    <cellStyle name="Note 8 10" xfId="12351" xr:uid="{DE7EFB8E-4823-4D96-B6B5-569DF71989F2}"/>
    <cellStyle name="Note 8 11" xfId="10519" xr:uid="{0AB43211-01B2-4BCB-8A0A-2E4D3E50393F}"/>
    <cellStyle name="Note 8 12" xfId="13640" xr:uid="{33295543-0F75-48B9-982B-0AB4593F5A35}"/>
    <cellStyle name="Note 8 2" xfId="6825" xr:uid="{BA2C5661-EA7E-45B1-AD28-53EC1CF75488}"/>
    <cellStyle name="Note 8 2 10" xfId="11051" xr:uid="{2AEA629E-AC63-4C13-95AA-75481212C1C3}"/>
    <cellStyle name="Note 8 2 11" xfId="12562" xr:uid="{00B773DC-FCA7-4410-8C7A-B7CD570EDFC6}"/>
    <cellStyle name="Note 8 2 2" xfId="7667" xr:uid="{0707DE76-57E3-4B25-95D9-47E592DB02FE}"/>
    <cellStyle name="Note 8 2 2 10" xfId="9937" xr:uid="{2EEFCB79-06C7-40C4-B84B-C38FACACE753}"/>
    <cellStyle name="Note 8 2 2 2" xfId="9307" xr:uid="{07DB97B1-CC47-444F-AE8E-7CDED0F3E8E2}"/>
    <cellStyle name="Note 8 2 2 2 2" xfId="13741" xr:uid="{13A9BEE0-DDA8-4DE8-886B-8EA5AFEF4DA2}"/>
    <cellStyle name="Note 8 2 2 2 3" xfId="14703" xr:uid="{86A5E643-4C02-45A4-9D6C-3258A55C9359}"/>
    <cellStyle name="Note 8 2 2 2 4" xfId="15655" xr:uid="{80D706E2-D79B-410A-9C00-484784A8336B}"/>
    <cellStyle name="Note 8 2 2 2 5" xfId="16535" xr:uid="{F728874E-7888-446C-BD77-48F92BC19FE3}"/>
    <cellStyle name="Note 8 2 2 2 6" xfId="17401" xr:uid="{738EB44D-6729-4786-AFE3-D9ECC2B36AF6}"/>
    <cellStyle name="Note 8 2 2 2 7" xfId="18177" xr:uid="{0236F9D3-4258-4988-BAAE-1356F3D27601}"/>
    <cellStyle name="Note 8 2 2 2 8" xfId="18934" xr:uid="{3573642B-8949-4392-B732-2DAC7FEF326D}"/>
    <cellStyle name="Note 8 2 2 3" xfId="9761" xr:uid="{C12BA300-EF38-4FBA-99BE-9ECA8EF3C07B}"/>
    <cellStyle name="Note 8 2 2 3 2" xfId="14165" xr:uid="{1C5378E8-6BDF-44FA-8604-C5E8068CCF96}"/>
    <cellStyle name="Note 8 2 2 3 3" xfId="15125" xr:uid="{75D0278B-572D-4404-8979-523974ED2384}"/>
    <cellStyle name="Note 8 2 2 3 4" xfId="16077" xr:uid="{0657D134-C8F8-4F16-8219-A799ED14AA10}"/>
    <cellStyle name="Note 8 2 2 3 5" xfId="16951" xr:uid="{CEE28795-C145-4339-AF91-422688C541C3}"/>
    <cellStyle name="Note 8 2 2 3 6" xfId="17816" xr:uid="{F6A8DCD8-27C1-4AB2-86E5-0C11064947C0}"/>
    <cellStyle name="Note 8 2 2 3 7" xfId="18592" xr:uid="{0BB98951-AD6C-4B05-AF15-A75BBDE90F7F}"/>
    <cellStyle name="Note 8 2 2 3 8" xfId="19349" xr:uid="{71CD1578-65DC-4E95-8391-F3566961016F}"/>
    <cellStyle name="Note 8 2 2 4" xfId="12725" xr:uid="{C533DAE0-B205-410E-BD11-72CE243D1BD9}"/>
    <cellStyle name="Note 8 2 2 5" xfId="12328" xr:uid="{A9880E4B-2AC3-4712-AA81-706C08766FB5}"/>
    <cellStyle name="Note 8 2 2 6" xfId="10542" xr:uid="{A151FCDB-E7F1-411F-915E-BC24C16F1B75}"/>
    <cellStyle name="Note 8 2 2 7" xfId="13131" xr:uid="{E4D2CBB4-7667-4045-83C1-4C95CEDE12C3}"/>
    <cellStyle name="Note 8 2 2 8" xfId="9896" xr:uid="{624AA85B-25CD-46C3-93AE-C166B7964F76}"/>
    <cellStyle name="Note 8 2 2 9" xfId="13069" xr:uid="{374A896E-B15E-4536-B607-6E9E9772F809}"/>
    <cellStyle name="Note 8 2 3" xfId="8465" xr:uid="{B5267AAD-C640-4911-9538-CE481B2C15FD}"/>
    <cellStyle name="Note 8 2 3 2" xfId="13205" xr:uid="{A54FAFBA-5ACD-446C-86EE-BA6BF46CA7B2}"/>
    <cellStyle name="Note 8 2 3 3" xfId="14225" xr:uid="{34E86E03-BCAC-4828-AAA6-35F1F0C19C91}"/>
    <cellStyle name="Note 8 2 3 4" xfId="15185" xr:uid="{FC09555C-689C-4B8F-A203-2F37242A1C5D}"/>
    <cellStyle name="Note 8 2 3 5" xfId="16134" xr:uid="{B4B30333-7D94-47C9-882F-C19BC1B49FF9}"/>
    <cellStyle name="Note 8 2 3 6" xfId="17007" xr:uid="{59E0592A-0ED2-4517-B568-97CFEDA5064B}"/>
    <cellStyle name="Note 8 2 3 7" xfId="17872" xr:uid="{15AF9225-6B1D-42FB-BDE2-FF2B13F61DD2}"/>
    <cellStyle name="Note 8 2 3 8" xfId="18648" xr:uid="{65F30834-EC59-45F2-A4BE-5E0B3B3B5E54}"/>
    <cellStyle name="Note 8 2 4" xfId="9475" xr:uid="{46A40F65-5541-4437-A5C7-3019C1A7B7E5}"/>
    <cellStyle name="Note 8 2 4 2" xfId="13879" xr:uid="{58033CC4-C351-41EE-8A9F-7F4FD191C828}"/>
    <cellStyle name="Note 8 2 4 3" xfId="14839" xr:uid="{09A81319-D1EF-459E-844D-101B91BE5CA1}"/>
    <cellStyle name="Note 8 2 4 4" xfId="15791" xr:uid="{8D4595F8-9627-44A7-A179-20E3BCE4AAF8}"/>
    <cellStyle name="Note 8 2 4 5" xfId="16665" xr:uid="{B5268F92-7DD4-46F3-B415-5C4625D2147F}"/>
    <cellStyle name="Note 8 2 4 6" xfId="17530" xr:uid="{A5FB75BE-7ECA-4244-B4DA-1DC560294E57}"/>
    <cellStyle name="Note 8 2 4 7" xfId="18306" xr:uid="{49748EC0-984C-4790-9B72-DEFF30A84738}"/>
    <cellStyle name="Note 8 2 4 8" xfId="19063" xr:uid="{16E2FCA3-C4AE-4490-ADE7-ADEC2E8A095C}"/>
    <cellStyle name="Note 8 2 5" xfId="12176" xr:uid="{AEF26351-1B9C-42EB-93DB-DA22B18FFF6B}"/>
    <cellStyle name="Note 8 2 6" xfId="10689" xr:uid="{0724DE07-4A67-4474-83BC-071C708AC6F6}"/>
    <cellStyle name="Note 8 2 7" xfId="12588" xr:uid="{004B58C2-A890-4D0A-8608-561CEAB01BA4}"/>
    <cellStyle name="Note 8 2 8" xfId="10316" xr:uid="{22D1A89D-9617-479A-B0A2-37F3AB04F955}"/>
    <cellStyle name="Note 8 2 9" xfId="11746" xr:uid="{3BB9BBF6-CCD6-4EC1-BA52-6E861097FEC4}"/>
    <cellStyle name="Note 8 3" xfId="7144" xr:uid="{EA302D40-645D-4C01-BA38-10224D179338}"/>
    <cellStyle name="Note 8 3 10" xfId="17178" xr:uid="{7A24226A-7DD4-4D7C-80A4-CAEFFF0BC4BF}"/>
    <cellStyle name="Note 8 3 2" xfId="8784" xr:uid="{82D01E14-8011-4421-8A0C-5D7812B32EE8}"/>
    <cellStyle name="Note 8 3 2 2" xfId="13444" xr:uid="{D49A2608-B40A-4EF6-8682-B534F3CD2184}"/>
    <cellStyle name="Note 8 3 2 3" xfId="14450" xr:uid="{CED1485D-87BC-49F3-9F1F-65C6E431B426}"/>
    <cellStyle name="Note 8 3 2 4" xfId="15408" xr:uid="{57ED2D0F-5BD2-48DC-9876-02D30EB78AA5}"/>
    <cellStyle name="Note 8 3 2 5" xfId="16335" xr:uid="{F27AAA93-B5E5-4496-8446-7373A341C8CF}"/>
    <cellStyle name="Note 8 3 2 6" xfId="17206" xr:uid="{9D227E84-9B42-4793-91DD-6FAD7D058E87}"/>
    <cellStyle name="Note 8 3 2 7" xfId="18053" xr:uid="{52B7BD4A-8219-410A-A1F0-6C32C6A13734}"/>
    <cellStyle name="Note 8 3 2 8" xfId="18820" xr:uid="{4869F292-812D-4930-A8EC-6A99B786A7B4}"/>
    <cellStyle name="Note 8 3 3" xfId="9647" xr:uid="{770A423B-2AF4-4F51-B739-D36D9A406E61}"/>
    <cellStyle name="Note 8 3 3 2" xfId="14051" xr:uid="{427E6CDA-158A-482F-A75D-DFD3C93869B8}"/>
    <cellStyle name="Note 8 3 3 3" xfId="15011" xr:uid="{877EA7EB-5B03-4B58-A7EC-016004C98B61}"/>
    <cellStyle name="Note 8 3 3 4" xfId="15963" xr:uid="{D9ED06F4-0049-43B6-B321-F268B4A39CB2}"/>
    <cellStyle name="Note 8 3 3 5" xfId="16837" xr:uid="{5E71701E-D2A0-4126-9A4E-243972667642}"/>
    <cellStyle name="Note 8 3 3 6" xfId="17702" xr:uid="{EDE38E4D-32C8-4504-86A4-0714DEF903EB}"/>
    <cellStyle name="Note 8 3 3 7" xfId="18478" xr:uid="{84A0A082-1E13-4ECC-BE97-36CF0E272BDD}"/>
    <cellStyle name="Note 8 3 3 8" xfId="19235" xr:uid="{EC30A270-6EBD-42E4-9A18-8B89CFA403F4}"/>
    <cellStyle name="Note 8 3 4" xfId="12414" xr:uid="{AAAB8295-9A51-40B6-921D-4A9F2546799D}"/>
    <cellStyle name="Note 8 3 5" xfId="10464" xr:uid="{E8768B0F-19D5-4284-B553-DF82A69FCD97}"/>
    <cellStyle name="Note 8 3 6" xfId="13408" xr:uid="{F1D150EC-E53B-47D3-BB04-09E00CBADB82}"/>
    <cellStyle name="Note 8 3 7" xfId="14417" xr:uid="{C90C72CE-37CB-4AB6-B9B4-0002FA7CC035}"/>
    <cellStyle name="Note 8 3 8" xfId="15375" xr:uid="{981EFAF4-E615-432F-8A36-7C926EB8BEF1}"/>
    <cellStyle name="Note 8 3 9" xfId="16306" xr:uid="{DB00EF72-4E05-4022-8084-89005A11D58D}"/>
    <cellStyle name="Note 8 4" xfId="7986" xr:uid="{ACEB1248-5AC6-45A1-AF93-AA720A6BAD69}"/>
    <cellStyle name="Note 8 4 2" xfId="12955" xr:uid="{05398C4D-653B-4AC6-83DB-EED7B66DC2CF}"/>
    <cellStyle name="Note 8 4 3" xfId="10035" xr:uid="{5E6AE60A-AA29-4082-A8A6-3A7A4320373C}"/>
    <cellStyle name="Note 8 4 4" xfId="12157" xr:uid="{EEAE1EA6-F447-41D1-93D2-22B2DCD92EEC}"/>
    <cellStyle name="Note 8 4 5" xfId="10703" xr:uid="{FD97CD16-0352-48B7-9967-A50487112CA3}"/>
    <cellStyle name="Note 8 4 6" xfId="11667" xr:uid="{187BB4CF-C827-4800-88A2-707BCB0F4A76}"/>
    <cellStyle name="Note 8 4 7" xfId="11113" xr:uid="{0BDB9EEB-3BC7-4292-BF2E-B8F327D7C328}"/>
    <cellStyle name="Note 8 4 8" xfId="12053" xr:uid="{76CBC5BA-6F1C-4523-AB2B-7E20383EBDCD}"/>
    <cellStyle name="Note 8 5" xfId="9419" xr:uid="{DCC02737-5B40-4A1B-8452-2D8878822BC9}"/>
    <cellStyle name="Note 8 5 2" xfId="13823" xr:uid="{90B7BB8C-EC45-4A56-BCDD-C71C20229981}"/>
    <cellStyle name="Note 8 5 3" xfId="14783" xr:uid="{74552E0C-2A27-4813-8043-B29AC0A56A29}"/>
    <cellStyle name="Note 8 5 4" xfId="15735" xr:uid="{22AD1EE5-699E-44BB-B2E7-13E127933529}"/>
    <cellStyle name="Note 8 5 5" xfId="16609" xr:uid="{26DD0A38-0030-4910-ADD6-BE1F634D7991}"/>
    <cellStyle name="Note 8 5 6" xfId="17474" xr:uid="{1066CF2C-A8B6-48D7-A820-67C2C7AD0632}"/>
    <cellStyle name="Note 8 5 7" xfId="18250" xr:uid="{43151566-86FF-4540-A053-0F8DE1426C8B}"/>
    <cellStyle name="Note 8 5 8" xfId="19007" xr:uid="{076C0827-FD31-4049-BD4F-33B24C608409}"/>
    <cellStyle name="Note 8 6" xfId="11860" xr:uid="{CB777385-CDBD-4AAE-BE8C-F0F78DF7FBD6}"/>
    <cellStyle name="Note 8 7" xfId="10953" xr:uid="{D9C325AF-BD43-402B-BAAF-7386AE68011B}"/>
    <cellStyle name="Note 8 8" xfId="11479" xr:uid="{EF639903-46AD-45AF-93E3-31518E9C0B12}"/>
    <cellStyle name="Note 8 9" xfId="11251" xr:uid="{83007E16-F732-4074-BF29-29F9285ED1D7}"/>
    <cellStyle name="Note 9" xfId="6219" xr:uid="{750C57F6-DADE-42AC-B078-51CB0CA37F2B}"/>
    <cellStyle name="Note 9 10" xfId="13380" xr:uid="{8BDEA983-4525-413D-A5CC-9EA39A312F7B}"/>
    <cellStyle name="Note 9 11" xfId="14394" xr:uid="{FC26270F-8179-4171-B93E-5EE2615D6A9C}"/>
    <cellStyle name="Note 9 12" xfId="15352" xr:uid="{F982CECD-5961-4A59-84B2-52FA723CF1EE}"/>
    <cellStyle name="Note 9 2" xfId="6824" xr:uid="{3195E9A9-429E-4CCB-8EF8-0B6B8DC1DE1F}"/>
    <cellStyle name="Note 9 2 10" xfId="11183" xr:uid="{64DBF0FC-97C1-4C75-B930-C90D001CDA4D}"/>
    <cellStyle name="Note 9 2 11" xfId="12046" xr:uid="{7EF9510B-C05E-401F-B818-E98D583E4B90}"/>
    <cellStyle name="Note 9 2 2" xfId="7668" xr:uid="{99251221-524E-445D-A56E-72B7D9F861AB}"/>
    <cellStyle name="Note 9 2 2 10" xfId="11186" xr:uid="{F35E3E04-B1B1-4746-82F3-F1DA08EBEDCD}"/>
    <cellStyle name="Note 9 2 2 2" xfId="9308" xr:uid="{BA0B8094-E966-45D1-B016-DF0067BA1756}"/>
    <cellStyle name="Note 9 2 2 2 2" xfId="13742" xr:uid="{035777AB-E6E3-4380-821B-C9A8E2C0FB1D}"/>
    <cellStyle name="Note 9 2 2 2 3" xfId="14704" xr:uid="{302E1B05-D78C-4065-9E6A-F281599CA5C2}"/>
    <cellStyle name="Note 9 2 2 2 4" xfId="15656" xr:uid="{DC825A3D-D5FE-477A-9084-E5139C120692}"/>
    <cellStyle name="Note 9 2 2 2 5" xfId="16536" xr:uid="{9051E9AF-DAE0-4213-A90F-9DFEB80784D9}"/>
    <cellStyle name="Note 9 2 2 2 6" xfId="17402" xr:uid="{F9B896F4-1D9F-454F-8571-D6313728A847}"/>
    <cellStyle name="Note 9 2 2 2 7" xfId="18178" xr:uid="{5B0EFFDB-3C54-4511-AAF3-A95A552E9A2A}"/>
    <cellStyle name="Note 9 2 2 2 8" xfId="18935" xr:uid="{FCA7F64F-9A1B-4D41-B0B5-4E35AE845BE1}"/>
    <cellStyle name="Note 9 2 2 3" xfId="9762" xr:uid="{B5A789C1-5DA0-4728-8F6A-994B1F644BA4}"/>
    <cellStyle name="Note 9 2 2 3 2" xfId="14166" xr:uid="{DA135F50-8559-4633-911C-A7361982AC38}"/>
    <cellStyle name="Note 9 2 2 3 3" xfId="15126" xr:uid="{28528FA2-FB81-4CEC-AF63-9BB43E745210}"/>
    <cellStyle name="Note 9 2 2 3 4" xfId="16078" xr:uid="{A7DFECC4-F00E-40FD-A181-DDC3862C9210}"/>
    <cellStyle name="Note 9 2 2 3 5" xfId="16952" xr:uid="{414BA401-3085-4650-8370-ED25FE05D0FC}"/>
    <cellStyle name="Note 9 2 2 3 6" xfId="17817" xr:uid="{CEEDD1EC-1ABD-4734-ABFC-2FC3E56EB38D}"/>
    <cellStyle name="Note 9 2 2 3 7" xfId="18593" xr:uid="{77ADD41E-E2EF-49BE-AF0C-9CD4C5AEE249}"/>
    <cellStyle name="Note 9 2 2 3 8" xfId="19350" xr:uid="{697D3242-E211-4A89-8604-5AAAD60B6D62}"/>
    <cellStyle name="Note 9 2 2 4" xfId="12726" xr:uid="{E40A6481-6953-4E65-9220-730D27FF0C1E}"/>
    <cellStyle name="Note 9 2 2 5" xfId="13067" xr:uid="{3C50A3D0-D6F4-4AE5-A3D6-6DA628B68E3A}"/>
    <cellStyle name="Note 9 2 2 6" xfId="9939" xr:uid="{88E7EDF9-2BA6-4DB9-8DE5-42C8D22DD85D}"/>
    <cellStyle name="Note 9 2 2 7" xfId="11950" xr:uid="{29F13DC4-3E3F-4016-BAB2-CE08CF220F18}"/>
    <cellStyle name="Note 9 2 2 8" xfId="10869" xr:uid="{4C3A37BE-8FCE-413A-8507-CF0AB2D32C38}"/>
    <cellStyle name="Note 9 2 2 9" xfId="11553" xr:uid="{88DD7779-9B73-40D5-992A-592D13D44BA0}"/>
    <cellStyle name="Note 9 2 3" xfId="8464" xr:uid="{8F02929F-0A21-4AD7-B4BA-335CBA4FEC1F}"/>
    <cellStyle name="Note 9 2 3 2" xfId="13204" xr:uid="{C58063D0-FC79-45A7-94CF-8B82AD7D6CE9}"/>
    <cellStyle name="Note 9 2 3 3" xfId="14224" xr:uid="{97A63CDE-D7B7-4CD4-8ECF-F93E0C7EC7AC}"/>
    <cellStyle name="Note 9 2 3 4" xfId="15184" xr:uid="{E5896F49-6BB4-46DE-8CCF-1798568883F0}"/>
    <cellStyle name="Note 9 2 3 5" xfId="16133" xr:uid="{1F16930D-94A5-4C03-A370-C0BDD473EA73}"/>
    <cellStyle name="Note 9 2 3 6" xfId="17006" xr:uid="{5911072A-4E4E-49BB-820F-B3D5C67E1266}"/>
    <cellStyle name="Note 9 2 3 7" xfId="17871" xr:uid="{63343E6F-F65B-4C63-A1FF-7F436524C749}"/>
    <cellStyle name="Note 9 2 3 8" xfId="18647" xr:uid="{525386AA-FCFA-4698-A2DA-F975B59FBC1C}"/>
    <cellStyle name="Note 9 2 4" xfId="9474" xr:uid="{DA5E7F25-9595-4BAA-8439-748103450537}"/>
    <cellStyle name="Note 9 2 4 2" xfId="13878" xr:uid="{FFD825B0-1C31-4B8A-AF14-EB3DD37B8B9B}"/>
    <cellStyle name="Note 9 2 4 3" xfId="14838" xr:uid="{97EDDC96-88F4-4054-97F0-130EC718DC31}"/>
    <cellStyle name="Note 9 2 4 4" xfId="15790" xr:uid="{E3B15ACD-FB85-40C9-8F6F-0925DB8158CA}"/>
    <cellStyle name="Note 9 2 4 5" xfId="16664" xr:uid="{456C51CC-78E9-4AE3-8F7F-2754A080381F}"/>
    <cellStyle name="Note 9 2 4 6" xfId="17529" xr:uid="{B51CA32B-52E5-4F95-B6D2-AE4DEB5F512E}"/>
    <cellStyle name="Note 9 2 4 7" xfId="18305" xr:uid="{98C14FD0-2B79-4079-BB61-B4F83DB82E92}"/>
    <cellStyle name="Note 9 2 4 8" xfId="19062" xr:uid="{96504726-24D8-4377-8FDA-A34F4FF4A96C}"/>
    <cellStyle name="Note 9 2 5" xfId="12175" xr:uid="{931D00C6-BDE4-4086-89E8-A8F5716F0E28}"/>
    <cellStyle name="Note 9 2 6" xfId="10690" xr:uid="{6BA56EEE-63D1-47C5-932E-1DC7413FAF40}"/>
    <cellStyle name="Note 9 2 7" xfId="11975" xr:uid="{024A4CF4-427F-4AB1-B4F8-CB25D366A0E1}"/>
    <cellStyle name="Note 9 2 8" xfId="10853" xr:uid="{C12BCF8B-0A89-4B04-9905-E63B4D54C84A}"/>
    <cellStyle name="Note 9 2 9" xfId="11569" xr:uid="{CD12ABC6-5F6C-43C3-A639-9F9D6C2E9197}"/>
    <cellStyle name="Note 9 3" xfId="7145" xr:uid="{80B099B3-7788-41CC-81A4-F16913848233}"/>
    <cellStyle name="Note 9 3 10" xfId="12659" xr:uid="{E8845321-2A60-4646-A179-EBE0B8F32828}"/>
    <cellStyle name="Note 9 3 2" xfId="8785" xr:uid="{A986DCF5-7B7A-4208-BADC-1771614D5138}"/>
    <cellStyle name="Note 9 3 2 2" xfId="13445" xr:uid="{C9B28812-59FC-4E16-994A-1667E0FAF4CA}"/>
    <cellStyle name="Note 9 3 2 3" xfId="14451" xr:uid="{1723F32C-F21B-4295-84D4-D02F338F9F3D}"/>
    <cellStyle name="Note 9 3 2 4" xfId="15409" xr:uid="{FC008146-226F-4271-8C54-6A2574C8F813}"/>
    <cellStyle name="Note 9 3 2 5" xfId="16336" xr:uid="{A389F744-3CCB-4E3B-8D81-DAE91B15A093}"/>
    <cellStyle name="Note 9 3 2 6" xfId="17207" xr:uid="{CDD0FEC0-4433-4F0D-A49C-F3EAE1AD7A4C}"/>
    <cellStyle name="Note 9 3 2 7" xfId="18054" xr:uid="{EC26B88F-DB45-45B5-BBB5-75FC1EC16C3E}"/>
    <cellStyle name="Note 9 3 2 8" xfId="18821" xr:uid="{B2DC8D91-3F44-4995-8F31-338D835FB433}"/>
    <cellStyle name="Note 9 3 3" xfId="9648" xr:uid="{28B9DDDC-4380-44D9-8C7E-140E9BEE468E}"/>
    <cellStyle name="Note 9 3 3 2" xfId="14052" xr:uid="{FDA275A4-4678-413D-B9F1-9EABB45E7DB6}"/>
    <cellStyle name="Note 9 3 3 3" xfId="15012" xr:uid="{B3D3C1D8-AB22-4EA8-986A-C1CECD3E7C3C}"/>
    <cellStyle name="Note 9 3 3 4" xfId="15964" xr:uid="{E6AC82A5-5633-43E0-8B80-87A002F73F0F}"/>
    <cellStyle name="Note 9 3 3 5" xfId="16838" xr:uid="{5EA0A79D-9BB5-4062-A94B-2735613A73B7}"/>
    <cellStyle name="Note 9 3 3 6" xfId="17703" xr:uid="{CD06FA0E-325F-4A0F-94DB-3142F0FA40B8}"/>
    <cellStyle name="Note 9 3 3 7" xfId="18479" xr:uid="{ED7B4793-7B73-4CFA-90DF-B45805D18BCE}"/>
    <cellStyle name="Note 9 3 3 8" xfId="19236" xr:uid="{776F89B9-16BB-4EF5-A188-4C1F98D004EE}"/>
    <cellStyle name="Note 9 3 4" xfId="12415" xr:uid="{EC51C21A-F4AD-4F3B-ACCE-B504ED152D75}"/>
    <cellStyle name="Note 9 3 5" xfId="10463" xr:uid="{E238AACD-D3EC-4AFB-96AE-488ECC5E36D8}"/>
    <cellStyle name="Note 9 3 6" xfId="12919" xr:uid="{CF9D762C-E0B7-42C2-A40D-70424092AB8B}"/>
    <cellStyle name="Note 9 3 7" xfId="10065" xr:uid="{FB0C168A-EE62-49E1-B3A4-4B160ADC111B}"/>
    <cellStyle name="Note 9 3 8" xfId="12685" xr:uid="{5F83E2A6-474C-46CC-B670-559B2956D11A}"/>
    <cellStyle name="Note 9 3 9" xfId="10236" xr:uid="{DC0049F8-547D-43FC-B1DA-F4CE8B53B326}"/>
    <cellStyle name="Note 9 4" xfId="7987" xr:uid="{196CC3D1-88ED-4C32-9AB3-27C8D13846AA}"/>
    <cellStyle name="Note 9 4 2" xfId="12956" xr:uid="{CEA63FE4-83F7-40B0-AF18-F8F4741DB6BC}"/>
    <cellStyle name="Note 9 4 3" xfId="10034" xr:uid="{E0852D9F-38E5-4297-8232-D55C46DD32B2}"/>
    <cellStyle name="Note 9 4 4" xfId="12158" xr:uid="{2B15FDAD-9A0B-4498-AE39-59D947D5C410}"/>
    <cellStyle name="Note 9 4 5" xfId="10702" xr:uid="{18719492-0A16-48D5-8C92-A5D1F3A2FFCF}"/>
    <cellStyle name="Note 9 4 6" xfId="11668" xr:uid="{9E0A197E-0BD2-4E79-A3B3-3C57ECA7F211}"/>
    <cellStyle name="Note 9 4 7" xfId="11112" xr:uid="{9E6A7A84-7DD4-48AB-9937-86F844459848}"/>
    <cellStyle name="Note 9 4 8" xfId="12555" xr:uid="{1D9C390F-D97B-4330-8377-6B4638F9EEDF}"/>
    <cellStyle name="Note 9 5" xfId="9420" xr:uid="{121C0552-1B0D-4590-9430-BE62011899F0}"/>
    <cellStyle name="Note 9 5 2" xfId="13824" xr:uid="{F186480B-2E86-466A-9A5D-0185D2D6AA36}"/>
    <cellStyle name="Note 9 5 3" xfId="14784" xr:uid="{DC4A127E-9D77-4018-8787-334D02641705}"/>
    <cellStyle name="Note 9 5 4" xfId="15736" xr:uid="{FCC0B41D-7B8A-4611-BDAD-10E9BA145FE0}"/>
    <cellStyle name="Note 9 5 5" xfId="16610" xr:uid="{3EAFC72F-AB69-4593-B711-347BF24010CF}"/>
    <cellStyle name="Note 9 5 6" xfId="17475" xr:uid="{33EB3C37-58BA-4E74-8CF4-CBCA534BAEB7}"/>
    <cellStyle name="Note 9 5 7" xfId="18251" xr:uid="{22066C7A-EFE9-4B51-BD88-52F065CBB019}"/>
    <cellStyle name="Note 9 5 8" xfId="19008" xr:uid="{5D5C0D45-4F9F-4F9C-837B-906625473A29}"/>
    <cellStyle name="Note 9 6" xfId="11861" xr:uid="{ACB220B7-76B0-4A03-BC3B-70190BEE21DE}"/>
    <cellStyle name="Note 9 7" xfId="10952" xr:uid="{DDE6232E-E501-4A3C-8F7F-9AE18F3CA1B3}"/>
    <cellStyle name="Note 9 8" xfId="11480" xr:uid="{E9E44F68-E32E-4571-81C8-2C2457D37A7F}"/>
    <cellStyle name="Note 9 9" xfId="11250" xr:uid="{1E32F631-7CAC-4F42-B3B4-98906A5CDB41}"/>
    <cellStyle name="Output 10" xfId="6220" xr:uid="{18F997CC-A7EC-4043-9EBC-437929C07239}"/>
    <cellStyle name="Output 10 10" xfId="12865" xr:uid="{E1605805-2546-433C-A19C-CDABFED098B8}"/>
    <cellStyle name="Output 10 11" xfId="10110" xr:uid="{3A40FB19-1637-4FEB-9B2D-40C293D16018}"/>
    <cellStyle name="Output 10 12" xfId="12139" xr:uid="{BEA7AFD2-0B27-4435-AE80-45B0EDE99680}"/>
    <cellStyle name="Output 10 2" xfId="6884" xr:uid="{0DB98A27-CE66-4B1D-B8F3-2860A4331D56}"/>
    <cellStyle name="Output 10 2 10" xfId="11284" xr:uid="{4335CE06-AB34-47B8-B561-59CA4993CB43}"/>
    <cellStyle name="Output 10 2 11" xfId="12289" xr:uid="{2020AAA1-0E2F-4044-A103-A0830527B96C}"/>
    <cellStyle name="Output 10 2 2" xfId="7669" xr:uid="{16816DE2-4F7E-414F-8627-FBF3F2AC3663}"/>
    <cellStyle name="Output 10 2 2 10" xfId="18110" xr:uid="{AD1FD38F-7A75-4845-BADB-E5A77DD9BDB5}"/>
    <cellStyle name="Output 10 2 2 2" xfId="9309" xr:uid="{805FD4BE-2574-4A02-9FF7-E8A6122C9662}"/>
    <cellStyle name="Output 10 2 2 2 2" xfId="13743" xr:uid="{58AC7DE7-B487-4B5D-B7E6-842084D95F3D}"/>
    <cellStyle name="Output 10 2 2 2 3" xfId="14705" xr:uid="{0B000D05-7B6B-43EE-B818-86E15CA1F433}"/>
    <cellStyle name="Output 10 2 2 2 4" xfId="15657" xr:uid="{667B2C42-CE62-4584-BA35-32F8AAE0D49B}"/>
    <cellStyle name="Output 10 2 2 2 5" xfId="16537" xr:uid="{FA9B86CF-8CBA-445C-AD4F-8FC7E18D58CD}"/>
    <cellStyle name="Output 10 2 2 2 6" xfId="17403" xr:uid="{3CE2B8EE-AFAF-4B16-8F33-6183F10CFC2B}"/>
    <cellStyle name="Output 10 2 2 2 7" xfId="18179" xr:uid="{76A6E883-A9B7-4380-AACF-24F326350568}"/>
    <cellStyle name="Output 10 2 2 2 8" xfId="18936" xr:uid="{3ED45999-D2BE-4875-9FC5-3A72FD5B789E}"/>
    <cellStyle name="Output 10 2 2 3" xfId="9763" xr:uid="{0BE49530-B80A-48A7-8E88-B6C09257AE76}"/>
    <cellStyle name="Output 10 2 2 3 2" xfId="14167" xr:uid="{E8776C5B-D4D7-4B20-82FA-6A0047731FD1}"/>
    <cellStyle name="Output 10 2 2 3 3" xfId="15127" xr:uid="{1943633D-8771-4CBE-81F0-D1DC5E1DED3C}"/>
    <cellStyle name="Output 10 2 2 3 4" xfId="16079" xr:uid="{CD375E7D-68E0-4704-8E3A-545BC9C2231A}"/>
    <cellStyle name="Output 10 2 2 3 5" xfId="16953" xr:uid="{53148594-4955-428B-B6EC-288B06D4E7D3}"/>
    <cellStyle name="Output 10 2 2 3 6" xfId="17818" xr:uid="{399397E5-255E-424A-8D6D-05477C66400A}"/>
    <cellStyle name="Output 10 2 2 3 7" xfId="18594" xr:uid="{842F92C7-A5DE-4168-A65D-6F5A39B2E391}"/>
    <cellStyle name="Output 10 2 2 3 8" xfId="19351" xr:uid="{F863489A-4414-49B9-BBA0-94555C906DB7}"/>
    <cellStyle name="Output 10 2 2 4" xfId="12727" xr:uid="{1EAF00F6-47A2-480B-B64A-A9067E14DB37}"/>
    <cellStyle name="Output 10 2 2 5" xfId="13502" xr:uid="{30179055-0530-4B0F-8615-E9D21CC14323}"/>
    <cellStyle name="Output 10 2 2 6" xfId="14508" xr:uid="{835EAE15-BBFB-4D23-8722-D36924FD8857}"/>
    <cellStyle name="Output 10 2 2 7" xfId="15466" xr:uid="{E6F18661-E0ED-42A7-ACBA-6D9F795C0B82}"/>
    <cellStyle name="Output 10 2 2 8" xfId="16392" xr:uid="{A3471829-8537-40C6-8E13-64AFB2B4AF31}"/>
    <cellStyle name="Output 10 2 2 9" xfId="17263" xr:uid="{6CB14806-1710-4633-A1B6-A1CA4F3B50B9}"/>
    <cellStyle name="Output 10 2 3" xfId="8524" xr:uid="{E96B85B9-B737-496A-BE00-7DE988A87E54}"/>
    <cellStyle name="Output 10 2 3 2" xfId="13264" xr:uid="{B77C899C-8EAF-4623-B419-7583FE947CEE}"/>
    <cellStyle name="Output 10 2 3 3" xfId="14284" xr:uid="{5F87DC1C-D261-4673-8122-7A01FCA07EE4}"/>
    <cellStyle name="Output 10 2 3 4" xfId="15244" xr:uid="{5649EB86-6304-4200-AB03-B75AEB916CB4}"/>
    <cellStyle name="Output 10 2 3 5" xfId="16193" xr:uid="{F53C73CE-CD07-4EC7-84CF-1F58927347C7}"/>
    <cellStyle name="Output 10 2 3 6" xfId="17066" xr:uid="{CCCBD233-FD0A-4454-82A3-733C34B769C1}"/>
    <cellStyle name="Output 10 2 3 7" xfId="17931" xr:uid="{3BBB1B4F-5F7B-4738-9C5D-E25D7DF3D3AB}"/>
    <cellStyle name="Output 10 2 3 8" xfId="18707" xr:uid="{0B20D651-E8EB-48EE-9CB3-981D1FE1BAB8}"/>
    <cellStyle name="Output 10 2 4" xfId="9534" xr:uid="{3A0FC5C4-8655-45F3-B698-29DA8C0673EA}"/>
    <cellStyle name="Output 10 2 4 2" xfId="13938" xr:uid="{42FC425A-1F3D-4860-A06F-94FC58CD21E4}"/>
    <cellStyle name="Output 10 2 4 3" xfId="14898" xr:uid="{D1283AB1-D8B0-41F6-BABB-CD0863A15945}"/>
    <cellStyle name="Output 10 2 4 4" xfId="15850" xr:uid="{CDF089F6-2C74-41F8-88DD-8C9CC1CEB670}"/>
    <cellStyle name="Output 10 2 4 5" xfId="16724" xr:uid="{583B41BF-D0D5-4DDA-AAA2-C700B10247BA}"/>
    <cellStyle name="Output 10 2 4 6" xfId="17589" xr:uid="{8E6B411A-774C-422D-852E-3D782DAE84E0}"/>
    <cellStyle name="Output 10 2 4 7" xfId="18365" xr:uid="{C04CAEEB-D43A-42AA-9F93-DFD86C012945}"/>
    <cellStyle name="Output 10 2 4 8" xfId="19122" xr:uid="{C11003D8-A51F-426C-B8C5-4A09533E5A36}"/>
    <cellStyle name="Output 10 2 5" xfId="12235" xr:uid="{0D057225-F89A-442A-BAD6-D4CCD7DF5643}"/>
    <cellStyle name="Output 10 2 6" xfId="10630" xr:uid="{B1961448-27C1-4B4E-8E9F-136EF3C53C05}"/>
    <cellStyle name="Output 10 2 7" xfId="11681" xr:uid="{4CDE801E-E174-4911-BE0E-1FB8ECFBFD82}"/>
    <cellStyle name="Output 10 2 8" xfId="11100" xr:uid="{BC07F036-6BFE-40D1-B144-510530430E7E}"/>
    <cellStyle name="Output 10 2 9" xfId="11444" xr:uid="{6879EF21-440C-4C22-BDD2-67F964D59830}"/>
    <cellStyle name="Output 10 3" xfId="7146" xr:uid="{72206753-5161-43E6-A02A-ED7884F413AB}"/>
    <cellStyle name="Output 10 3 10" xfId="13136" xr:uid="{BF5DD0D1-B40C-44DA-932E-D729B3F30F64}"/>
    <cellStyle name="Output 10 3 2" xfId="8786" xr:uid="{94729C24-3864-47F9-9B73-59092F775C06}"/>
    <cellStyle name="Output 10 3 2 2" xfId="13446" xr:uid="{83B85EB0-E79A-4C4A-BE93-57032B08767B}"/>
    <cellStyle name="Output 10 3 2 3" xfId="14452" xr:uid="{4D5AB115-0BAB-47E0-8D49-CD197C07AF93}"/>
    <cellStyle name="Output 10 3 2 4" xfId="15410" xr:uid="{50135089-30AC-4B40-824E-FB4244368C9D}"/>
    <cellStyle name="Output 10 3 2 5" xfId="16337" xr:uid="{0DD2F407-BE3F-4FAA-BF84-DDB769148131}"/>
    <cellStyle name="Output 10 3 2 6" xfId="17208" xr:uid="{C857B558-F8C5-4C54-92BC-E6AEAEA3764D}"/>
    <cellStyle name="Output 10 3 2 7" xfId="18055" xr:uid="{AA2C1067-B3BE-41FF-A982-303FE625029A}"/>
    <cellStyle name="Output 10 3 2 8" xfId="18822" xr:uid="{0200AE75-CDF0-4F4B-92E1-32650E3BC90E}"/>
    <cellStyle name="Output 10 3 3" xfId="9649" xr:uid="{B483E2FE-A752-41CA-961F-E4AFD01B0370}"/>
    <cellStyle name="Output 10 3 3 2" xfId="14053" xr:uid="{AD925EF3-D6BA-432A-BBDF-7743AA8B8D9E}"/>
    <cellStyle name="Output 10 3 3 3" xfId="15013" xr:uid="{0702B97F-ABE9-40A0-91A3-A4F1BB74154E}"/>
    <cellStyle name="Output 10 3 3 4" xfId="15965" xr:uid="{E1586AFD-B55D-401B-841E-C662F97B8255}"/>
    <cellStyle name="Output 10 3 3 5" xfId="16839" xr:uid="{2D560EC9-F925-44F5-87C4-F07B16EAFBD5}"/>
    <cellStyle name="Output 10 3 3 6" xfId="17704" xr:uid="{8B570C20-D089-44B1-8E99-6C6FBDD74567}"/>
    <cellStyle name="Output 10 3 3 7" xfId="18480" xr:uid="{663A2CBA-934D-485B-8231-7793D525EF80}"/>
    <cellStyle name="Output 10 3 3 8" xfId="19237" xr:uid="{4D50E039-A7D0-425F-8495-A7155CDD3CD3}"/>
    <cellStyle name="Output 10 3 4" xfId="12416" xr:uid="{383FC218-2C4D-4F6F-8F20-3EC54EF46611}"/>
    <cellStyle name="Output 10 3 5" xfId="10462" xr:uid="{36C9AC89-A1D1-4E34-8011-EFDC5AC825EA}"/>
    <cellStyle name="Output 10 3 6" xfId="11702" xr:uid="{544676A2-504E-4AAC-B0B0-E9A1F0F2F7ED}"/>
    <cellStyle name="Output 10 3 7" xfId="11084" xr:uid="{9626E518-757B-444B-897F-2DF43E59BF11}"/>
    <cellStyle name="Output 10 3 8" xfId="12356" xr:uid="{2853CA9A-04CA-4D50-A65B-E4CE977D488A}"/>
    <cellStyle name="Output 10 3 9" xfId="10516" xr:uid="{D1D336E2-4BEB-488D-B044-EFF0CDBF34E6}"/>
    <cellStyle name="Output 10 4" xfId="7988" xr:uid="{B53A1404-8887-4B15-80E7-2D94F629FA73}"/>
    <cellStyle name="Output 10 4 2" xfId="12957" xr:uid="{BE3AB407-6A5E-4B8D-99D7-06F9ABA6DD4B}"/>
    <cellStyle name="Output 10 4 3" xfId="10033" xr:uid="{23C44F1A-FBFC-44E5-817D-D27B46AD834D}"/>
    <cellStyle name="Output 10 4 4" xfId="12691" xr:uid="{7F5483BC-29E3-44BF-BF3D-1946DFBD1FE7}"/>
    <cellStyle name="Output 10 4 5" xfId="10230" xr:uid="{10C904FC-F5AB-4911-B827-A7655E6F8DE7}"/>
    <cellStyle name="Output 10 4 6" xfId="13419" xr:uid="{7C27E48D-93CF-4C1F-85FB-91E6D2F2BAE0}"/>
    <cellStyle name="Output 10 4 7" xfId="14426" xr:uid="{522827CA-8DD2-4FEA-86A6-7FD6A3A59538}"/>
    <cellStyle name="Output 10 4 8" xfId="15384" xr:uid="{453A41D5-8768-4B59-B38B-5DB7948E7D63}"/>
    <cellStyle name="Output 10 5" xfId="9421" xr:uid="{9E43183E-973E-4B42-9408-4165A7F54A47}"/>
    <cellStyle name="Output 10 5 2" xfId="13825" xr:uid="{AE71607A-3293-40C6-9957-A7A135FC9B0C}"/>
    <cellStyle name="Output 10 5 3" xfId="14785" xr:uid="{9EC29360-6FA7-41C8-9068-992A058C71A5}"/>
    <cellStyle name="Output 10 5 4" xfId="15737" xr:uid="{EC82AB4B-BBE5-48E2-BE80-1ADEAC4663E5}"/>
    <cellStyle name="Output 10 5 5" xfId="16611" xr:uid="{E547D0FB-E0F3-41DF-9092-34C943A73526}"/>
    <cellStyle name="Output 10 5 6" xfId="17476" xr:uid="{EE878AA6-1910-4CA2-B533-03EAF3AB3AFD}"/>
    <cellStyle name="Output 10 5 7" xfId="18252" xr:uid="{11B95E2A-2177-4475-876F-F06787A268E7}"/>
    <cellStyle name="Output 10 5 8" xfId="19009" xr:uid="{53C1EE4D-C789-4162-9933-C5989970B654}"/>
    <cellStyle name="Output 10 6" xfId="11862" xr:uid="{3E99D422-FF39-4872-A669-2839AD77A125}"/>
    <cellStyle name="Output 10 7" xfId="10951" xr:uid="{6E8C976A-02B7-46B8-8342-1B26EFC93397}"/>
    <cellStyle name="Output 10 8" xfId="11481" xr:uid="{F6144779-FBEE-4E06-82BB-6A892E64B6D4}"/>
    <cellStyle name="Output 10 9" xfId="11249" xr:uid="{AEDA0BE4-6631-4F97-BC19-ED84890EBFED}"/>
    <cellStyle name="Output 11" xfId="6221" xr:uid="{92EC01BE-1FFA-4E94-9AFD-833BE4E26C08}"/>
    <cellStyle name="Output 11 10" xfId="11425" xr:uid="{A934FD83-B138-45B6-B573-7262BB5E5A4B}"/>
    <cellStyle name="Output 11 11" xfId="11297" xr:uid="{310A3E20-3A5D-444E-8992-2C85245E9840}"/>
    <cellStyle name="Output 11 12" xfId="12474" xr:uid="{DFC572E3-3FB5-48E3-A9B5-EF29AC45F154}"/>
    <cellStyle name="Output 11 2" xfId="6885" xr:uid="{B0FA0FED-A759-446E-8ACE-0C92C0ACC24F}"/>
    <cellStyle name="Output 11 2 10" xfId="11185" xr:uid="{17853D5B-A539-443E-AF46-1E54EFC343A2}"/>
    <cellStyle name="Output 11 2 11" xfId="11429" xr:uid="{F24105F9-00BE-434C-9972-79E4874BC02B}"/>
    <cellStyle name="Output 11 2 2" xfId="7670" xr:uid="{BC461F50-E4B5-48B1-A7A5-675C9E07D23E}"/>
    <cellStyle name="Output 11 2 2 10" xfId="14574" xr:uid="{1D8B499A-5BC8-4340-935B-C0CEA0447A70}"/>
    <cellStyle name="Output 11 2 2 2" xfId="9310" xr:uid="{0A76D040-6722-4C2D-A520-560E0D91F51D}"/>
    <cellStyle name="Output 11 2 2 2 2" xfId="13744" xr:uid="{4683B5F0-AFB0-41B1-B46B-C76724B1B2B3}"/>
    <cellStyle name="Output 11 2 2 2 3" xfId="14706" xr:uid="{48D1D0F4-7D09-4C19-AED1-F257BE5EBFCF}"/>
    <cellStyle name="Output 11 2 2 2 4" xfId="15658" xr:uid="{5E710F86-9F80-4B52-896B-62B3F12F5109}"/>
    <cellStyle name="Output 11 2 2 2 5" xfId="16538" xr:uid="{C07FA74A-D088-4F49-8C47-2C297BC5AC28}"/>
    <cellStyle name="Output 11 2 2 2 6" xfId="17404" xr:uid="{5A9D8CE7-7639-4572-9DE9-DC6E63DDA311}"/>
    <cellStyle name="Output 11 2 2 2 7" xfId="18180" xr:uid="{17E5080E-A52A-4134-8914-C890FF8ED27D}"/>
    <cellStyle name="Output 11 2 2 2 8" xfId="18937" xr:uid="{3C6D6EFC-85F1-4076-A3E4-1D4982AB403B}"/>
    <cellStyle name="Output 11 2 2 3" xfId="9764" xr:uid="{512F5E37-BF26-465C-B09D-FB51589ECD98}"/>
    <cellStyle name="Output 11 2 2 3 2" xfId="14168" xr:uid="{66D98986-99E9-4534-AA59-43C3B7339ACA}"/>
    <cellStyle name="Output 11 2 2 3 3" xfId="15128" xr:uid="{FFF0EE44-1361-4C8A-90BC-8FECE8EDC38B}"/>
    <cellStyle name="Output 11 2 2 3 4" xfId="16080" xr:uid="{D0877C2C-F9BB-4F11-85D9-CD7092D9D842}"/>
    <cellStyle name="Output 11 2 2 3 5" xfId="16954" xr:uid="{D54194D5-A10C-4C45-A168-D1F2B742F06E}"/>
    <cellStyle name="Output 11 2 2 3 6" xfId="17819" xr:uid="{0B64F4A2-95C3-4BA9-83D5-8C56AB47E3A3}"/>
    <cellStyle name="Output 11 2 2 3 7" xfId="18595" xr:uid="{F568BA24-5CD8-4ADB-BDA5-025B79E3F1E7}"/>
    <cellStyle name="Output 11 2 2 3 8" xfId="19352" xr:uid="{AC508297-6E2F-4757-92F6-02C6E7688B3E}"/>
    <cellStyle name="Output 11 2 2 4" xfId="12728" xr:uid="{2DD4DB11-049D-4230-9F55-9F5BA6028F6A}"/>
    <cellStyle name="Output 11 2 2 5" xfId="12473" xr:uid="{90FD7645-F739-44DE-9F20-1585696948B8}"/>
    <cellStyle name="Output 11 2 2 6" xfId="10406" xr:uid="{4E22D4BD-F829-463D-A315-A251A1CFA4CA}"/>
    <cellStyle name="Output 11 2 2 7" xfId="11728" xr:uid="{B2797E99-6FBF-4C16-B8BA-26E7E987B24B}"/>
    <cellStyle name="Output 11 2 2 8" xfId="11058" xr:uid="{75E2DF21-3E94-44F2-B706-17C17B8C4DE6}"/>
    <cellStyle name="Output 11 2 2 9" xfId="13586" xr:uid="{55457B57-1C2E-41A7-A8BB-09A8D670676E}"/>
    <cellStyle name="Output 11 2 3" xfId="8525" xr:uid="{995ED9B3-A2BA-4609-AEC8-7F0358A4DBC9}"/>
    <cellStyle name="Output 11 2 3 2" xfId="13265" xr:uid="{B91F841F-33B0-4B8A-9D3A-67F95977ECD7}"/>
    <cellStyle name="Output 11 2 3 3" xfId="14285" xr:uid="{F68D96A8-1902-4A52-A84A-3CEA6BC9605A}"/>
    <cellStyle name="Output 11 2 3 4" xfId="15245" xr:uid="{57B31175-FB58-4030-8C99-389CE3FE9588}"/>
    <cellStyle name="Output 11 2 3 5" xfId="16194" xr:uid="{27AD37F1-18E3-4F4C-9998-23B52C885416}"/>
    <cellStyle name="Output 11 2 3 6" xfId="17067" xr:uid="{9B846432-2077-49B5-8244-481B44FCE443}"/>
    <cellStyle name="Output 11 2 3 7" xfId="17932" xr:uid="{EE806B63-0D6F-4D25-A744-47C7EEEB580D}"/>
    <cellStyle name="Output 11 2 3 8" xfId="18708" xr:uid="{538FC82A-E00E-4599-97D7-5481A7262456}"/>
    <cellStyle name="Output 11 2 4" xfId="9535" xr:uid="{C12FA31A-F3EF-4F26-A266-53B30FA1C738}"/>
    <cellStyle name="Output 11 2 4 2" xfId="13939" xr:uid="{6A18548B-875F-40CB-943E-FA2B8331DF53}"/>
    <cellStyle name="Output 11 2 4 3" xfId="14899" xr:uid="{097D9EE4-9098-4AA3-9FC1-DDF675A262D7}"/>
    <cellStyle name="Output 11 2 4 4" xfId="15851" xr:uid="{CD86B2D7-839E-4F4C-9AF1-A9B0EF95E784}"/>
    <cellStyle name="Output 11 2 4 5" xfId="16725" xr:uid="{C90D1DED-2844-4255-A031-37301D8EB52C}"/>
    <cellStyle name="Output 11 2 4 6" xfId="17590" xr:uid="{F04C6201-8082-41CE-8796-FEB465D55285}"/>
    <cellStyle name="Output 11 2 4 7" xfId="18366" xr:uid="{14AA2B8F-3FF5-4E1B-A959-845CE8F38671}"/>
    <cellStyle name="Output 11 2 4 8" xfId="19123" xr:uid="{6C269FD4-48BA-499E-8ECE-BC8910D186AD}"/>
    <cellStyle name="Output 11 2 5" xfId="12236" xr:uid="{114F043C-056E-43B0-9499-52405610A56B}"/>
    <cellStyle name="Output 11 2 6" xfId="10629" xr:uid="{AC5D7710-71AE-430A-A6B8-6A1423BEEE9B}"/>
    <cellStyle name="Output 11 2 7" xfId="11951" xr:uid="{FC3B4CEE-34E5-4018-9536-AAEB1CAA950E}"/>
    <cellStyle name="Output 11 2 8" xfId="10868" xr:uid="{98ACAD04-7EC4-438B-94EC-BE2DB2BFD7FE}"/>
    <cellStyle name="Output 11 2 9" xfId="11554" xr:uid="{6CFB0A6C-F71E-4256-9F2F-E8A3C3D399BC}"/>
    <cellStyle name="Output 11 3" xfId="7147" xr:uid="{922E184C-D0AD-4005-BAFB-4D5E226CD3E0}"/>
    <cellStyle name="Output 11 3 10" xfId="15355" xr:uid="{9A130FB0-5839-4A5B-B05D-E08BBF17C42A}"/>
    <cellStyle name="Output 11 3 2" xfId="8787" xr:uid="{2B666C8D-778B-4AF8-9D17-D1065B79F622}"/>
    <cellStyle name="Output 11 3 2 2" xfId="13447" xr:uid="{533762DD-001E-4DFB-90B1-CB5D5F1B86BC}"/>
    <cellStyle name="Output 11 3 2 3" xfId="14453" xr:uid="{DFA3B748-2C7B-4772-AB73-05331E55C95C}"/>
    <cellStyle name="Output 11 3 2 4" xfId="15411" xr:uid="{F82C1044-330B-4FB4-A8D4-23CBF7D26F86}"/>
    <cellStyle name="Output 11 3 2 5" xfId="16338" xr:uid="{A229D397-3790-439A-A8EC-9C75690C136D}"/>
    <cellStyle name="Output 11 3 2 6" xfId="17209" xr:uid="{137100DE-A2E0-46F2-9E1A-BAE812B51884}"/>
    <cellStyle name="Output 11 3 2 7" xfId="18056" xr:uid="{58F352FC-8BEF-42E3-8C01-1EF893C8D327}"/>
    <cellStyle name="Output 11 3 2 8" xfId="18823" xr:uid="{36590498-3EF9-4AA9-9DCF-65A56AFC317F}"/>
    <cellStyle name="Output 11 3 3" xfId="9650" xr:uid="{2E310501-C7E5-4037-A23B-A20DECBD9F79}"/>
    <cellStyle name="Output 11 3 3 2" xfId="14054" xr:uid="{4C2F8202-39C7-4F54-86CF-1A68565D38AB}"/>
    <cellStyle name="Output 11 3 3 3" xfId="15014" xr:uid="{C3EE8194-3F5B-4DFA-A58A-A0FC2729B286}"/>
    <cellStyle name="Output 11 3 3 4" xfId="15966" xr:uid="{9BD11E6E-E2A7-4349-9605-9DB8DD9A069E}"/>
    <cellStyle name="Output 11 3 3 5" xfId="16840" xr:uid="{F49631EB-4097-4BF3-87AA-C9219A667270}"/>
    <cellStyle name="Output 11 3 3 6" xfId="17705" xr:uid="{666B52C2-A319-416F-8BFB-E9F7DE16E375}"/>
    <cellStyle name="Output 11 3 3 7" xfId="18481" xr:uid="{5F92EA17-CE2C-4710-9159-A321A7DBEEB1}"/>
    <cellStyle name="Output 11 3 3 8" xfId="19238" xr:uid="{148F41D8-71DA-4952-B1C5-0F85C278A10A}"/>
    <cellStyle name="Output 11 3 4" xfId="12417" xr:uid="{F9EB7C12-F1CE-4127-8E40-66DC0F0031ED}"/>
    <cellStyle name="Output 11 3 5" xfId="10461" xr:uid="{5016D5F5-1919-441D-8AAA-3700B713F505}"/>
    <cellStyle name="Output 11 3 6" xfId="11703" xr:uid="{C65664B6-EFA1-4141-B7A0-37A9CBDA36F9}"/>
    <cellStyle name="Output 11 3 7" xfId="11083" xr:uid="{80DF7DAD-3D80-4870-8228-B20A75C91641}"/>
    <cellStyle name="Output 11 3 8" xfId="13386" xr:uid="{B21D0E40-8E7C-4DC2-93C1-900D8D5719D8}"/>
    <cellStyle name="Output 11 3 9" xfId="14397" xr:uid="{53EF74E3-CBA1-4540-95A7-2D76DA98F129}"/>
    <cellStyle name="Output 11 4" xfId="7989" xr:uid="{C06D10E0-5DB9-4782-A157-B2DB2C916BE2}"/>
    <cellStyle name="Output 11 4 2" xfId="12958" xr:uid="{1D814ED1-6962-4D7C-AF07-1B2B5A087A74}"/>
    <cellStyle name="Output 11 4 3" xfId="10032" xr:uid="{F6455632-87BE-4F17-AEB6-BE31E890D419}"/>
    <cellStyle name="Output 11 4 4" xfId="13712" xr:uid="{C5119442-F578-4D49-BF91-FE5D79D3BD37}"/>
    <cellStyle name="Output 11 4 5" xfId="14676" xr:uid="{F823CCD5-A063-4B53-9882-9554DFD5AA61}"/>
    <cellStyle name="Output 11 4 6" xfId="15628" xr:uid="{6D6AFD63-12C4-4F8B-AB1F-4A61EC649722}"/>
    <cellStyle name="Output 11 4 7" xfId="16510" xr:uid="{E4C6CF79-38B0-4D1F-968F-CFF6B683BC11}"/>
    <cellStyle name="Output 11 4 8" xfId="17378" xr:uid="{BE5AE3BC-F3F8-4776-ABAC-AD0A46BCBD24}"/>
    <cellStyle name="Output 11 5" xfId="9422" xr:uid="{AB3CC8CF-DB5A-473E-85DA-AFB5A435B648}"/>
    <cellStyle name="Output 11 5 2" xfId="13826" xr:uid="{76618959-7CAC-43B6-ACD7-48D12D6E67AC}"/>
    <cellStyle name="Output 11 5 3" xfId="14786" xr:uid="{88F967C0-1DA1-4ADF-ABF2-8F455BA586DB}"/>
    <cellStyle name="Output 11 5 4" xfId="15738" xr:uid="{A144ACB7-4032-4378-B0BE-786E65EB500E}"/>
    <cellStyle name="Output 11 5 5" xfId="16612" xr:uid="{6686AF7D-FA43-400A-85A0-5F9EECAD42A9}"/>
    <cellStyle name="Output 11 5 6" xfId="17477" xr:uid="{B8C0FE8F-C7FA-4300-AAA6-3CBC0D89751C}"/>
    <cellStyle name="Output 11 5 7" xfId="18253" xr:uid="{90C05EBB-7E5B-4774-9025-742FD33CE55B}"/>
    <cellStyle name="Output 11 5 8" xfId="19010" xr:uid="{C1D72FA7-F497-4149-874D-EB5A5887196D}"/>
    <cellStyle name="Output 11 6" xfId="11863" xr:uid="{A393A293-DAC2-4D0F-B417-5BF493205D97}"/>
    <cellStyle name="Output 11 7" xfId="10950" xr:uid="{D8C373FE-D306-441A-807E-D67AB8867BDD}"/>
    <cellStyle name="Output 11 8" xfId="11482" xr:uid="{C3C3446D-ACA8-409A-A076-5332E0C5B3AC}"/>
    <cellStyle name="Output 11 9" xfId="11248" xr:uid="{BAA387E6-84DD-4E26-A34F-432A725E3120}"/>
    <cellStyle name="Output 12" xfId="6222" xr:uid="{56F6B393-5285-4757-8A4C-308198658E29}"/>
    <cellStyle name="Output 12 10" xfId="12041" xr:uid="{873F9F31-9CEA-4229-9AA6-E0381774D47C}"/>
    <cellStyle name="Output 12 11" xfId="10795" xr:uid="{1C385087-C833-466A-B248-587CDA0D4876}"/>
    <cellStyle name="Output 12 12" xfId="11623" xr:uid="{2A156EC1-5E7B-470D-B0F1-E82AB28D2522}"/>
    <cellStyle name="Output 12 2" xfId="6886" xr:uid="{3CAED9DB-5CCF-48E0-A45A-DF8EC332674D}"/>
    <cellStyle name="Output 12 2 10" xfId="11041" xr:uid="{12FE4C91-3F09-4AEE-9FA9-1AC86BB1A115}"/>
    <cellStyle name="Output 12 2 11" xfId="11454" xr:uid="{3CC07609-0389-4C83-80AB-22939C288422}"/>
    <cellStyle name="Output 12 2 2" xfId="7671" xr:uid="{946D0888-94A2-476E-A3FA-6A65222F9710}"/>
    <cellStyle name="Output 12 2 2 10" xfId="10340" xr:uid="{8B98E416-8477-427B-A1DE-39935435E7DE}"/>
    <cellStyle name="Output 12 2 2 2" xfId="9311" xr:uid="{394B04EF-B7A6-4DC6-860E-2516C14E35A5}"/>
    <cellStyle name="Output 12 2 2 2 2" xfId="13745" xr:uid="{53D44492-05CB-42B4-9216-4963A972138B}"/>
    <cellStyle name="Output 12 2 2 2 3" xfId="14707" xr:uid="{D192B662-13EC-4B6F-9423-757D3FBBCBB5}"/>
    <cellStyle name="Output 12 2 2 2 4" xfId="15659" xr:uid="{A4EE09DB-426A-4D05-9902-4152DFEEFE72}"/>
    <cellStyle name="Output 12 2 2 2 5" xfId="16539" xr:uid="{5FCD768F-E97B-4369-86CB-27625328D4FF}"/>
    <cellStyle name="Output 12 2 2 2 6" xfId="17405" xr:uid="{FF7F8695-358A-4F0A-B4C7-4A28FF69F973}"/>
    <cellStyle name="Output 12 2 2 2 7" xfId="18181" xr:uid="{C704FC9C-136D-4C57-A133-9EA13C394206}"/>
    <cellStyle name="Output 12 2 2 2 8" xfId="18938" xr:uid="{349FD985-445B-4C5F-B14B-905D4D60155B}"/>
    <cellStyle name="Output 12 2 2 3" xfId="9765" xr:uid="{D889D27F-CD95-4817-B29E-2A0D90276304}"/>
    <cellStyle name="Output 12 2 2 3 2" xfId="14169" xr:uid="{0E430393-A93B-4535-BACC-59F7F25D33ED}"/>
    <cellStyle name="Output 12 2 2 3 3" xfId="15129" xr:uid="{BE7CC85B-2944-4ACD-AF2F-4CF77A4473D9}"/>
    <cellStyle name="Output 12 2 2 3 4" xfId="16081" xr:uid="{78DFB466-0B52-4115-92F8-C15ABD56F51E}"/>
    <cellStyle name="Output 12 2 2 3 5" xfId="16955" xr:uid="{CD47DE5F-5E11-4018-8E83-482C897F986C}"/>
    <cellStyle name="Output 12 2 2 3 6" xfId="17820" xr:uid="{29ACC734-CFDE-481E-BA36-F74E86648EC4}"/>
    <cellStyle name="Output 12 2 2 3 7" xfId="18596" xr:uid="{8650E08A-2FA1-4769-87AB-0E5C6FDF9709}"/>
    <cellStyle name="Output 12 2 2 3 8" xfId="19353" xr:uid="{125F4510-D79D-4222-A9DB-3EFBF542F84E}"/>
    <cellStyle name="Output 12 2 2 4" xfId="12729" xr:uid="{E4FF31B9-FC74-43B8-965B-19497E94FEA3}"/>
    <cellStyle name="Output 12 2 2 5" xfId="12021" xr:uid="{69999AFC-01E4-4A40-A0F0-6AE7BBB3CB2C}"/>
    <cellStyle name="Output 12 2 2 6" xfId="10812" xr:uid="{17B6F6C5-48D2-4AE9-87D3-32B906B98C4C}"/>
    <cellStyle name="Output 12 2 2 7" xfId="11608" xr:uid="{16D30A05-1C27-43FD-B969-D431282FCEE7}"/>
    <cellStyle name="Output 12 2 2 8" xfId="11151" xr:uid="{FAC2F987-E8A6-4EA0-BD88-63B639BE7ED0}"/>
    <cellStyle name="Output 12 2 2 9" xfId="12548" xr:uid="{2B2CD91C-04F1-463E-B56B-C8B92EF5094F}"/>
    <cellStyle name="Output 12 2 3" xfId="8526" xr:uid="{D5BA3429-958C-4C72-9957-F8A22DFA914D}"/>
    <cellStyle name="Output 12 2 3 2" xfId="13266" xr:uid="{BB693C68-7FAE-4F70-96BB-EB58AA86A638}"/>
    <cellStyle name="Output 12 2 3 3" xfId="14286" xr:uid="{67AA77A4-3A1D-4E05-8787-C9AB3BD85B9A}"/>
    <cellStyle name="Output 12 2 3 4" xfId="15246" xr:uid="{16A8A8DA-4B21-4C7F-A00B-EAB7BAEF5560}"/>
    <cellStyle name="Output 12 2 3 5" xfId="16195" xr:uid="{6F4845A1-D52B-48A4-ABEE-8DB71F8C0E3B}"/>
    <cellStyle name="Output 12 2 3 6" xfId="17068" xr:uid="{E6BD25E8-B250-44C3-9EDA-7AD6566CFD28}"/>
    <cellStyle name="Output 12 2 3 7" xfId="17933" xr:uid="{AAC53A2E-695E-4AC2-8E6E-C6B2DE54E3D5}"/>
    <cellStyle name="Output 12 2 3 8" xfId="18709" xr:uid="{CFB71684-9DB4-43CC-ACA7-E4F564572B70}"/>
    <cellStyle name="Output 12 2 4" xfId="9536" xr:uid="{F4DC5DE8-41DD-4C12-B5EC-91110F140514}"/>
    <cellStyle name="Output 12 2 4 2" xfId="13940" xr:uid="{C216D5C6-8418-4F8C-81F2-3B2F3AADA427}"/>
    <cellStyle name="Output 12 2 4 3" xfId="14900" xr:uid="{B23C02F9-FC66-4B0A-A23E-E3720AA88AB6}"/>
    <cellStyle name="Output 12 2 4 4" xfId="15852" xr:uid="{BF6AF964-AEF4-4473-9189-5649E3B1A49B}"/>
    <cellStyle name="Output 12 2 4 5" xfId="16726" xr:uid="{98836359-EC1A-4D9E-B989-CA372076D12E}"/>
    <cellStyle name="Output 12 2 4 6" xfId="17591" xr:uid="{69128CC9-29AE-4C03-8C1A-127A403F346E}"/>
    <cellStyle name="Output 12 2 4 7" xfId="18367" xr:uid="{CE939F85-A812-40E5-BE22-9ECF534C5EE4}"/>
    <cellStyle name="Output 12 2 4 8" xfId="19124" xr:uid="{5B561BB3-93DB-4DA1-9207-27DE31B2FC21}"/>
    <cellStyle name="Output 12 2 5" xfId="12237" xr:uid="{2A33C9A4-5E20-4F13-B2E6-1D70F070EA87}"/>
    <cellStyle name="Output 12 2 6" xfId="10628" xr:uid="{A1C7189C-D96A-48DA-AEB7-6A8B59DDAA07}"/>
    <cellStyle name="Output 12 2 7" xfId="12598" xr:uid="{4A4BB800-AD06-4D8A-9E3B-C2C786D75533}"/>
    <cellStyle name="Output 12 2 8" xfId="10306" xr:uid="{BD242075-15C1-4827-860D-1A81B552105B}"/>
    <cellStyle name="Output 12 2 9" xfId="11756" xr:uid="{29A0CC2F-6884-40B1-83A2-39A4D6BC7E47}"/>
    <cellStyle name="Output 12 3" xfId="7148" xr:uid="{56D31388-F15E-487E-9764-7AF7B66929E0}"/>
    <cellStyle name="Output 12 3 10" xfId="13569" xr:uid="{3453ADBA-E9F3-4FA6-B645-4DFFDD90033E}"/>
    <cellStyle name="Output 12 3 2" xfId="8788" xr:uid="{8E4986DD-949E-4CEB-AB89-0948D3E64387}"/>
    <cellStyle name="Output 12 3 2 2" xfId="13448" xr:uid="{EC36E59C-4D14-47B7-90D5-B5F6FE26D0DC}"/>
    <cellStyle name="Output 12 3 2 3" xfId="14454" xr:uid="{D8A2536A-95F3-41C3-829B-B60AFE6C1DC9}"/>
    <cellStyle name="Output 12 3 2 4" xfId="15412" xr:uid="{8DD95CDF-350C-485B-B499-290259E5CE74}"/>
    <cellStyle name="Output 12 3 2 5" xfId="16339" xr:uid="{F39BFB87-B49D-44A3-A46D-E5504C7FC471}"/>
    <cellStyle name="Output 12 3 2 6" xfId="17210" xr:uid="{AC7C7E39-116A-4054-AF0C-5C911F66DE6E}"/>
    <cellStyle name="Output 12 3 2 7" xfId="18057" xr:uid="{646CCCEA-E310-44EA-8DDD-8DF45E509ED0}"/>
    <cellStyle name="Output 12 3 2 8" xfId="18824" xr:uid="{1C155A0C-6B6B-46E9-A8B1-FE27A3CBAAE8}"/>
    <cellStyle name="Output 12 3 3" xfId="9651" xr:uid="{5F301DE6-7F44-483B-9052-91BFBED47D44}"/>
    <cellStyle name="Output 12 3 3 2" xfId="14055" xr:uid="{01C47AD5-5200-4C25-B45F-119E71CD569C}"/>
    <cellStyle name="Output 12 3 3 3" xfId="15015" xr:uid="{DD435EE5-3B6A-4B8A-8AB9-8D5233DE0306}"/>
    <cellStyle name="Output 12 3 3 4" xfId="15967" xr:uid="{FB9170DA-9A04-4F1A-BFCD-1FFBDF1E97CE}"/>
    <cellStyle name="Output 12 3 3 5" xfId="16841" xr:uid="{16F5015B-7CD4-4638-9D0E-4958C83F552F}"/>
    <cellStyle name="Output 12 3 3 6" xfId="17706" xr:uid="{3B532FF6-7B38-4C7B-9B3A-61561D9929D0}"/>
    <cellStyle name="Output 12 3 3 7" xfId="18482" xr:uid="{BA3DC8A8-A379-4160-A9D1-04B4EDB9B200}"/>
    <cellStyle name="Output 12 3 3 8" xfId="19239" xr:uid="{56A41B0B-CC6A-45E2-926C-B7EB696FD4DA}"/>
    <cellStyle name="Output 12 3 4" xfId="12418" xr:uid="{924EB0FE-824C-498A-808A-C9923861BF7F}"/>
    <cellStyle name="Output 12 3 5" xfId="10460" xr:uid="{3E75BCAB-6B04-4BF3-B60C-3C2863484479}"/>
    <cellStyle name="Output 12 3 6" xfId="11985" xr:uid="{50C79A1B-48E7-44A5-ABB9-FD9A82742EDC}"/>
    <cellStyle name="Output 12 3 7" xfId="10844" xr:uid="{9F24A036-5190-4763-B35D-B218BB41CE32}"/>
    <cellStyle name="Output 12 3 8" xfId="11578" xr:uid="{C637C05E-4909-4099-B88A-85CA3CAB6EEE}"/>
    <cellStyle name="Output 12 3 9" xfId="11176" xr:uid="{EBCAB140-0683-4FD6-8680-3B704DAD3C9A}"/>
    <cellStyle name="Output 12 4" xfId="7990" xr:uid="{3CDACBDF-8FE2-4A27-98DE-AFC3DD948859}"/>
    <cellStyle name="Output 12 4 2" xfId="12959" xr:uid="{61DBBE1C-954E-4C2D-873C-E6F53EC8A2CE}"/>
    <cellStyle name="Output 12 4 3" xfId="10031" xr:uid="{66ED2711-4147-424B-B2C3-B1E096099831}"/>
    <cellStyle name="Output 12 4 4" xfId="13187" xr:uid="{AA0F5BD6-55FB-42A5-9E3A-9EEE1F429837}"/>
    <cellStyle name="Output 12 4 5" xfId="9851" xr:uid="{F8CD6791-212F-4F83-97A3-FC7579958690}"/>
    <cellStyle name="Output 12 4 6" xfId="11893" xr:uid="{EC8B7E2F-B7FE-4F3E-ABFA-163B36E931E1}"/>
    <cellStyle name="Output 12 4 7" xfId="10922" xr:uid="{3D6686AD-02CB-4494-8318-E4465DA96320}"/>
    <cellStyle name="Output 12 4 8" xfId="11509" xr:uid="{E6911DCC-2CC5-47F4-8EEF-7F7163EA3948}"/>
    <cellStyle name="Output 12 5" xfId="9423" xr:uid="{7C21712E-5284-4465-A4B5-D90385D73816}"/>
    <cellStyle name="Output 12 5 2" xfId="13827" xr:uid="{B3157FE2-B3D2-48D6-AB56-3EE4F6D6E348}"/>
    <cellStyle name="Output 12 5 3" xfId="14787" xr:uid="{EE77D4DF-FEAA-4812-9F8E-E12D39D11A81}"/>
    <cellStyle name="Output 12 5 4" xfId="15739" xr:uid="{3EF935A3-3D29-4852-85C6-04F081A51BAD}"/>
    <cellStyle name="Output 12 5 5" xfId="16613" xr:uid="{DD5EAF7F-4681-43F5-AD77-5AA3522963F4}"/>
    <cellStyle name="Output 12 5 6" xfId="17478" xr:uid="{26CD57EB-001D-48E5-BDC2-4623CBAF2AEC}"/>
    <cellStyle name="Output 12 5 7" xfId="18254" xr:uid="{4EB2BF39-B56A-4AC8-9144-EEE3D5FBDF48}"/>
    <cellStyle name="Output 12 5 8" xfId="19011" xr:uid="{A5520D50-8BA0-4F54-B36B-1F427DBEBFD2}"/>
    <cellStyle name="Output 12 6" xfId="11864" xr:uid="{22E05293-5ECF-40E0-B935-336E7A5B008F}"/>
    <cellStyle name="Output 12 7" xfId="10949" xr:uid="{78C7BFD0-ED7A-418A-BA95-ECC7686A8D74}"/>
    <cellStyle name="Output 12 8" xfId="11483" xr:uid="{881F67FA-A122-42B7-B94A-6DEF8E81D92B}"/>
    <cellStyle name="Output 12 9" xfId="11247" xr:uid="{9176993C-0C3B-460B-8A9A-FC800A29EA5F}"/>
    <cellStyle name="Output 13" xfId="6223" xr:uid="{0BB74125-642A-45E7-AB7E-6418976425A3}"/>
    <cellStyle name="Output 13 10" xfId="12528" xr:uid="{2C902AC8-58CC-48DE-AAF8-AFD79B51C629}"/>
    <cellStyle name="Output 13 11" xfId="10355" xr:uid="{C5EFF8D2-96D0-4461-8E7C-E53D43155515}"/>
    <cellStyle name="Output 13 12" xfId="12120" xr:uid="{6EB91D17-8E92-4C64-8A6E-F71696D228C3}"/>
    <cellStyle name="Output 13 2" xfId="6887" xr:uid="{326C7C7F-4496-48EA-93A1-DE269D76614D}"/>
    <cellStyle name="Output 13 2 10" xfId="16450" xr:uid="{C0CB39C1-4D6B-4EAE-9ADA-035531CAF5DB}"/>
    <cellStyle name="Output 13 2 11" xfId="17321" xr:uid="{884D2B89-0D9F-4C18-9B72-DBE03935CD28}"/>
    <cellStyle name="Output 13 2 2" xfId="7672" xr:uid="{5EC72BD5-38C3-415E-8096-0FCF9B56BF28}"/>
    <cellStyle name="Output 13 2 2 10" xfId="15574" xr:uid="{FB7395B9-9725-4C29-A2F3-AD7CCBF847F8}"/>
    <cellStyle name="Output 13 2 2 2" xfId="9312" xr:uid="{9106B1C4-1BD4-46E1-B880-4C3F3C7920CB}"/>
    <cellStyle name="Output 13 2 2 2 2" xfId="13746" xr:uid="{8F02F72C-B708-4A46-9827-18338E1387FE}"/>
    <cellStyle name="Output 13 2 2 2 3" xfId="14708" xr:uid="{93ACB38A-0BD7-4DA6-A67A-B8145541494A}"/>
    <cellStyle name="Output 13 2 2 2 4" xfId="15660" xr:uid="{4A53430A-B093-4410-91C3-0881AB5ABFEB}"/>
    <cellStyle name="Output 13 2 2 2 5" xfId="16540" xr:uid="{E56DADDA-684A-4028-9211-45E006D8931D}"/>
    <cellStyle name="Output 13 2 2 2 6" xfId="17406" xr:uid="{FC12AB1E-A933-4D25-9E77-83517A7D72DE}"/>
    <cellStyle name="Output 13 2 2 2 7" xfId="18182" xr:uid="{085F72A7-AD0F-4A94-8CAA-957C809F1CE6}"/>
    <cellStyle name="Output 13 2 2 2 8" xfId="18939" xr:uid="{34EE758E-BCCC-4001-B61C-E6EF7C820D9F}"/>
    <cellStyle name="Output 13 2 2 3" xfId="9766" xr:uid="{8DCA946B-AF54-4354-B4B1-B3224A02FF57}"/>
    <cellStyle name="Output 13 2 2 3 2" xfId="14170" xr:uid="{AFA28651-2B39-4089-ADE7-1801551F94A1}"/>
    <cellStyle name="Output 13 2 2 3 3" xfId="15130" xr:uid="{7493532D-6EF3-4201-B276-FA79900F5C4A}"/>
    <cellStyle name="Output 13 2 2 3 4" xfId="16082" xr:uid="{695EFD2A-525E-4514-B86B-84A70E620A76}"/>
    <cellStyle name="Output 13 2 2 3 5" xfId="16956" xr:uid="{69051A57-CFE3-4069-A6E2-D71A769BC41E}"/>
    <cellStyle name="Output 13 2 2 3 6" xfId="17821" xr:uid="{7CFB5C75-8ABA-4796-A15C-1697ECA8337F}"/>
    <cellStyle name="Output 13 2 2 3 7" xfId="18597" xr:uid="{17F1A728-2F7B-4F0F-B290-2CDC0A744386}"/>
    <cellStyle name="Output 13 2 2 3 8" xfId="19354" xr:uid="{AE015080-C35D-4A0A-85FF-6D0CE15D7D46}"/>
    <cellStyle name="Output 13 2 2 4" xfId="12730" xr:uid="{124312A8-8D86-4000-84FA-ACDDF834F469}"/>
    <cellStyle name="Output 13 2 2 5" xfId="10218" xr:uid="{0AC11266-2B96-4AC4-AE14-9A0BE68E2EA6}"/>
    <cellStyle name="Output 13 2 2 6" xfId="12389" xr:uid="{0D50F047-02EC-4CDE-9C2D-20E485A38B12}"/>
    <cellStyle name="Output 13 2 2 7" xfId="10488" xr:uid="{9F102D5F-A4C0-4658-AEAD-1E7D7D744877}"/>
    <cellStyle name="Output 13 2 2 8" xfId="13646" xr:uid="{B82BCC07-97D2-4DC1-B365-3DBB04081709}"/>
    <cellStyle name="Output 13 2 2 9" xfId="14622" xr:uid="{23DAB9B7-63F0-4D01-83EA-A8030A601A1E}"/>
    <cellStyle name="Output 13 2 3" xfId="8527" xr:uid="{55D3F69F-ED6C-4446-ACEB-A9170E54F77D}"/>
    <cellStyle name="Output 13 2 3 2" xfId="13267" xr:uid="{2E10A214-DB16-4771-9383-2E5C1F303A4B}"/>
    <cellStyle name="Output 13 2 3 3" xfId="14287" xr:uid="{CCCD169F-18D2-4C01-A2F4-9BD27CBEADA3}"/>
    <cellStyle name="Output 13 2 3 4" xfId="15247" xr:uid="{F4235F5D-1E09-4F91-8D99-41469468B922}"/>
    <cellStyle name="Output 13 2 3 5" xfId="16196" xr:uid="{DFC8CA78-B1DA-4372-BB11-ABDE6D538F8D}"/>
    <cellStyle name="Output 13 2 3 6" xfId="17069" xr:uid="{D43A0994-AAB6-42D0-91BE-993A7E2E74ED}"/>
    <cellStyle name="Output 13 2 3 7" xfId="17934" xr:uid="{E75BB3A2-E5FD-4462-80FB-B88512A165D5}"/>
    <cellStyle name="Output 13 2 3 8" xfId="18710" xr:uid="{10A4D20C-F165-4482-892F-163E7DFBA656}"/>
    <cellStyle name="Output 13 2 4" xfId="9537" xr:uid="{8B674B8F-78BD-40B7-BAE6-0153FA62575F}"/>
    <cellStyle name="Output 13 2 4 2" xfId="13941" xr:uid="{1C2F7329-E001-44EA-B8DF-5B1ECCA23587}"/>
    <cellStyle name="Output 13 2 4 3" xfId="14901" xr:uid="{E48466BF-FB6A-4DDF-815A-6B8C7098F179}"/>
    <cellStyle name="Output 13 2 4 4" xfId="15853" xr:uid="{DD9EE0DD-8B3F-4E28-90BC-942A561C3F4C}"/>
    <cellStyle name="Output 13 2 4 5" xfId="16727" xr:uid="{2906E9E3-2927-4A4D-926D-E1FD7979DE04}"/>
    <cellStyle name="Output 13 2 4 6" xfId="17592" xr:uid="{97A86D4C-6A31-4F6C-96D6-DE712E71E658}"/>
    <cellStyle name="Output 13 2 4 7" xfId="18368" xr:uid="{25E3BAB6-3CE9-44CA-AF82-4B3B962F6FED}"/>
    <cellStyle name="Output 13 2 4 8" xfId="19125" xr:uid="{81C2EDCA-A095-434A-A5B4-B250D41C3DCD}"/>
    <cellStyle name="Output 13 2 5" xfId="12238" xr:uid="{F74CAD53-1E59-4909-8836-09EAE6C52004}"/>
    <cellStyle name="Output 13 2 6" xfId="10627" xr:uid="{35F8C950-7C2C-4F2A-A764-3B564D7D5E1B}"/>
    <cellStyle name="Output 13 2 7" xfId="13620" xr:uid="{B233AD81-729E-40BB-AC83-D2EE263C779A}"/>
    <cellStyle name="Output 13 2 8" xfId="14598" xr:uid="{ABACEFF8-6801-413B-B556-20656A7BC722}"/>
    <cellStyle name="Output 13 2 9" xfId="15551" xr:uid="{C5C074E8-E67B-45C4-AD2B-45C4F3111C20}"/>
    <cellStyle name="Output 13 3" xfId="7149" xr:uid="{CF6AC598-C96A-474D-A4DF-7AA01E1DD2A4}"/>
    <cellStyle name="Output 13 3 10" xfId="12170" xr:uid="{A331E31F-539C-49AF-8929-33BF94069278}"/>
    <cellStyle name="Output 13 3 2" xfId="8789" xr:uid="{F52E5292-0167-4195-8A07-A4433C6FC968}"/>
    <cellStyle name="Output 13 3 2 2" xfId="13449" xr:uid="{25817D80-B005-4EB4-94DE-31A531897E3D}"/>
    <cellStyle name="Output 13 3 2 3" xfId="14455" xr:uid="{8460C336-7A33-49EB-997A-99D72ECE9D19}"/>
    <cellStyle name="Output 13 3 2 4" xfId="15413" xr:uid="{1F089C67-AFAD-4E4B-9B3F-E0CC8F5F2A92}"/>
    <cellStyle name="Output 13 3 2 5" xfId="16340" xr:uid="{20022B59-0003-41FF-9581-861248A905B9}"/>
    <cellStyle name="Output 13 3 2 6" xfId="17211" xr:uid="{1FAB2E1B-91EC-4CE6-96AD-838883F56F10}"/>
    <cellStyle name="Output 13 3 2 7" xfId="18058" xr:uid="{A84457D1-39CD-45D2-A4AE-BDEF39EBD56D}"/>
    <cellStyle name="Output 13 3 2 8" xfId="18825" xr:uid="{97F1806E-711E-447B-8746-8B59A814464B}"/>
    <cellStyle name="Output 13 3 3" xfId="9652" xr:uid="{3DA45033-340C-46F3-86E7-4A662B767F49}"/>
    <cellStyle name="Output 13 3 3 2" xfId="14056" xr:uid="{CFE38DBC-5EFB-46E0-A8BC-07CE45A7BC13}"/>
    <cellStyle name="Output 13 3 3 3" xfId="15016" xr:uid="{BD7269BA-3C39-48AF-BAAB-076A16FEBE24}"/>
    <cellStyle name="Output 13 3 3 4" xfId="15968" xr:uid="{D8ED41A3-B6DB-4FD1-8C0A-9C8F6766CF49}"/>
    <cellStyle name="Output 13 3 3 5" xfId="16842" xr:uid="{79F2528B-8732-43DC-8B43-ED8A01DDCC63}"/>
    <cellStyle name="Output 13 3 3 6" xfId="17707" xr:uid="{64425F33-51D6-45E2-9D0C-5C75DD1D22BB}"/>
    <cellStyle name="Output 13 3 3 7" xfId="18483" xr:uid="{FEC4C7C7-FE7C-4761-A93C-E7CEDA875981}"/>
    <cellStyle name="Output 13 3 3 8" xfId="19240" xr:uid="{AC5D8DD4-F5DE-46C3-BA9C-CAD2C8250714}"/>
    <cellStyle name="Output 13 3 4" xfId="12419" xr:uid="{36314897-D17F-4493-906D-D05ECFFD765E}"/>
    <cellStyle name="Output 13 3 5" xfId="10459" xr:uid="{77DB2A33-0DBC-49B8-A879-97B41CFD8649}"/>
    <cellStyle name="Output 13 3 6" xfId="12630" xr:uid="{EBAFE8E5-FD48-4333-9AD7-5BEA15FE7F15}"/>
    <cellStyle name="Output 13 3 7" xfId="10279" xr:uid="{8771F042-937A-4C14-84E9-77FD02D47DF9}"/>
    <cellStyle name="Output 13 3 8" xfId="13156" xr:uid="{BAF4CE02-A392-4C6B-B33C-003D4D0BEC86}"/>
    <cellStyle name="Output 13 3 9" xfId="9878" xr:uid="{E5F53866-1F68-4630-A080-519248FFC87D}"/>
    <cellStyle name="Output 13 4" xfId="7991" xr:uid="{EC5546D0-3AC4-4DAE-B535-74811AA64564}"/>
    <cellStyle name="Output 13 4 2" xfId="12960" xr:uid="{CF9DF1C7-1A06-425B-A00B-B9D054DDA664}"/>
    <cellStyle name="Output 13 4 3" xfId="10030" xr:uid="{08C4EA62-221B-4D41-994D-BDF6A6E0C053}"/>
    <cellStyle name="Output 13 4 4" xfId="12159" xr:uid="{1625566F-3835-4D4F-B8C0-AD7B5C9536A6}"/>
    <cellStyle name="Output 13 4 5" xfId="10701" xr:uid="{2171771A-5E71-41BA-8B60-EFA4E0420681}"/>
    <cellStyle name="Output 13 4 6" xfId="12910" xr:uid="{1C2937F5-D169-49C7-AC01-9CD1E517ADA1}"/>
    <cellStyle name="Output 13 4 7" xfId="10073" xr:uid="{FF925D65-6D8E-43F2-BD02-42BFD7B08F28}"/>
    <cellStyle name="Output 13 4 8" xfId="12682" xr:uid="{458A174A-38E6-4A3F-8E4A-267A8275492F}"/>
    <cellStyle name="Output 13 5" xfId="9424" xr:uid="{1924CD23-7776-45B3-9E0B-F3F77AF849A6}"/>
    <cellStyle name="Output 13 5 2" xfId="13828" xr:uid="{F1E672F4-0846-4BD4-9163-1823EEBDB0BE}"/>
    <cellStyle name="Output 13 5 3" xfId="14788" xr:uid="{B58C618A-DF5E-460C-A109-89EA5206973E}"/>
    <cellStyle name="Output 13 5 4" xfId="15740" xr:uid="{1F4678D8-9C99-41B4-8B04-D06610C8B0BC}"/>
    <cellStyle name="Output 13 5 5" xfId="16614" xr:uid="{F7EF7C37-4759-4593-B26F-D0E765FD86B1}"/>
    <cellStyle name="Output 13 5 6" xfId="17479" xr:uid="{E41322C2-1E9A-442A-9535-BB9607113584}"/>
    <cellStyle name="Output 13 5 7" xfId="18255" xr:uid="{806855D5-35EE-423E-B89E-771A19296CEA}"/>
    <cellStyle name="Output 13 5 8" xfId="19012" xr:uid="{5BB8440D-F79E-4B08-AB1A-E5FE99669656}"/>
    <cellStyle name="Output 13 6" xfId="11865" xr:uid="{D8A91044-637A-44AB-A447-813B06E4AE80}"/>
    <cellStyle name="Output 13 7" xfId="10948" xr:uid="{9AB600C5-63CA-4441-8120-93DD0949C373}"/>
    <cellStyle name="Output 13 8" xfId="11484" xr:uid="{DBD65D5A-8F95-42B9-BE87-B96E375A60D2}"/>
    <cellStyle name="Output 13 9" xfId="11246" xr:uid="{1CED2E95-FCFF-4820-B4B4-8CFD0D51D0CD}"/>
    <cellStyle name="Output 14" xfId="6224" xr:uid="{B1EE65D4-B066-46F3-9275-D5420FA10309}"/>
    <cellStyle name="Output 14 10" xfId="13557" xr:uid="{2F262E96-283C-4052-8C16-E3800CC942AC}"/>
    <cellStyle name="Output 14 11" xfId="14558" xr:uid="{8298E822-4FC6-4891-894A-07EB71667CD7}"/>
    <cellStyle name="Output 14 12" xfId="15516" xr:uid="{1B0145BE-890E-4E39-A0D3-4F67070BB4D6}"/>
    <cellStyle name="Output 14 2" xfId="6888" xr:uid="{460A4105-8967-43A8-99CC-5C7C85DA5129}"/>
    <cellStyle name="Output 14 2 10" xfId="10979" xr:uid="{852837D5-6089-4750-90D5-1D24F5A8286D}"/>
    <cellStyle name="Output 14 2 11" xfId="12575" xr:uid="{AA806434-53D2-40F4-B8D9-139AA64AE926}"/>
    <cellStyle name="Output 14 2 2" xfId="7673" xr:uid="{2132A41B-8F11-4A88-B6CB-F43F4E25FFAA}"/>
    <cellStyle name="Output 14 2 2 10" xfId="14578" xr:uid="{33D32DC7-F34C-464A-9EDB-B3CE483954C4}"/>
    <cellStyle name="Output 14 2 2 2" xfId="9313" xr:uid="{2F4FCA63-F4EE-4C82-AEC8-82F6A3639F32}"/>
    <cellStyle name="Output 14 2 2 2 2" xfId="13747" xr:uid="{22C8F5B5-DB49-44C7-9066-34B51AD76832}"/>
    <cellStyle name="Output 14 2 2 2 3" xfId="14709" xr:uid="{D8F8EDA3-4625-4D94-9A7E-1C5CCDCADC78}"/>
    <cellStyle name="Output 14 2 2 2 4" xfId="15661" xr:uid="{AD7A5974-00B0-47C2-B99F-606D4A9D726C}"/>
    <cellStyle name="Output 14 2 2 2 5" xfId="16541" xr:uid="{D668C56C-BC00-48B1-ABD6-452C9671132D}"/>
    <cellStyle name="Output 14 2 2 2 6" xfId="17407" xr:uid="{8C03956F-A763-43BF-B426-B6A960BFE03E}"/>
    <cellStyle name="Output 14 2 2 2 7" xfId="18183" xr:uid="{B50F00ED-28BB-43F0-82C8-F3DACB79E284}"/>
    <cellStyle name="Output 14 2 2 2 8" xfId="18940" xr:uid="{10CDC084-9483-4B8B-8C39-3944191E1D77}"/>
    <cellStyle name="Output 14 2 2 3" xfId="9767" xr:uid="{D85F2B9E-DBCB-4CFE-A816-25A677DC1456}"/>
    <cellStyle name="Output 14 2 2 3 2" xfId="14171" xr:uid="{0E4FA487-8AC2-4EB0-AFD1-FF27B22F6421}"/>
    <cellStyle name="Output 14 2 2 3 3" xfId="15131" xr:uid="{6ACAF6B3-762F-4839-9FDD-71F1CCD244DC}"/>
    <cellStyle name="Output 14 2 2 3 4" xfId="16083" xr:uid="{82868D82-1B5A-4B0E-8618-C462B13AF6CC}"/>
    <cellStyle name="Output 14 2 2 3 5" xfId="16957" xr:uid="{905FADB2-935F-4496-B17D-424C12971CD2}"/>
    <cellStyle name="Output 14 2 2 3 6" xfId="17822" xr:uid="{5C42D9FB-13DD-461C-9C0E-55E785BC8FE7}"/>
    <cellStyle name="Output 14 2 2 3 7" xfId="18598" xr:uid="{3A7FED73-AA0C-486A-ADC5-1FBBC65FAB27}"/>
    <cellStyle name="Output 14 2 2 3 8" xfId="19355" xr:uid="{8AB03DD2-FF37-4E92-96D6-FA00B6B25E8A}"/>
    <cellStyle name="Output 14 2 2 4" xfId="12731" xr:uid="{53C0CB7D-45E4-4D65-ACB0-E13BB1E72FE8}"/>
    <cellStyle name="Output 14 2 2 5" xfId="12820" xr:uid="{329FAA35-CA77-4631-9104-0F26AAD6487F}"/>
    <cellStyle name="Output 14 2 2 6" xfId="10154" xr:uid="{B3B101BE-7F07-47A7-8D1D-58D4EA8C1849}"/>
    <cellStyle name="Output 14 2 2 7" xfId="11793" xr:uid="{1ED43EC0-B12A-4410-B20F-B07F2F16036B}"/>
    <cellStyle name="Output 14 2 2 8" xfId="11011" xr:uid="{8197D0A7-5599-4083-BEA4-662F8A6614BD}"/>
    <cellStyle name="Output 14 2 2 9" xfId="13596" xr:uid="{9AC54AE6-8030-497F-8EA2-43CAC9118FB9}"/>
    <cellStyle name="Output 14 2 3" xfId="8528" xr:uid="{29361ADC-8DB2-4FBF-944F-7D1518E2D779}"/>
    <cellStyle name="Output 14 2 3 2" xfId="13268" xr:uid="{DB8214FD-FC78-496E-9410-E20CC87B9117}"/>
    <cellStyle name="Output 14 2 3 3" xfId="14288" xr:uid="{8F880619-4BA7-42C4-B17C-E8EED285F310}"/>
    <cellStyle name="Output 14 2 3 4" xfId="15248" xr:uid="{5756268A-FFD7-480B-9E8A-1749AE8ABBF8}"/>
    <cellStyle name="Output 14 2 3 5" xfId="16197" xr:uid="{E0BAD3AB-7EE2-4F8E-9C86-01D92673C097}"/>
    <cellStyle name="Output 14 2 3 6" xfId="17070" xr:uid="{3951D95C-C80D-48F5-B70F-47031B6AB493}"/>
    <cellStyle name="Output 14 2 3 7" xfId="17935" xr:uid="{E40E65F1-BA5E-4BF8-9020-8F82C4D4F673}"/>
    <cellStyle name="Output 14 2 3 8" xfId="18711" xr:uid="{AC657322-BBE0-4C0D-873F-A56416344B10}"/>
    <cellStyle name="Output 14 2 4" xfId="9538" xr:uid="{D4037E82-B6B4-4D4E-A515-17743497AF5B}"/>
    <cellStyle name="Output 14 2 4 2" xfId="13942" xr:uid="{318229B5-929E-4519-92E3-6160548AD106}"/>
    <cellStyle name="Output 14 2 4 3" xfId="14902" xr:uid="{2E8EB12A-5B3B-46F6-912F-BC6BDFE4F2F9}"/>
    <cellStyle name="Output 14 2 4 4" xfId="15854" xr:uid="{2A18FA61-C09A-42CA-B515-B7C532351C4F}"/>
    <cellStyle name="Output 14 2 4 5" xfId="16728" xr:uid="{B93C1462-4438-4BE5-92E6-C661853479A2}"/>
    <cellStyle name="Output 14 2 4 6" xfId="17593" xr:uid="{B9E9BC4E-7ABF-470B-A04B-EE6E7B53C73E}"/>
    <cellStyle name="Output 14 2 4 7" xfId="18369" xr:uid="{F46999E4-42C6-42A9-8855-7D06F32F1E03}"/>
    <cellStyle name="Output 14 2 4 8" xfId="19126" xr:uid="{A4D09FF4-CEED-4894-878B-59E72624D4AB}"/>
    <cellStyle name="Output 14 2 5" xfId="12239" xr:uid="{B4FD897A-7AF0-4B9B-85EC-DBAE9183E8EC}"/>
    <cellStyle name="Output 14 2 6" xfId="10626" xr:uid="{AF8757F5-5D28-4F17-BCD5-0DFDE1473268}"/>
    <cellStyle name="Output 14 2 7" xfId="13014" xr:uid="{C55F187A-D5AD-48CD-B913-6FA80E32F3AD}"/>
    <cellStyle name="Output 14 2 8" xfId="9979" xr:uid="{2998CE7E-77F6-41AB-B5F3-D659C670579D}"/>
    <cellStyle name="Output 14 2 9" xfId="11826" xr:uid="{63AE502C-8B13-40F6-A9ED-B2ACA5D088B1}"/>
    <cellStyle name="Output 14 3" xfId="7150" xr:uid="{B69A0B36-FBE8-4F16-A73A-350961700FFE}"/>
    <cellStyle name="Output 14 3 10" xfId="17342" xr:uid="{775CDFDD-73B2-4FE8-8214-D419A9CA43FA}"/>
    <cellStyle name="Output 14 3 2" xfId="8790" xr:uid="{D180300A-3801-4676-8EA4-50EA5E915348}"/>
    <cellStyle name="Output 14 3 2 2" xfId="13450" xr:uid="{FEFC1886-729B-4CDE-A591-D9EB03A4D45F}"/>
    <cellStyle name="Output 14 3 2 3" xfId="14456" xr:uid="{E0FB1C58-0C62-41F7-910C-811A233DD393}"/>
    <cellStyle name="Output 14 3 2 4" xfId="15414" xr:uid="{EF4451C3-EFC7-484B-BD29-2CC79E5214F6}"/>
    <cellStyle name="Output 14 3 2 5" xfId="16341" xr:uid="{2E59EB2A-CB4C-41C9-8821-3638696039FC}"/>
    <cellStyle name="Output 14 3 2 6" xfId="17212" xr:uid="{F0212B70-7476-4F11-A00A-BD0AB44D3831}"/>
    <cellStyle name="Output 14 3 2 7" xfId="18059" xr:uid="{5A4E0838-2E97-494B-B3B4-793703E88805}"/>
    <cellStyle name="Output 14 3 2 8" xfId="18826" xr:uid="{3E4F0C3D-C5CD-4701-ABA5-7F4B899F25C3}"/>
    <cellStyle name="Output 14 3 3" xfId="9653" xr:uid="{E30DC2E0-5D83-40CE-AFC3-E4E3C757A5D1}"/>
    <cellStyle name="Output 14 3 3 2" xfId="14057" xr:uid="{0F8C5AD6-64E3-416B-9052-384EEFFE2310}"/>
    <cellStyle name="Output 14 3 3 3" xfId="15017" xr:uid="{62ED920A-C315-4359-96C9-288D4331E5F0}"/>
    <cellStyle name="Output 14 3 3 4" xfId="15969" xr:uid="{EE495038-9E33-430A-9098-35752E0AA3D7}"/>
    <cellStyle name="Output 14 3 3 5" xfId="16843" xr:uid="{142E1156-E20E-49AD-AB7F-D67E32F45A9B}"/>
    <cellStyle name="Output 14 3 3 6" xfId="17708" xr:uid="{3C0F5A91-17F9-46AF-AD40-027BFBB3D3DC}"/>
    <cellStyle name="Output 14 3 3 7" xfId="18484" xr:uid="{F13425DC-E469-401B-9C2F-97D42F1B2BAC}"/>
    <cellStyle name="Output 14 3 3 8" xfId="19241" xr:uid="{1B4D6C18-C543-4AD4-AD7D-389A5FE74FD8}"/>
    <cellStyle name="Output 14 3 4" xfId="12420" xr:uid="{2B3CF99A-5C8C-473E-8E60-9587F62284F2}"/>
    <cellStyle name="Output 14 3 5" xfId="10458" xr:uid="{B0C0F3F0-83EA-459B-A1E6-877997D8251C}"/>
    <cellStyle name="Output 14 3 6" xfId="13650" xr:uid="{B18F016C-29AA-434F-944A-D6FB70AE4C1D}"/>
    <cellStyle name="Output 14 3 7" xfId="14626" xr:uid="{A047CD38-8F15-48AD-8297-FFF741963C32}"/>
    <cellStyle name="Output 14 3 8" xfId="15578" xr:uid="{BED37416-FF9F-41AC-806E-098E8334ACD0}"/>
    <cellStyle name="Output 14 3 9" xfId="16473" xr:uid="{2F2FD2E7-F00F-4B4A-A814-34B060C52452}"/>
    <cellStyle name="Output 14 4" xfId="7992" xr:uid="{438B80E6-CD58-4697-A5EC-6B944327639C}"/>
    <cellStyle name="Output 14 4 2" xfId="12961" xr:uid="{E949A3B9-9DDA-43F9-B38A-AEC7C352BF35}"/>
    <cellStyle name="Output 14 4 3" xfId="10029" xr:uid="{03422899-EC99-416D-8DD5-8C9CD60EF24E}"/>
    <cellStyle name="Output 14 4 4" xfId="12692" xr:uid="{55E63EF5-2F40-4C95-8091-BC6B44873FF9}"/>
    <cellStyle name="Output 14 4 5" xfId="10229" xr:uid="{27F7846B-0792-4D4C-BE98-AAA14661CB70}"/>
    <cellStyle name="Output 14 4 6" xfId="12931" xr:uid="{A343C1E0-C5F9-44E6-92CB-6D678A636F57}"/>
    <cellStyle name="Output 14 4 7" xfId="12014" xr:uid="{67F3AB60-6738-4BB2-A492-4AE239BEB2F3}"/>
    <cellStyle name="Output 14 4 8" xfId="10819" xr:uid="{E5EC0F63-FBAB-4B9D-A514-132D5CE78CCD}"/>
    <cellStyle name="Output 14 5" xfId="9425" xr:uid="{80C9B953-76A6-4D8A-84AF-72A464DA6D35}"/>
    <cellStyle name="Output 14 5 2" xfId="13829" xr:uid="{29397F3E-2B07-4A5C-9ACC-C4423BBE08EC}"/>
    <cellStyle name="Output 14 5 3" xfId="14789" xr:uid="{F5DB5223-0DB7-409B-80B6-A614297F1755}"/>
    <cellStyle name="Output 14 5 4" xfId="15741" xr:uid="{502C26E8-1A58-4C8C-B392-E82EB9332116}"/>
    <cellStyle name="Output 14 5 5" xfId="16615" xr:uid="{B8204930-09DF-4B60-867C-4F9CF4A5677E}"/>
    <cellStyle name="Output 14 5 6" xfId="17480" xr:uid="{0535EBAA-43CA-4EDA-A878-D698452B444B}"/>
    <cellStyle name="Output 14 5 7" xfId="18256" xr:uid="{7AA167AD-47A5-4D99-9A65-E8018E68F1A6}"/>
    <cellStyle name="Output 14 5 8" xfId="19013" xr:uid="{2A9B2057-D870-49FE-891F-BD34546A0DC2}"/>
    <cellStyle name="Output 14 6" xfId="11866" xr:uid="{5006E421-5991-41C1-B208-7CC05FFE8DC0}"/>
    <cellStyle name="Output 14 7" xfId="10947" xr:uid="{FA572072-3BFF-4DD0-837B-5A81A492427D}"/>
    <cellStyle name="Output 14 8" xfId="11485" xr:uid="{8E9A52C8-19D4-4199-9B75-B03F2EFE772A}"/>
    <cellStyle name="Output 14 9" xfId="11245" xr:uid="{88C4A208-A45C-4651-A548-5E499CAD9819}"/>
    <cellStyle name="Output 15" xfId="6225" xr:uid="{9C43C9BA-F459-490E-A356-A7CDEDCE8A54}"/>
    <cellStyle name="Output 15 10" xfId="13077" xr:uid="{64151FCC-1570-4A6A-8E78-F1AB51ECD085}"/>
    <cellStyle name="Output 15 11" xfId="9932" xr:uid="{68ACFA85-8F84-4532-B22A-DD44C9E5329F}"/>
    <cellStyle name="Output 15 12" xfId="11833" xr:uid="{5B21DD5E-4B14-4E25-B9C6-6FB9CC3F53B8}"/>
    <cellStyle name="Output 15 2" xfId="6889" xr:uid="{A82BD28E-6CBA-47A5-B0EA-4F20B2749E8E}"/>
    <cellStyle name="Output 15 2 10" xfId="10850" xr:uid="{2B26630F-5C51-4335-AE9F-C0DAE523C596}"/>
    <cellStyle name="Output 15 2 11" xfId="11572" xr:uid="{6924A747-9E17-49D0-9215-583EC0D0C30C}"/>
    <cellStyle name="Output 15 2 2" xfId="7674" xr:uid="{18F5814B-AE4C-4451-B862-232BB548BCE4}"/>
    <cellStyle name="Output 15 2 2 10" xfId="18009" xr:uid="{056B706F-1562-4E63-850C-B0ECD4C66544}"/>
    <cellStyle name="Output 15 2 2 2" xfId="9314" xr:uid="{98EC4C1F-0AF1-4DE5-98E9-06B7FE7BE6F3}"/>
    <cellStyle name="Output 15 2 2 2 2" xfId="13748" xr:uid="{E232B4BB-8599-40FE-91D8-BEB1A05FADF3}"/>
    <cellStyle name="Output 15 2 2 2 3" xfId="14710" xr:uid="{2BF4AC70-7A6C-4980-8C91-6288A802A08D}"/>
    <cellStyle name="Output 15 2 2 2 4" xfId="15662" xr:uid="{C929963B-D428-4AC4-99A7-08676BE5FA01}"/>
    <cellStyle name="Output 15 2 2 2 5" xfId="16542" xr:uid="{1DB96D47-6D62-416E-AD19-ECEC75EF1FA8}"/>
    <cellStyle name="Output 15 2 2 2 6" xfId="17408" xr:uid="{62128CFC-F6BD-4371-89C1-C68660A136E7}"/>
    <cellStyle name="Output 15 2 2 2 7" xfId="18184" xr:uid="{1D13ED0A-5378-43A2-8CA9-A181AFD929D5}"/>
    <cellStyle name="Output 15 2 2 2 8" xfId="18941" xr:uid="{0D33D64E-BB40-41E6-85B4-4DE5F919864C}"/>
    <cellStyle name="Output 15 2 2 3" xfId="9768" xr:uid="{54600928-BEBA-41B6-9612-7883E646ECCD}"/>
    <cellStyle name="Output 15 2 2 3 2" xfId="14172" xr:uid="{038CDB3C-D9AD-4B40-9B5D-38EE0F215F0B}"/>
    <cellStyle name="Output 15 2 2 3 3" xfId="15132" xr:uid="{7885E0E1-77DD-4BB4-903F-2CEB51A9A321}"/>
    <cellStyle name="Output 15 2 2 3 4" xfId="16084" xr:uid="{CB4B0682-C533-4945-A8F8-69C1889CB27D}"/>
    <cellStyle name="Output 15 2 2 3 5" xfId="16958" xr:uid="{D7F63ABC-7C95-4898-95E5-4F3E97B13805}"/>
    <cellStyle name="Output 15 2 2 3 6" xfId="17823" xr:uid="{C10C8A00-1BA0-4962-976E-4132F9903872}"/>
    <cellStyle name="Output 15 2 2 3 7" xfId="18599" xr:uid="{56CE12C8-FA11-454C-A3D3-405173C28129}"/>
    <cellStyle name="Output 15 2 2 3 8" xfId="19356" xr:uid="{4D0253B3-0778-4B84-8B58-45B7C04D798A}"/>
    <cellStyle name="Output 15 2 2 4" xfId="12732" xr:uid="{01122559-E9CC-4B3B-89CB-282E4A935B06}"/>
    <cellStyle name="Output 15 2 2 5" xfId="13355" xr:uid="{423DC054-49A1-4BA9-AF20-EF72787F94F8}"/>
    <cellStyle name="Output 15 2 2 6" xfId="14369" xr:uid="{DF4634BE-5F1B-4155-A396-BEA4F1EB1471}"/>
    <cellStyle name="Output 15 2 2 7" xfId="15327" xr:uid="{1E2DF8E8-93F0-4FF3-B82C-5F3CCAC06777}"/>
    <cellStyle name="Output 15 2 2 8" xfId="16271" xr:uid="{73310339-BC3B-4CD8-99B3-3EA125E4BCA5}"/>
    <cellStyle name="Output 15 2 2 9" xfId="17144" xr:uid="{EA7AAD6C-9D02-4CD6-A996-F040886F3696}"/>
    <cellStyle name="Output 15 2 3" xfId="8529" xr:uid="{52C84112-87E6-458E-81D3-E9052DCDA2B2}"/>
    <cellStyle name="Output 15 2 3 2" xfId="13269" xr:uid="{42F49480-C54E-4EC0-AAF2-8BF7F871A1F9}"/>
    <cellStyle name="Output 15 2 3 3" xfId="14289" xr:uid="{542C4781-9223-46A5-8692-3204CD29597D}"/>
    <cellStyle name="Output 15 2 3 4" xfId="15249" xr:uid="{64C5197C-2B5C-4628-8925-94A4305CBD1E}"/>
    <cellStyle name="Output 15 2 3 5" xfId="16198" xr:uid="{9BBDE8F5-B380-44BB-9AD3-A8E406712642}"/>
    <cellStyle name="Output 15 2 3 6" xfId="17071" xr:uid="{8FA0A6EC-22C5-434D-8F10-CC50FBB31650}"/>
    <cellStyle name="Output 15 2 3 7" xfId="17936" xr:uid="{A2D77BB0-3F5D-4365-B77A-2F7D4CE23E52}"/>
    <cellStyle name="Output 15 2 3 8" xfId="18712" xr:uid="{0AD3EB95-E4B8-45D8-A4D4-F26341AE28BB}"/>
    <cellStyle name="Output 15 2 4" xfId="9539" xr:uid="{3334C8C6-4897-4E08-B147-FD7CA1138D2B}"/>
    <cellStyle name="Output 15 2 4 2" xfId="13943" xr:uid="{7AF30575-8BAE-40AA-A79E-FF1473D2E0DB}"/>
    <cellStyle name="Output 15 2 4 3" xfId="14903" xr:uid="{F364B0C3-76DA-4994-90A5-54CAC154428A}"/>
    <cellStyle name="Output 15 2 4 4" xfId="15855" xr:uid="{982C7D9E-BF3C-4D89-8A36-CE7F99B06DE0}"/>
    <cellStyle name="Output 15 2 4 5" xfId="16729" xr:uid="{FA82B067-B7C7-4D3A-B8E4-E5A6DB475AA6}"/>
    <cellStyle name="Output 15 2 4 6" xfId="17594" xr:uid="{44B3A3D0-3AAB-444F-A3D5-6CDE28A98160}"/>
    <cellStyle name="Output 15 2 4 7" xfId="18370" xr:uid="{C2A3A8F4-D501-4400-9EDA-1976457408DB}"/>
    <cellStyle name="Output 15 2 4 8" xfId="19127" xr:uid="{F6208937-7E53-4C31-82A9-484F3285710B}"/>
    <cellStyle name="Output 15 2 5" xfId="12240" xr:uid="{1BFCE0F2-4DDD-4373-A030-662BE3BED853}"/>
    <cellStyle name="Output 15 2 6" xfId="10625" xr:uid="{B963E507-4DDA-410C-BE15-8796B5606F08}"/>
    <cellStyle name="Output 15 2 7" xfId="12373" xr:uid="{65911FFA-D4D7-4359-8EDC-BB6B4FBCD7B5}"/>
    <cellStyle name="Output 15 2 8" xfId="10502" xr:uid="{AA601B05-CA26-487A-9441-008FF11B2EDA}"/>
    <cellStyle name="Output 15 2 9" xfId="11978" xr:uid="{25682525-596B-401C-91B2-F92CE5F1A875}"/>
    <cellStyle name="Output 15 3" xfId="7151" xr:uid="{7A8B8667-86C0-446D-AF68-F7E84F7267B5}"/>
    <cellStyle name="Output 15 3 10" xfId="11974" xr:uid="{AEE5446B-0A2F-4376-9D53-A599322E0DC2}"/>
    <cellStyle name="Output 15 3 2" xfId="8791" xr:uid="{8FB5F095-1782-4854-ADEA-13572C3D7E8B}"/>
    <cellStyle name="Output 15 3 2 2" xfId="13451" xr:uid="{55313D21-E523-45D3-82C1-6C53559278E4}"/>
    <cellStyle name="Output 15 3 2 3" xfId="14457" xr:uid="{828A3AEC-DCF3-4E6C-8E48-6960F8575449}"/>
    <cellStyle name="Output 15 3 2 4" xfId="15415" xr:uid="{FD85757B-9A9C-4D4F-BEFA-C199CCDDBA04}"/>
    <cellStyle name="Output 15 3 2 5" xfId="16342" xr:uid="{06BCEE15-9D0D-4694-8147-97D7ED88FD34}"/>
    <cellStyle name="Output 15 3 2 6" xfId="17213" xr:uid="{A05E4E28-0093-428B-BD6B-798A94A305F2}"/>
    <cellStyle name="Output 15 3 2 7" xfId="18060" xr:uid="{B85A00A3-5231-4F4A-9F5A-2E8D2097A284}"/>
    <cellStyle name="Output 15 3 2 8" xfId="18827" xr:uid="{A8CC45DB-F421-4C79-96C0-0C5ACCDCC14A}"/>
    <cellStyle name="Output 15 3 3" xfId="9654" xr:uid="{E5D9B5AE-FB86-48A7-9112-5E597601BA4C}"/>
    <cellStyle name="Output 15 3 3 2" xfId="14058" xr:uid="{26C3B3A7-F466-411D-B3F8-8319A623F84B}"/>
    <cellStyle name="Output 15 3 3 3" xfId="15018" xr:uid="{2B9CC11F-33E4-4F09-AC28-618943F9F736}"/>
    <cellStyle name="Output 15 3 3 4" xfId="15970" xr:uid="{DC2881EE-62C2-426D-A265-5D50EFC05216}"/>
    <cellStyle name="Output 15 3 3 5" xfId="16844" xr:uid="{FBA78D1A-CA1E-4C4B-9794-D68B01471E15}"/>
    <cellStyle name="Output 15 3 3 6" xfId="17709" xr:uid="{12D8F0D9-E592-43BD-8998-6BC81B7F95B2}"/>
    <cellStyle name="Output 15 3 3 7" xfId="18485" xr:uid="{E4DF0A76-6CA3-46A9-9853-06979F7055F3}"/>
    <cellStyle name="Output 15 3 3 8" xfId="19242" xr:uid="{B10F441C-B502-4D0B-998A-501A3D67330E}"/>
    <cellStyle name="Output 15 3 4" xfId="12421" xr:uid="{B475EF79-B539-44DA-957C-4A55A1F9EFFB}"/>
    <cellStyle name="Output 15 3 5" xfId="10457" xr:uid="{01262C2E-E779-4FEF-A035-5F2108360E32}"/>
    <cellStyle name="Output 15 3 6" xfId="13042" xr:uid="{05488DEF-2D13-43AB-8950-6148FD615C69}"/>
    <cellStyle name="Output 15 3 7" xfId="9960" xr:uid="{9A4E3138-2A94-445A-917C-1071B276C572}"/>
    <cellStyle name="Output 15 3 8" xfId="12162" xr:uid="{605839B2-7DB6-4E37-BB84-ACEE7625C926}"/>
    <cellStyle name="Output 15 3 9" xfId="10698" xr:uid="{B7578ED9-EF4E-4B18-A000-F88C0119C256}"/>
    <cellStyle name="Output 15 4" xfId="7993" xr:uid="{B645C001-964E-4B83-AA32-A5CDB4AD91C7}"/>
    <cellStyle name="Output 15 4 2" xfId="12962" xr:uid="{C1BC16F1-B3AA-49EA-8253-BFA5AFCA5B89}"/>
    <cellStyle name="Output 15 4 3" xfId="10028" xr:uid="{611B7D57-9649-4210-82EA-41B39000AE9E}"/>
    <cellStyle name="Output 15 4 4" xfId="13713" xr:uid="{8F8587EF-E78B-4E94-AE09-8378A018753D}"/>
    <cellStyle name="Output 15 4 5" xfId="14677" xr:uid="{48B52A02-E562-41A2-847C-E4381AD370B2}"/>
    <cellStyle name="Output 15 4 6" xfId="15629" xr:uid="{E33891C0-273C-4E52-B699-414233E1EA29}"/>
    <cellStyle name="Output 15 4 7" xfId="16511" xr:uid="{E256285A-5572-4289-AC5B-0EAB8C366F11}"/>
    <cellStyle name="Output 15 4 8" xfId="17379" xr:uid="{B293D6B1-2C69-484B-917C-67285F76678C}"/>
    <cellStyle name="Output 15 5" xfId="9426" xr:uid="{3462086E-1DAA-4D50-B827-399399AF8FA8}"/>
    <cellStyle name="Output 15 5 2" xfId="13830" xr:uid="{2116F15E-6131-48F3-9B11-0CF1B5EEB0DA}"/>
    <cellStyle name="Output 15 5 3" xfId="14790" xr:uid="{4501AA70-FDF0-44B6-BCD6-A199C875BB14}"/>
    <cellStyle name="Output 15 5 4" xfId="15742" xr:uid="{C8D37848-093B-496E-837F-43D149ED264E}"/>
    <cellStyle name="Output 15 5 5" xfId="16616" xr:uid="{6644858B-75DA-4AB0-A08C-EB8FCC45F1BB}"/>
    <cellStyle name="Output 15 5 6" xfId="17481" xr:uid="{50EEAA75-AEB9-4F8F-9652-0353833A7BA0}"/>
    <cellStyle name="Output 15 5 7" xfId="18257" xr:uid="{B2DECAAB-86F7-4470-9B90-6ABA55D77DC0}"/>
    <cellStyle name="Output 15 5 8" xfId="19014" xr:uid="{E822DBDB-5A89-4A27-A7EB-C8085F0BF845}"/>
    <cellStyle name="Output 15 6" xfId="11867" xr:uid="{7B18D668-4E8F-4542-BE69-350582867C85}"/>
    <cellStyle name="Output 15 7" xfId="10946" xr:uid="{28EA348B-12CC-4592-B05A-8B7C5B746CBE}"/>
    <cellStyle name="Output 15 8" xfId="11486" xr:uid="{A70E73D9-9F66-4FA1-8358-F9A921B143BB}"/>
    <cellStyle name="Output 15 9" xfId="11244" xr:uid="{82EE732F-4E2E-4E59-A4A0-69FE23B96EE4}"/>
    <cellStyle name="Output 16" xfId="6226" xr:uid="{9E101474-F51D-4BE2-8960-3B25935D583B}"/>
    <cellStyle name="Output 16 10" xfId="11958" xr:uid="{501F340C-B31E-459A-B29B-5E5A9020108C}"/>
    <cellStyle name="Output 16 11" xfId="10864" xr:uid="{CBE911C4-374C-40F7-A0B5-6064EB12393C}"/>
    <cellStyle name="Output 16 12" xfId="11558" xr:uid="{E836F164-378F-4ED6-9F00-C8E7C191189D}"/>
    <cellStyle name="Output 16 2" xfId="6890" xr:uid="{76278B6F-6F90-4DEF-906B-EAAA2BEAC5E0}"/>
    <cellStyle name="Output 16 2 10" xfId="16302" xr:uid="{765CD68D-8344-44A7-8C29-EA2091306F12}"/>
    <cellStyle name="Output 16 2 11" xfId="17174" xr:uid="{90FF7D10-1CDC-4155-8901-0FF287B5A586}"/>
    <cellStyle name="Output 16 2 2" xfId="7675" xr:uid="{A20A5F8A-6E5C-4F11-AC1B-56679E80CC49}"/>
    <cellStyle name="Output 16 2 2 10" xfId="9955" xr:uid="{B657288D-0077-4958-AF75-DBF0F9F00E28}"/>
    <cellStyle name="Output 16 2 2 2" xfId="9315" xr:uid="{2E159086-2AB4-4EEB-9F0D-43775624FCC0}"/>
    <cellStyle name="Output 16 2 2 2 2" xfId="13749" xr:uid="{D9CF5D81-5364-4F35-9CC5-52100C681DDA}"/>
    <cellStyle name="Output 16 2 2 2 3" xfId="14711" xr:uid="{6D629C2D-BC22-402A-89D7-31284307DB15}"/>
    <cellStyle name="Output 16 2 2 2 4" xfId="15663" xr:uid="{C3728162-9DF6-43D6-AE09-CED2999F192E}"/>
    <cellStyle name="Output 16 2 2 2 5" xfId="16543" xr:uid="{85C4DDE0-6CE4-442E-83CD-F5FDC176A0F9}"/>
    <cellStyle name="Output 16 2 2 2 6" xfId="17409" xr:uid="{94921AB6-FF16-4EA9-A398-8F76677040F0}"/>
    <cellStyle name="Output 16 2 2 2 7" xfId="18185" xr:uid="{3C5F37EC-D86A-475D-83A6-78F4F1BCF232}"/>
    <cellStyle name="Output 16 2 2 2 8" xfId="18942" xr:uid="{8A9F5F03-2033-4A63-BA9B-E097D40D104D}"/>
    <cellStyle name="Output 16 2 2 3" xfId="9769" xr:uid="{D905ECE3-45F4-4D3D-9D67-7F6306534DD7}"/>
    <cellStyle name="Output 16 2 2 3 2" xfId="14173" xr:uid="{A2FD1FF4-904F-4EB3-9983-2286957F0DEA}"/>
    <cellStyle name="Output 16 2 2 3 3" xfId="15133" xr:uid="{47C99582-66A7-46FA-B07C-B8871E335B62}"/>
    <cellStyle name="Output 16 2 2 3 4" xfId="16085" xr:uid="{EEEB2F6E-7D31-42DE-83CD-D47FBDDC910B}"/>
    <cellStyle name="Output 16 2 2 3 5" xfId="16959" xr:uid="{B2F35154-A06E-48AD-A316-F00020B1D17D}"/>
    <cellStyle name="Output 16 2 2 3 6" xfId="17824" xr:uid="{AB1F32D5-C49A-4C5C-89A6-665D0833AFBC}"/>
    <cellStyle name="Output 16 2 2 3 7" xfId="18600" xr:uid="{C8B5E509-46F3-4FDC-9A5B-0726D823B4B6}"/>
    <cellStyle name="Output 16 2 2 3 8" xfId="19357" xr:uid="{85569062-89BE-4D5C-B62F-F76C69FA139B}"/>
    <cellStyle name="Output 16 2 2 4" xfId="12733" xr:uid="{C7148CE7-A7C8-46BA-9496-E50446FAFEAA}"/>
    <cellStyle name="Output 16 2 2 5" xfId="12326" xr:uid="{390570D7-4DF1-4459-AE2B-75EF459F70D0}"/>
    <cellStyle name="Output 16 2 2 6" xfId="10544" xr:uid="{C05B2588-0595-44A8-87AC-EA5AB2C03A83}"/>
    <cellStyle name="Output 16 2 2 7" xfId="12614" xr:uid="{CBCA50DD-87B5-4DC1-B406-3CAD5FB81BB7}"/>
    <cellStyle name="Output 16 2 2 8" xfId="10291" xr:uid="{3CA6E027-666A-415B-9212-74F6D0791363}"/>
    <cellStyle name="Output 16 2 2 9" xfId="13047" xr:uid="{5DC0D8A9-D72B-439F-9EEA-8DE8FF6FE25B}"/>
    <cellStyle name="Output 16 2 3" xfId="8530" xr:uid="{E9659CE5-48CA-4BC4-86BD-14A486846330}"/>
    <cellStyle name="Output 16 2 3 2" xfId="13270" xr:uid="{A5E16194-F2C7-4081-A0E7-56E925F45A36}"/>
    <cellStyle name="Output 16 2 3 3" xfId="14290" xr:uid="{CA07406C-F307-4C02-9192-614868D9AA0D}"/>
    <cellStyle name="Output 16 2 3 4" xfId="15250" xr:uid="{1E960696-7F29-4821-A780-217128A3B8C1}"/>
    <cellStyle name="Output 16 2 3 5" xfId="16199" xr:uid="{A94DD026-0860-4007-8C99-7EAC8FC18C12}"/>
    <cellStyle name="Output 16 2 3 6" xfId="17072" xr:uid="{AE7BDAFA-708F-432B-83F2-3FE71DF632F6}"/>
    <cellStyle name="Output 16 2 3 7" xfId="17937" xr:uid="{F7E2343F-6A1E-4FBB-9F62-848321942570}"/>
    <cellStyle name="Output 16 2 3 8" xfId="18713" xr:uid="{7C8DC013-7300-47AE-B410-0E5C647A8277}"/>
    <cellStyle name="Output 16 2 4" xfId="9540" xr:uid="{1D8D03B3-AC29-49F6-9BA2-086235131F82}"/>
    <cellStyle name="Output 16 2 4 2" xfId="13944" xr:uid="{52150CC0-19DE-495C-902E-6E8BF6CDA559}"/>
    <cellStyle name="Output 16 2 4 3" xfId="14904" xr:uid="{FD46EC91-379F-416D-ABEC-A5AF57789D9E}"/>
    <cellStyle name="Output 16 2 4 4" xfId="15856" xr:uid="{BDB2A6F3-A836-48DE-8420-D907D2F879BB}"/>
    <cellStyle name="Output 16 2 4 5" xfId="16730" xr:uid="{60AB3F35-36CC-4D01-9011-0CBFFB0A0971}"/>
    <cellStyle name="Output 16 2 4 6" xfId="17595" xr:uid="{5851CF07-BA5F-4EC7-90ED-52DCE8DE114F}"/>
    <cellStyle name="Output 16 2 4 7" xfId="18371" xr:uid="{717ED2DD-C023-437F-9DCE-EBD5C345180D}"/>
    <cellStyle name="Output 16 2 4 8" xfId="19128" xr:uid="{3914A5DB-4836-46F2-95BA-5071E13F3716}"/>
    <cellStyle name="Output 16 2 5" xfId="12241" xr:uid="{D756C9FC-8EC6-44F6-A52F-C808B9467F34}"/>
    <cellStyle name="Output 16 2 6" xfId="10624" xr:uid="{2DE383C4-8C59-4F80-A168-76F7301C5702}"/>
    <cellStyle name="Output 16 2 7" xfId="13404" xr:uid="{0F57E02B-6A6A-4D08-8DDE-3B27B6C78E55}"/>
    <cellStyle name="Output 16 2 8" xfId="14413" xr:uid="{6B4C3E60-FA5B-4430-BCDB-BB83C65E8AE2}"/>
    <cellStyle name="Output 16 2 9" xfId="15371" xr:uid="{B883B80C-9C19-4F4F-B8F6-9245D806930A}"/>
    <cellStyle name="Output 16 3" xfId="7152" xr:uid="{F662FFC8-99B8-49B4-BFB8-28592DAE7E4C}"/>
    <cellStyle name="Output 16 3 10" xfId="13091" xr:uid="{C439BB72-AA9D-4901-8B85-5FBC86D065AA}"/>
    <cellStyle name="Output 16 3 2" xfId="8792" xr:uid="{0C398105-66BE-4A6F-9D92-965889B03A2F}"/>
    <cellStyle name="Output 16 3 2 2" xfId="13452" xr:uid="{D63F14E3-2FB9-4E7F-93C7-32A24FC08315}"/>
    <cellStyle name="Output 16 3 2 3" xfId="14458" xr:uid="{FBD44014-9D46-4EDA-829F-BC67ACC97D3D}"/>
    <cellStyle name="Output 16 3 2 4" xfId="15416" xr:uid="{C617F2DA-5D3E-49E5-B7BC-E20C8A7070A2}"/>
    <cellStyle name="Output 16 3 2 5" xfId="16343" xr:uid="{D7C98AA5-3BB7-4C2B-8F79-13DBCD11CD2F}"/>
    <cellStyle name="Output 16 3 2 6" xfId="17214" xr:uid="{5CA0A0F4-2D82-4ABA-89E7-FE1CF22FEAA7}"/>
    <cellStyle name="Output 16 3 2 7" xfId="18061" xr:uid="{060924AB-7F0B-451D-8DA3-D6D6C0D23F10}"/>
    <cellStyle name="Output 16 3 2 8" xfId="18828" xr:uid="{F6334F41-6A47-4C50-98D5-34ED0894108C}"/>
    <cellStyle name="Output 16 3 3" xfId="9655" xr:uid="{A3094161-63C1-4976-9E87-17EBBD29E2AC}"/>
    <cellStyle name="Output 16 3 3 2" xfId="14059" xr:uid="{3DD01FCA-41EA-4BB4-803B-41A88397B271}"/>
    <cellStyle name="Output 16 3 3 3" xfId="15019" xr:uid="{1D91EE88-D736-44B0-9AE2-D2B683E9DE9C}"/>
    <cellStyle name="Output 16 3 3 4" xfId="15971" xr:uid="{EDBD2A56-7799-4899-8A65-B847F475D3B0}"/>
    <cellStyle name="Output 16 3 3 5" xfId="16845" xr:uid="{B7C85111-B3D1-412D-8159-F0F89388661A}"/>
    <cellStyle name="Output 16 3 3 6" xfId="17710" xr:uid="{CCB5D659-8C93-42EF-B0D3-6A4B8DF747AF}"/>
    <cellStyle name="Output 16 3 3 7" xfId="18486" xr:uid="{1A90C8AD-138D-46D2-8D0D-3532128A73AD}"/>
    <cellStyle name="Output 16 3 3 8" xfId="19243" xr:uid="{BB60F636-C26B-4023-BB19-4161516574CD}"/>
    <cellStyle name="Output 16 3 4" xfId="12422" xr:uid="{4EF834C3-ADB0-44EA-BE7B-AAC2AD4CDF50}"/>
    <cellStyle name="Output 16 3 5" xfId="10456" xr:uid="{982F328E-79F1-4554-A2BA-A0984DC0BB30}"/>
    <cellStyle name="Output 16 3 6" xfId="12378" xr:uid="{0ACA44EA-EF4F-46C7-86FD-5107C3D7BA75}"/>
    <cellStyle name="Output 16 3 7" xfId="10497" xr:uid="{C7A34E02-8B9B-4DC7-B34E-94A234E73C41}"/>
    <cellStyle name="Output 16 3 8" xfId="11695" xr:uid="{C5A20E84-B05D-4AF2-9DA6-8721EC8F59F0}"/>
    <cellStyle name="Output 16 3 9" xfId="11090" xr:uid="{DADB9825-83C5-400E-BD15-A2CDF3D1628C}"/>
    <cellStyle name="Output 16 4" xfId="7994" xr:uid="{06E852FB-19E7-4B0B-BB07-D8CD3E9E5AE8}"/>
    <cellStyle name="Output 16 4 2" xfId="12963" xr:uid="{535500AE-771D-4F99-9AA9-D2A8F287D864}"/>
    <cellStyle name="Output 16 4 3" xfId="10027" xr:uid="{1FC8CEC4-2EC6-46C4-88F1-5C8D27A9BACD}"/>
    <cellStyle name="Output 16 4 4" xfId="13188" xr:uid="{D3696783-F315-4907-9C26-43BE2B75D024}"/>
    <cellStyle name="Output 16 4 5" xfId="9850" xr:uid="{79CB5284-CD82-40E0-A7AD-A4AA65E0EC4E}"/>
    <cellStyle name="Output 16 4 6" xfId="12174" xr:uid="{E8F042E3-8C78-4D30-9B82-C5FC810A1871}"/>
    <cellStyle name="Output 16 4 7" xfId="10691" xr:uid="{8430B194-DEF7-4438-9431-B06A2BD11D0F}"/>
    <cellStyle name="Output 16 4 8" xfId="13110" xr:uid="{4687646C-AA79-4A9B-8F32-CBE72021DBC6}"/>
    <cellStyle name="Output 16 5" xfId="9427" xr:uid="{D1834C76-1C9C-4CEF-B6DC-4CA8EEC24106}"/>
    <cellStyle name="Output 16 5 2" xfId="13831" xr:uid="{E30EDFDC-66D7-419D-8202-0A716F2611C3}"/>
    <cellStyle name="Output 16 5 3" xfId="14791" xr:uid="{C03AF278-73D1-48F0-91E2-A83E1755DFFA}"/>
    <cellStyle name="Output 16 5 4" xfId="15743" xr:uid="{6E330905-D3AB-458C-974F-375503741C80}"/>
    <cellStyle name="Output 16 5 5" xfId="16617" xr:uid="{EEBF64EB-A1C9-44EF-B4D8-0EDEE0C2EE5A}"/>
    <cellStyle name="Output 16 5 6" xfId="17482" xr:uid="{2B92B7B8-B975-4907-AC75-CE9960E9B568}"/>
    <cellStyle name="Output 16 5 7" xfId="18258" xr:uid="{83620B9A-5B2E-4498-BBE4-64FD495F12E9}"/>
    <cellStyle name="Output 16 5 8" xfId="19015" xr:uid="{1085578C-85E6-41C2-A57A-73BA7CE13A00}"/>
    <cellStyle name="Output 16 6" xfId="11868" xr:uid="{D87AD107-C483-4726-B3F9-3B2A8649C2D0}"/>
    <cellStyle name="Output 16 7" xfId="10945" xr:uid="{67CA9756-EA0A-48C7-8305-7797B1D59667}"/>
    <cellStyle name="Output 16 8" xfId="11487" xr:uid="{80307330-3676-4A3C-AD21-7C2813BE716C}"/>
    <cellStyle name="Output 16 9" xfId="11243" xr:uid="{A600746F-ACE0-4F05-889F-9EB061F79E93}"/>
    <cellStyle name="Output 17" xfId="6227" xr:uid="{312638EE-5C63-4E62-BDAD-043D434427AA}"/>
    <cellStyle name="Output 17 10" xfId="12529" xr:uid="{9A19A796-B401-49BC-82EB-75F1BC6ACE74}"/>
    <cellStyle name="Output 17 11" xfId="10354" xr:uid="{11925C8D-0042-4D46-B3D8-C9BAE67EABFC}"/>
    <cellStyle name="Output 17 12" xfId="12645" xr:uid="{6B3ACAC2-AC09-4D5F-8B2A-7CD63F82B920}"/>
    <cellStyle name="Output 17 2" xfId="6891" xr:uid="{5AE9E283-8981-42F2-AF01-AD683579BE17}"/>
    <cellStyle name="Output 17 2 10" xfId="10237" xr:uid="{D7C2BD4A-A556-4B09-B5C3-BD4EE8E15965}"/>
    <cellStyle name="Output 17 2 11" xfId="11770" xr:uid="{A428DE40-816E-4676-9FA8-D1F6C3157476}"/>
    <cellStyle name="Output 17 2 2" xfId="7676" xr:uid="{DD803D09-44A1-46B5-A9CB-B33ECE4BEE46}"/>
    <cellStyle name="Output 17 2 2 10" xfId="16516" xr:uid="{7BA70DD5-0BB4-4F78-B83C-5E1326B27985}"/>
    <cellStyle name="Output 17 2 2 2" xfId="9316" xr:uid="{8C62F515-FE9A-4522-BC34-83FDD633CB06}"/>
    <cellStyle name="Output 17 2 2 2 2" xfId="13750" xr:uid="{F0D56F5C-B2D1-453D-86A4-56B31223DACA}"/>
    <cellStyle name="Output 17 2 2 2 3" xfId="14712" xr:uid="{61AD74D8-9323-42B5-87CD-70F05A66F3E9}"/>
    <cellStyle name="Output 17 2 2 2 4" xfId="15664" xr:uid="{151CCEF5-7909-4832-8A74-6C9E25D3EDEC}"/>
    <cellStyle name="Output 17 2 2 2 5" xfId="16544" xr:uid="{1DFACD2A-73C5-4BA5-8457-97FEA6222090}"/>
    <cellStyle name="Output 17 2 2 2 6" xfId="17410" xr:uid="{3DCD43DB-8DC0-45F5-92CE-F951021DFF2D}"/>
    <cellStyle name="Output 17 2 2 2 7" xfId="18186" xr:uid="{5E126313-062A-4179-9C70-9521D0057542}"/>
    <cellStyle name="Output 17 2 2 2 8" xfId="18943" xr:uid="{F3A3F413-F383-4AE7-94F9-4B459411A4E1}"/>
    <cellStyle name="Output 17 2 2 3" xfId="9770" xr:uid="{1B092054-6545-4E13-8976-6AFC4479E063}"/>
    <cellStyle name="Output 17 2 2 3 2" xfId="14174" xr:uid="{77A447A2-55B8-4354-8374-876C27BB1DCB}"/>
    <cellStyle name="Output 17 2 2 3 3" xfId="15134" xr:uid="{A4824BC2-777B-491A-B38A-95B276AB2278}"/>
    <cellStyle name="Output 17 2 2 3 4" xfId="16086" xr:uid="{00E55E00-5803-4CA9-ACF1-F9F52E93C113}"/>
    <cellStyle name="Output 17 2 2 3 5" xfId="16960" xr:uid="{19AD663B-6F5B-4DC4-973D-2ACB022CDD35}"/>
    <cellStyle name="Output 17 2 2 3 6" xfId="17825" xr:uid="{ADEE4E5A-EA6D-4543-8C2F-D3FA6BC7AB31}"/>
    <cellStyle name="Output 17 2 2 3 7" xfId="18601" xr:uid="{E93AD4BF-0B8E-4D36-9A37-E73A307D5EFF}"/>
    <cellStyle name="Output 17 2 2 3 8" xfId="19358" xr:uid="{91207D65-A64D-4A02-86CB-2225C7CA4519}"/>
    <cellStyle name="Output 17 2 2 4" xfId="12734" xr:uid="{944EAE83-742F-4796-BCCD-23B6A7792EA1}"/>
    <cellStyle name="Output 17 2 2 5" xfId="13071" xr:uid="{E5C8B97C-72DF-4DFA-9B51-5D7F327C1E2F}"/>
    <cellStyle name="Output 17 2 2 6" xfId="9936" xr:uid="{7390946C-96D5-4485-B99C-6197F2459F1F}"/>
    <cellStyle name="Output 17 2 2 7" xfId="13721" xr:uid="{A68C0B82-FBB4-453A-9356-726BAC5563AC}"/>
    <cellStyle name="Output 17 2 2 8" xfId="14684" xr:uid="{F77D659C-720D-43FA-A398-AE4D2DA1252D}"/>
    <cellStyle name="Output 17 2 2 9" xfId="15636" xr:uid="{2DA72343-BA7C-41B8-9A80-4E51336C8660}"/>
    <cellStyle name="Output 17 2 3" xfId="8531" xr:uid="{271ED365-FB63-4444-A262-290B7980F7DD}"/>
    <cellStyle name="Output 17 2 3 2" xfId="13271" xr:uid="{0F9C5634-35E2-4B6A-AB29-1904BD5471D1}"/>
    <cellStyle name="Output 17 2 3 3" xfId="14291" xr:uid="{F7681EE4-8828-44F8-AA36-241D6159CD33}"/>
    <cellStyle name="Output 17 2 3 4" xfId="15251" xr:uid="{FF1F23E5-6E2C-49F3-850D-272754187DE1}"/>
    <cellStyle name="Output 17 2 3 5" xfId="16200" xr:uid="{2362DD4B-0F72-454F-B699-474D58A801D6}"/>
    <cellStyle name="Output 17 2 3 6" xfId="17073" xr:uid="{BE7C0563-9737-4F00-8565-ACC3EE0F5E40}"/>
    <cellStyle name="Output 17 2 3 7" xfId="17938" xr:uid="{764DCD54-784F-45A7-9C67-A137F3828B1D}"/>
    <cellStyle name="Output 17 2 3 8" xfId="18714" xr:uid="{ED1AB5DF-4037-4D35-8C1E-721BB540B91A}"/>
    <cellStyle name="Output 17 2 4" xfId="9541" xr:uid="{C63A9A88-36CE-4704-A5C2-3B3AE378BF0C}"/>
    <cellStyle name="Output 17 2 4 2" xfId="13945" xr:uid="{A4862987-41AC-42DC-9D7C-32E3EC7F1708}"/>
    <cellStyle name="Output 17 2 4 3" xfId="14905" xr:uid="{239D3745-E08E-4ED0-A1EE-D5BA5FDEDCF9}"/>
    <cellStyle name="Output 17 2 4 4" xfId="15857" xr:uid="{EE7F62D1-B331-480A-BDCD-19F2BC866C7D}"/>
    <cellStyle name="Output 17 2 4 5" xfId="16731" xr:uid="{AA008D61-18BC-4EE0-9993-84D410A9D366}"/>
    <cellStyle name="Output 17 2 4 6" xfId="17596" xr:uid="{B136B4B9-ADD5-4615-8DE8-6EC238C7FFFD}"/>
    <cellStyle name="Output 17 2 4 7" xfId="18372" xr:uid="{B70F9F0E-D9C2-4BC7-91A0-9DFE3466EC63}"/>
    <cellStyle name="Output 17 2 4 8" xfId="19129" xr:uid="{2F0272B4-A9AE-43FF-99DA-E5ED8B587977}"/>
    <cellStyle name="Output 17 2 5" xfId="12242" xr:uid="{F2C5B9B0-58BB-451A-BEC6-5EF51250767B}"/>
    <cellStyle name="Output 17 2 6" xfId="10623" xr:uid="{9031699C-C2E6-4178-9AC9-4A5505BEA03A}"/>
    <cellStyle name="Output 17 2 7" xfId="12915" xr:uid="{2F4988F5-B828-44DD-8185-C27A35702C88}"/>
    <cellStyle name="Output 17 2 8" xfId="10069" xr:uid="{4A689F75-35DD-45DD-9448-EC5C4C58FBA4}"/>
    <cellStyle name="Output 17 2 9" xfId="12684" xr:uid="{C70A90DC-B75E-4013-8848-C75E2FE70964}"/>
    <cellStyle name="Output 17 3" xfId="7153" xr:uid="{48DBA17E-2E18-40F0-ABAF-D3901D50E66D}"/>
    <cellStyle name="Output 17 3 10" xfId="17179" xr:uid="{2EA879C8-6A6E-422A-AB9E-52656047307F}"/>
    <cellStyle name="Output 17 3 2" xfId="8793" xr:uid="{A993719B-02D9-4AF9-B13C-60232C40DA97}"/>
    <cellStyle name="Output 17 3 2 2" xfId="13453" xr:uid="{B87A5EE0-F104-48F0-8433-0CC39B36820A}"/>
    <cellStyle name="Output 17 3 2 3" xfId="14459" xr:uid="{B611001F-5143-449C-A5C7-DB639CC47535}"/>
    <cellStyle name="Output 17 3 2 4" xfId="15417" xr:uid="{49F8901F-9197-4519-9B6D-4EA339279B4B}"/>
    <cellStyle name="Output 17 3 2 5" xfId="16344" xr:uid="{0DF55406-11B2-404A-A0FA-9114145D73FC}"/>
    <cellStyle name="Output 17 3 2 6" xfId="17215" xr:uid="{6675166E-C63A-4827-BDD3-812E4D40A097}"/>
    <cellStyle name="Output 17 3 2 7" xfId="18062" xr:uid="{F2830436-960C-4628-8745-D4A17E0A67CB}"/>
    <cellStyle name="Output 17 3 2 8" xfId="18829" xr:uid="{D81DB2AA-C32B-451C-BCCD-B3F9ABE94C4B}"/>
    <cellStyle name="Output 17 3 3" xfId="9656" xr:uid="{98809230-9CB3-4294-BB2D-CCBFC72A997A}"/>
    <cellStyle name="Output 17 3 3 2" xfId="14060" xr:uid="{A1046F48-D362-42FA-ABEE-DB60CB2FE80A}"/>
    <cellStyle name="Output 17 3 3 3" xfId="15020" xr:uid="{AE76DA15-2600-48AF-8282-B28A762A9BE5}"/>
    <cellStyle name="Output 17 3 3 4" xfId="15972" xr:uid="{F668811A-8620-4192-8A8C-0CF82932268D}"/>
    <cellStyle name="Output 17 3 3 5" xfId="16846" xr:uid="{29834728-8BEA-42EC-9C1E-6436A95072BB}"/>
    <cellStyle name="Output 17 3 3 6" xfId="17711" xr:uid="{262DD7A7-9E52-4769-B715-223DFF882EA1}"/>
    <cellStyle name="Output 17 3 3 7" xfId="18487" xr:uid="{87143888-2E6E-480A-943C-CC908D3B73D3}"/>
    <cellStyle name="Output 17 3 3 8" xfId="19244" xr:uid="{9ED5C79F-A7BC-4BB3-9D7F-13AE92C78BC9}"/>
    <cellStyle name="Output 17 3 4" xfId="12423" xr:uid="{CF16928B-0CA8-4020-B2CB-CE69134A3A0D}"/>
    <cellStyle name="Output 17 3 5" xfId="10455" xr:uid="{923DC679-02AA-4D63-A90F-269BE688AA15}"/>
    <cellStyle name="Output 17 3 6" xfId="13409" xr:uid="{2D0F27EC-95FA-4080-BCCE-C1BB9772744B}"/>
    <cellStyle name="Output 17 3 7" xfId="14418" xr:uid="{BBC9D03C-B929-4FF7-9D37-004125100A79}"/>
    <cellStyle name="Output 17 3 8" xfId="15376" xr:uid="{A8FEC353-2B2F-44ED-B0DC-3E730EAE8786}"/>
    <cellStyle name="Output 17 3 9" xfId="16307" xr:uid="{F97EDF8D-A15C-4C21-BFE4-9E0018294736}"/>
    <cellStyle name="Output 17 4" xfId="7995" xr:uid="{0018FF6B-88CB-4978-A0A9-876B9CA5D930}"/>
    <cellStyle name="Output 17 4 2" xfId="12964" xr:uid="{44416DC1-3E4B-4003-A534-E53A3D3B6771}"/>
    <cellStyle name="Output 17 4 3" xfId="10026" xr:uid="{B3FB570F-19C7-4FDA-9C0A-E6AA99945E15}"/>
    <cellStyle name="Output 17 4 4" xfId="12690" xr:uid="{BF2A0919-8048-4FB7-8524-2C273DAF9E15}"/>
    <cellStyle name="Output 17 4 5" xfId="10231" xr:uid="{27387762-E7C2-4473-9EB9-979FDAA0773C}"/>
    <cellStyle name="Output 17 4 6" xfId="12388" xr:uid="{869A4796-7568-48B0-ACAD-486C88D13042}"/>
    <cellStyle name="Output 17 4 7" xfId="10489" xr:uid="{B5061979-F241-49FB-B0F4-6886D0C171C7}"/>
    <cellStyle name="Output 17 4 8" xfId="12624" xr:uid="{7ECB139B-C5EC-44E0-AD1F-39FF5BC07A18}"/>
    <cellStyle name="Output 17 5" xfId="9428" xr:uid="{12F4DFB6-B6FB-4488-9E52-53AFC14DF933}"/>
    <cellStyle name="Output 17 5 2" xfId="13832" xr:uid="{AEBE4362-CD5D-4F03-8C7E-CF91D6A1051B}"/>
    <cellStyle name="Output 17 5 3" xfId="14792" xr:uid="{5E5DB7D8-4D5F-4DF1-AC18-5C51B68DF185}"/>
    <cellStyle name="Output 17 5 4" xfId="15744" xr:uid="{C75B4910-4E5E-48EC-9FC6-553312E06A75}"/>
    <cellStyle name="Output 17 5 5" xfId="16618" xr:uid="{C9160495-E35D-4EF5-AED2-0E40B7134F9E}"/>
    <cellStyle name="Output 17 5 6" xfId="17483" xr:uid="{BF18B9F3-0279-43A6-BF0C-05F03D42D923}"/>
    <cellStyle name="Output 17 5 7" xfId="18259" xr:uid="{BE718AC9-DAD3-471F-96F0-963D200AE1C4}"/>
    <cellStyle name="Output 17 5 8" xfId="19016" xr:uid="{DAD7F6A5-317B-41FA-82E0-B66A92C20AC2}"/>
    <cellStyle name="Output 17 6" xfId="11869" xr:uid="{5FE25FB3-6E4E-4E33-AC92-D8B0A34F63D8}"/>
    <cellStyle name="Output 17 7" xfId="10944" xr:uid="{2DA7E760-4EC2-4AA8-8C55-23CDBB8A28FB}"/>
    <cellStyle name="Output 17 8" xfId="11488" xr:uid="{53C5B0AB-23C5-4B82-B3CC-A7F0DEE14FDD}"/>
    <cellStyle name="Output 17 9" xfId="11242" xr:uid="{0903A023-53B3-433D-A60F-4C708FA76E42}"/>
    <cellStyle name="Output 18" xfId="6228" xr:uid="{B90C251A-5139-4591-B6A9-CFBBCC5F6D40}"/>
    <cellStyle name="Output 18 10" xfId="11241" xr:uid="{5778F6DC-AE8D-4F14-A865-68B331C72F5F}"/>
    <cellStyle name="Output 18 11" xfId="13558" xr:uid="{034FD5A4-CBB2-42AD-8D50-4BE172A22798}"/>
    <cellStyle name="Output 18 12" xfId="14559" xr:uid="{16E17C82-3212-4D31-99E2-4093BEE358DC}"/>
    <cellStyle name="Output 18 13" xfId="15517" xr:uid="{95600E47-2DBB-4B13-9984-CDE152CE6B5D}"/>
    <cellStyle name="Output 18 2" xfId="6229" xr:uid="{4CD660DF-DEAF-447A-B835-4EA4D694DF7C}"/>
    <cellStyle name="Output 18 2 10" xfId="13019" xr:uid="{F7203D2A-ABE3-4E04-89A0-141605AF2DDF}"/>
    <cellStyle name="Output 18 2 11" xfId="9975" xr:uid="{347546E5-A71D-465A-BE4D-15617BC00B93}"/>
    <cellStyle name="Output 18 2 12" xfId="11830" xr:uid="{551F4887-4C1F-47AF-875D-44BCC7D33097}"/>
    <cellStyle name="Output 18 2 2" xfId="6893" xr:uid="{BA954DEA-758D-43A5-B0B8-F1F2273D1CCA}"/>
    <cellStyle name="Output 18 2 2 10" xfId="11282" xr:uid="{22CBEFC0-F82C-4969-9467-AE5ADCB014C2}"/>
    <cellStyle name="Output 18 2 2 11" xfId="13318" xr:uid="{7FEBF768-D937-4965-A4D6-3BBA9C66E23A}"/>
    <cellStyle name="Output 18 2 2 2" xfId="7677" xr:uid="{FBA95178-51AA-49DA-9F62-953EFFE52574}"/>
    <cellStyle name="Output 18 2 2 2 10" xfId="18133" xr:uid="{BF60EA0E-BD98-457C-83AB-AF092624ACE5}"/>
    <cellStyle name="Output 18 2 2 2 2" xfId="9317" xr:uid="{E09CC656-FC1F-48C6-AE70-0310D9FA1387}"/>
    <cellStyle name="Output 18 2 2 2 2 2" xfId="13751" xr:uid="{67DE82AE-7428-4628-9432-82ABD313542B}"/>
    <cellStyle name="Output 18 2 2 2 2 3" xfId="14713" xr:uid="{54B9513A-A946-43B3-8899-CEA254D4870B}"/>
    <cellStyle name="Output 18 2 2 2 2 4" xfId="15665" xr:uid="{DB3AEB4F-078D-4B34-9D5C-4E2B2DFA8750}"/>
    <cellStyle name="Output 18 2 2 2 2 5" xfId="16545" xr:uid="{408797A0-B9FA-4D0E-9D95-5DA735D31EE9}"/>
    <cellStyle name="Output 18 2 2 2 2 6" xfId="17411" xr:uid="{0C29280E-1642-4B4B-9F8F-C1019A6A1D32}"/>
    <cellStyle name="Output 18 2 2 2 2 7" xfId="18187" xr:uid="{30F4BEEB-BB60-4035-96C3-CB001DBC869B}"/>
    <cellStyle name="Output 18 2 2 2 2 8" xfId="18944" xr:uid="{C8ECEC48-6650-4DC7-A79E-2CD9F8C17A42}"/>
    <cellStyle name="Output 18 2 2 2 3" xfId="9771" xr:uid="{A70E9B8B-429F-489A-80FF-0B3B6319B497}"/>
    <cellStyle name="Output 18 2 2 2 3 2" xfId="14175" xr:uid="{C29ED818-ABC3-4F82-A3D3-1356D4E11D71}"/>
    <cellStyle name="Output 18 2 2 2 3 3" xfId="15135" xr:uid="{EF341C05-DF1A-44BD-823B-F8C4CC8DE428}"/>
    <cellStyle name="Output 18 2 2 2 3 4" xfId="16087" xr:uid="{55D330B6-41AE-433C-8495-D89B026680F5}"/>
    <cellStyle name="Output 18 2 2 2 3 5" xfId="16961" xr:uid="{34143064-C1F4-4D13-B418-C96AEBC9C9C6}"/>
    <cellStyle name="Output 18 2 2 2 3 6" xfId="17826" xr:uid="{AFCEAB7D-5768-4973-BE84-67E5038BF723}"/>
    <cellStyle name="Output 18 2 2 2 3 7" xfId="18602" xr:uid="{C45DD2C2-19E4-42E9-824A-500D5F72D21C}"/>
    <cellStyle name="Output 18 2 2 2 3 8" xfId="19359" xr:uid="{54A42AAF-E24A-467E-86A9-FE4685A7FA6A}"/>
    <cellStyle name="Output 18 2 2 2 4" xfId="12735" xr:uid="{B78158E1-705D-4361-9A38-39DA8B571F4B}"/>
    <cellStyle name="Output 18 2 2 2 5" xfId="13529" xr:uid="{E2D9B0B4-B178-4A26-8D25-D70CAD8FC39F}"/>
    <cellStyle name="Output 18 2 2 2 6" xfId="14533" xr:uid="{D7D794C9-E0C1-4272-8060-8D40AE216CE5}"/>
    <cellStyle name="Output 18 2 2 2 7" xfId="15491" xr:uid="{FA757C7E-6617-4EA2-A6D5-BAFF1F09A765}"/>
    <cellStyle name="Output 18 2 2 2 8" xfId="16416" xr:uid="{20C1F4E6-999B-474A-B889-35EF1A193EAF}"/>
    <cellStyle name="Output 18 2 2 2 9" xfId="17287" xr:uid="{BF00ACAA-2EC5-4D06-B99B-37418D7E38FF}"/>
    <cellStyle name="Output 18 2 2 3" xfId="8533" xr:uid="{EFEEE017-7670-4DA9-9669-1E66E2389494}"/>
    <cellStyle name="Output 18 2 2 3 2" xfId="13273" xr:uid="{3CD5F5EA-CB01-4434-9AD6-355B7A7114AA}"/>
    <cellStyle name="Output 18 2 2 3 3" xfId="14293" xr:uid="{603BA614-C637-42D0-8D42-A6946F05FC8D}"/>
    <cellStyle name="Output 18 2 2 3 4" xfId="15253" xr:uid="{73F17A43-3F71-46D6-A580-E18294F76C4A}"/>
    <cellStyle name="Output 18 2 2 3 5" xfId="16202" xr:uid="{4BE63AEA-1CB9-4042-99A2-07C899FDB65C}"/>
    <cellStyle name="Output 18 2 2 3 6" xfId="17075" xr:uid="{85A08ED8-BAFC-4F46-8643-B1C0E7A3F44F}"/>
    <cellStyle name="Output 18 2 2 3 7" xfId="17940" xr:uid="{637A0FDA-95EE-4C97-A285-37DA0BAD6643}"/>
    <cellStyle name="Output 18 2 2 3 8" xfId="18716" xr:uid="{04613375-8C83-4DD9-8918-CACE8767E983}"/>
    <cellStyle name="Output 18 2 2 4" xfId="9543" xr:uid="{808B3DEA-90E6-46EA-B878-38EE13D3B11F}"/>
    <cellStyle name="Output 18 2 2 4 2" xfId="13947" xr:uid="{57F609A4-AA69-4D47-9AA2-6131F5B814AF}"/>
    <cellStyle name="Output 18 2 2 4 3" xfId="14907" xr:uid="{712CC242-2DE7-4A76-B9BF-2CC4D64272D7}"/>
    <cellStyle name="Output 18 2 2 4 4" xfId="15859" xr:uid="{99A22937-D523-4B7B-B25E-E0E054136478}"/>
    <cellStyle name="Output 18 2 2 4 5" xfId="16733" xr:uid="{561901C5-DBC8-4452-A5E2-76187F092292}"/>
    <cellStyle name="Output 18 2 2 4 6" xfId="17598" xr:uid="{99A22EF2-5F01-492C-B955-EB23A9E3E9C9}"/>
    <cellStyle name="Output 18 2 2 4 7" xfId="18374" xr:uid="{2864227B-46F3-4401-9003-FB99242A5462}"/>
    <cellStyle name="Output 18 2 2 4 8" xfId="19131" xr:uid="{4297503E-6939-4C29-AC3A-2F048C7B269A}"/>
    <cellStyle name="Output 18 2 2 5" xfId="12244" xr:uid="{806F99A4-14E1-4CF3-B02B-A034DB1E8C6B}"/>
    <cellStyle name="Output 18 2 2 6" xfId="10621" xr:uid="{10CC0BCD-D1B3-4B56-9BE4-63F0D7654069}"/>
    <cellStyle name="Output 18 2 2 7" xfId="11683" xr:uid="{1755C3D3-372F-4C39-B8E1-5DD8D342CDB6}"/>
    <cellStyle name="Output 18 2 2 8" xfId="11098" xr:uid="{F541FB36-6267-48A5-9CA4-6B3FDE065CBB}"/>
    <cellStyle name="Output 18 2 2 9" xfId="11446" xr:uid="{7534736F-E276-4583-A182-80330AAF1D9A}"/>
    <cellStyle name="Output 18 2 3" xfId="7155" xr:uid="{77E61136-F180-47B6-9252-770F8DE1FED1}"/>
    <cellStyle name="Output 18 2 3 10" xfId="13695" xr:uid="{94520AAC-1A09-4004-B99E-7CA4F0E0DDE0}"/>
    <cellStyle name="Output 18 2 3 2" xfId="8795" xr:uid="{3C84A952-7841-4752-9153-F6CE7327C19E}"/>
    <cellStyle name="Output 18 2 3 2 2" xfId="13455" xr:uid="{17A723FD-CDB7-45ED-9033-FAC1D88E00F3}"/>
    <cellStyle name="Output 18 2 3 2 3" xfId="14461" xr:uid="{E893791C-65FD-4566-9575-C31159981667}"/>
    <cellStyle name="Output 18 2 3 2 4" xfId="15419" xr:uid="{81BD2517-E3C9-4D48-B125-1CBBA58B59E8}"/>
    <cellStyle name="Output 18 2 3 2 5" xfId="16346" xr:uid="{10C87FA3-56F3-45BF-A617-2572BF45CD1E}"/>
    <cellStyle name="Output 18 2 3 2 6" xfId="17217" xr:uid="{17E46B4B-A58C-46BD-A831-1550045947C8}"/>
    <cellStyle name="Output 18 2 3 2 7" xfId="18064" xr:uid="{7B609563-A16A-4930-A8F6-CE91146705BE}"/>
    <cellStyle name="Output 18 2 3 2 8" xfId="18831" xr:uid="{C23E3F5C-801A-4567-9564-7ECF2A225A6A}"/>
    <cellStyle name="Output 18 2 3 3" xfId="9658" xr:uid="{1B199836-9B1D-4416-95E9-0CC47E9C18A6}"/>
    <cellStyle name="Output 18 2 3 3 2" xfId="14062" xr:uid="{72BE7093-DCA2-47ED-9C62-1A3208E12F3E}"/>
    <cellStyle name="Output 18 2 3 3 3" xfId="15022" xr:uid="{18DAE188-F617-4F6A-BC1B-842B2C2CB946}"/>
    <cellStyle name="Output 18 2 3 3 4" xfId="15974" xr:uid="{F6F7ECB9-6CD0-41DE-9403-7DD8B3BD4A75}"/>
    <cellStyle name="Output 18 2 3 3 5" xfId="16848" xr:uid="{D01965A0-ADB0-45E6-B54F-3810CEAB9F46}"/>
    <cellStyle name="Output 18 2 3 3 6" xfId="17713" xr:uid="{F7EF5EEE-748E-458F-89C7-D07338026394}"/>
    <cellStyle name="Output 18 2 3 3 7" xfId="18489" xr:uid="{E6F6D8AE-81B7-40BE-932A-8C2C5C2D21C2}"/>
    <cellStyle name="Output 18 2 3 3 8" xfId="19246" xr:uid="{9BF01A76-97EF-470E-A557-B42DBAAD9967}"/>
    <cellStyle name="Output 18 2 3 4" xfId="12425" xr:uid="{473FF0E7-3C74-4A96-92DF-1E67FB684E26}"/>
    <cellStyle name="Output 18 2 3 5" xfId="10453" xr:uid="{1BD2FDEF-5518-4069-BD40-AD671ACBD6E5}"/>
    <cellStyle name="Output 18 2 3 6" xfId="11704" xr:uid="{A58C4944-971D-4A85-A816-F579643B1793}"/>
    <cellStyle name="Output 18 2 3 7" xfId="11082" xr:uid="{BAC759B3-C0C9-4BB5-88F9-A81B161943F5}"/>
    <cellStyle name="Output 18 2 3 8" xfId="12874" xr:uid="{153DB1E9-4C86-4E1A-970F-3EC69EED1683}"/>
    <cellStyle name="Output 18 2 3 9" xfId="10105" xr:uid="{8412479A-55BD-4EFF-A9C9-2E6A9A04537D}"/>
    <cellStyle name="Output 18 2 4" xfId="7997" xr:uid="{5803CFBD-557A-4B1B-BE16-63E40CA89BE3}"/>
    <cellStyle name="Output 18 2 4 2" xfId="12966" xr:uid="{B721F973-3D3C-46BC-85FE-9820150E867A}"/>
    <cellStyle name="Output 18 2 4 3" xfId="10024" xr:uid="{6FC65AED-7CA8-49E5-BA59-BCC2ACFE2819}"/>
    <cellStyle name="Output 18 2 4 4" xfId="13186" xr:uid="{5DEFBAB0-F3AB-4830-A6DC-7FBB4448BA20}"/>
    <cellStyle name="Output 18 2 4 5" xfId="9852" xr:uid="{102888F2-597D-4A25-9E29-A8AD001835E6}"/>
    <cellStyle name="Output 18 2 4 6" xfId="11892" xr:uid="{B04B97C2-C4AF-4289-9E27-C9BC0528862B}"/>
    <cellStyle name="Output 18 2 4 7" xfId="10923" xr:uid="{BBC1AAD0-FE17-42DB-827F-5EF37599A053}"/>
    <cellStyle name="Output 18 2 4 8" xfId="11508" xr:uid="{F9215829-F33B-4843-B1C7-89B7DE1054D1}"/>
    <cellStyle name="Output 18 2 5" xfId="9430" xr:uid="{68882CD5-D8B7-45F1-8350-F42FA13FB1E2}"/>
    <cellStyle name="Output 18 2 5 2" xfId="13834" xr:uid="{9A6EF5C7-B324-42B1-84A2-6D503CC08B5D}"/>
    <cellStyle name="Output 18 2 5 3" xfId="14794" xr:uid="{628CF55D-D3B7-4F64-85BA-262CF00C38A5}"/>
    <cellStyle name="Output 18 2 5 4" xfId="15746" xr:uid="{0651C551-D53F-4DC3-98F9-D4A83B96C562}"/>
    <cellStyle name="Output 18 2 5 5" xfId="16620" xr:uid="{0ACD227B-21DC-4CC9-8A3C-F48ACF3902E0}"/>
    <cellStyle name="Output 18 2 5 6" xfId="17485" xr:uid="{3F60BEF9-D9B6-4D38-94FA-6C7FB5B352EE}"/>
    <cellStyle name="Output 18 2 5 7" xfId="18261" xr:uid="{CE285EB1-E985-4EDA-817E-0A2E6ED1D867}"/>
    <cellStyle name="Output 18 2 5 8" xfId="19018" xr:uid="{1D861699-E750-4BB8-A823-3671EC8C5DD8}"/>
    <cellStyle name="Output 18 2 6" xfId="11871" xr:uid="{EE6E2C66-3A63-4930-97E0-47B51331C181}"/>
    <cellStyle name="Output 18 2 7" xfId="10942" xr:uid="{74D47389-438E-4994-B2F6-026C502E8FBE}"/>
    <cellStyle name="Output 18 2 8" xfId="11490" xr:uid="{C217A38E-4EEF-4A34-BB12-08966E1CD369}"/>
    <cellStyle name="Output 18 2 9" xfId="11240" xr:uid="{D3FE3288-6E86-457D-8C00-8C154F219FA6}"/>
    <cellStyle name="Output 18 3" xfId="6892" xr:uid="{A64D533C-FEF5-41D6-B9CA-FECD76C06C69}"/>
    <cellStyle name="Output 18 3 10" xfId="11283" xr:uid="{43DC1380-2BE9-4254-B3B3-053CD46234EC}"/>
    <cellStyle name="Output 18 3 11" xfId="12295" xr:uid="{0F88A1B6-79F8-4D2E-A41D-FDEDFE9CA749}"/>
    <cellStyle name="Output 18 3 2" xfId="7678" xr:uid="{63BB7ED5-C65B-42D6-8C37-C6D39CE20541}"/>
    <cellStyle name="Output 18 3 2 10" xfId="14621" xr:uid="{15190754-2114-41E3-913B-0EBF5ADBA623}"/>
    <cellStyle name="Output 18 3 2 2" xfId="9318" xr:uid="{65806E3D-7DFC-4B70-AB88-7B7BB5484FB6}"/>
    <cellStyle name="Output 18 3 2 2 2" xfId="13752" xr:uid="{4AD6246D-40DF-442E-98CF-4EBE835A98CB}"/>
    <cellStyle name="Output 18 3 2 2 3" xfId="14714" xr:uid="{861CDB1B-96F7-4B62-A689-804CDD9BDCE6}"/>
    <cellStyle name="Output 18 3 2 2 4" xfId="15666" xr:uid="{56D3AC2E-55D3-436A-9889-EE5BFEF56E2D}"/>
    <cellStyle name="Output 18 3 2 2 5" xfId="16546" xr:uid="{84CA21F7-EF8B-4D22-80D8-424C0C2765BA}"/>
    <cellStyle name="Output 18 3 2 2 6" xfId="17412" xr:uid="{F9B3B6EB-45F9-4606-9E95-177BD19B8915}"/>
    <cellStyle name="Output 18 3 2 2 7" xfId="18188" xr:uid="{3F27C786-5B2E-4C10-9DB9-BB312DFDD55E}"/>
    <cellStyle name="Output 18 3 2 2 8" xfId="18945" xr:uid="{EC36248C-25FD-4DCB-B3AD-79D78FD56258}"/>
    <cellStyle name="Output 18 3 2 3" xfId="9772" xr:uid="{A0D12369-5BEA-4CE7-82C7-466CBD1E3B8A}"/>
    <cellStyle name="Output 18 3 2 3 2" xfId="14176" xr:uid="{2980B690-B69C-43F0-A7E4-3574DC931A79}"/>
    <cellStyle name="Output 18 3 2 3 3" xfId="15136" xr:uid="{5E4240CB-A10E-4D9D-9662-C8AA46A7808B}"/>
    <cellStyle name="Output 18 3 2 3 4" xfId="16088" xr:uid="{192EA0ED-1322-47D5-A584-51C7E15E9360}"/>
    <cellStyle name="Output 18 3 2 3 5" xfId="16962" xr:uid="{2B13575D-AADB-432B-BBF2-8FCB94E6D69E}"/>
    <cellStyle name="Output 18 3 2 3 6" xfId="17827" xr:uid="{97A39B37-0F92-4E97-9A40-08CE45466613}"/>
    <cellStyle name="Output 18 3 2 3 7" xfId="18603" xr:uid="{D4F3FEDF-FF5F-4AD1-B88F-BA4ACFB97BD0}"/>
    <cellStyle name="Output 18 3 2 3 8" xfId="19360" xr:uid="{9E428685-076A-413D-B455-D7CD7DAEF33A}"/>
    <cellStyle name="Output 18 3 2 4" xfId="12736" xr:uid="{B0ABADAE-4BDE-4A30-B8A0-2C87FCB6CDEB}"/>
    <cellStyle name="Output 18 3 2 5" xfId="12501" xr:uid="{40CE1AB7-178A-4243-A1AA-B2491ACF0FDD}"/>
    <cellStyle name="Output 18 3 2 6" xfId="10380" xr:uid="{DECC2E3B-116E-4D4C-A71D-A7E876AC26D8}"/>
    <cellStyle name="Output 18 3 2 7" xfId="12381" xr:uid="{B99B513B-F329-4593-918F-C2107EA356EA}"/>
    <cellStyle name="Output 18 3 2 8" xfId="10494" xr:uid="{13BA5F10-53A0-42C9-A35B-6D523D50D3F6}"/>
    <cellStyle name="Output 18 3 2 9" xfId="13645" xr:uid="{6DB4B19A-5C71-4243-9E06-718D51F0027E}"/>
    <cellStyle name="Output 18 3 3" xfId="8532" xr:uid="{C9D6D35A-7E44-4F7D-9F19-058AC1299807}"/>
    <cellStyle name="Output 18 3 3 2" xfId="13272" xr:uid="{70430870-0CC9-4A61-A060-48126568AE81}"/>
    <cellStyle name="Output 18 3 3 3" xfId="14292" xr:uid="{EDDEFDC2-62D2-43D8-A6BB-73C39A116D75}"/>
    <cellStyle name="Output 18 3 3 4" xfId="15252" xr:uid="{806AEFFB-3420-4F1C-A52D-D4911427A10E}"/>
    <cellStyle name="Output 18 3 3 5" xfId="16201" xr:uid="{AF44668C-5BF1-4254-B5C2-08FE5119E193}"/>
    <cellStyle name="Output 18 3 3 6" xfId="17074" xr:uid="{68983743-A97E-4C75-936B-9DC4D881F7CC}"/>
    <cellStyle name="Output 18 3 3 7" xfId="17939" xr:uid="{7E0B521A-E196-485D-AA7A-0450E6F1597D}"/>
    <cellStyle name="Output 18 3 3 8" xfId="18715" xr:uid="{29DB7A1C-1182-42EF-A535-990ECAC71285}"/>
    <cellStyle name="Output 18 3 4" xfId="9542" xr:uid="{89B18A6B-E0D0-414D-888C-479EC187AE23}"/>
    <cellStyle name="Output 18 3 4 2" xfId="13946" xr:uid="{186BC63C-EADB-4D3F-9D4F-6D281C9B25E8}"/>
    <cellStyle name="Output 18 3 4 3" xfId="14906" xr:uid="{1AAAA4C6-11E0-40E3-95F0-0AE7E81255BE}"/>
    <cellStyle name="Output 18 3 4 4" xfId="15858" xr:uid="{B367C994-C5A8-40F2-9179-F2BE41E76543}"/>
    <cellStyle name="Output 18 3 4 5" xfId="16732" xr:uid="{589877E3-06B0-44A9-A9B3-FBEB77AA6B6E}"/>
    <cellStyle name="Output 18 3 4 6" xfId="17597" xr:uid="{C93B0087-CC41-4464-9E49-4F8D656648A4}"/>
    <cellStyle name="Output 18 3 4 7" xfId="18373" xr:uid="{F7E68843-5988-4E70-992C-1ABBA9A68B6A}"/>
    <cellStyle name="Output 18 3 4 8" xfId="19130" xr:uid="{1F0DC7A0-A613-462C-AE63-BC53F7D34EC5}"/>
    <cellStyle name="Output 18 3 5" xfId="12243" xr:uid="{EAA3CD11-7F86-4444-A1F6-B1D0425A29CA}"/>
    <cellStyle name="Output 18 3 6" xfId="10622" xr:uid="{653DD895-9982-486E-A779-A12F021B2F64}"/>
    <cellStyle name="Output 18 3 7" xfId="11682" xr:uid="{44B81EFE-182C-4940-93E4-BF6AB8332678}"/>
    <cellStyle name="Output 18 3 8" xfId="11099" xr:uid="{CFD93171-5D3B-4ADB-A728-A7F7B451A34D}"/>
    <cellStyle name="Output 18 3 9" xfId="11445" xr:uid="{137DAB1E-BF69-4B81-A27B-49404B1E9D75}"/>
    <cellStyle name="Output 18 4" xfId="7154" xr:uid="{DD99EEDE-A4B6-4FFA-ACD6-982C3EC2561F}"/>
    <cellStyle name="Output 18 4 10" xfId="15620" xr:uid="{27BFC98C-BAD7-4E0E-8EDD-FC3F7320F52D}"/>
    <cellStyle name="Output 18 4 2" xfId="8794" xr:uid="{4AD80555-AE64-4A35-9D2A-9FF913769B20}"/>
    <cellStyle name="Output 18 4 2 2" xfId="13454" xr:uid="{96207144-F9A5-4EE5-9435-5B2CDC9F34B4}"/>
    <cellStyle name="Output 18 4 2 3" xfId="14460" xr:uid="{BFEAE587-CDF8-473C-9EED-32CF2171C80C}"/>
    <cellStyle name="Output 18 4 2 4" xfId="15418" xr:uid="{D23784E2-2157-4E3F-B81B-14E0087B176E}"/>
    <cellStyle name="Output 18 4 2 5" xfId="16345" xr:uid="{2A15341C-148B-47E2-A10C-FE65338B31FF}"/>
    <cellStyle name="Output 18 4 2 6" xfId="17216" xr:uid="{F71DE6E0-942F-42BB-8ED3-0F10A91B30C8}"/>
    <cellStyle name="Output 18 4 2 7" xfId="18063" xr:uid="{B6114322-DE41-4916-9926-2AA94CABC811}"/>
    <cellStyle name="Output 18 4 2 8" xfId="18830" xr:uid="{0321C3D7-5558-44E8-A2E0-B430AFAA2C90}"/>
    <cellStyle name="Output 18 4 3" xfId="9657" xr:uid="{39471651-1438-4596-AE80-372215E984CE}"/>
    <cellStyle name="Output 18 4 3 2" xfId="14061" xr:uid="{C9467C05-94DB-40EB-9BFD-E39498F3909D}"/>
    <cellStyle name="Output 18 4 3 3" xfId="15021" xr:uid="{03390B93-F361-4C04-A557-06199D545AE6}"/>
    <cellStyle name="Output 18 4 3 4" xfId="15973" xr:uid="{1F35C159-8404-4564-A1B2-B0F8B452ECB7}"/>
    <cellStyle name="Output 18 4 3 5" xfId="16847" xr:uid="{B8CFC729-E5F0-4FD7-B0FF-074CFA01A39D}"/>
    <cellStyle name="Output 18 4 3 6" xfId="17712" xr:uid="{1CD63DE1-D829-4CE8-AC82-ABB818CD2DD9}"/>
    <cellStyle name="Output 18 4 3 7" xfId="18488" xr:uid="{EF32E089-9023-43E4-8A62-1D98BBBF851C}"/>
    <cellStyle name="Output 18 4 3 8" xfId="19245" xr:uid="{41FD536F-3EA1-4E20-BBA9-4BFF8A202152}"/>
    <cellStyle name="Output 18 4 4" xfId="12424" xr:uid="{2CEA7852-B636-4407-A89D-C5981614576A}"/>
    <cellStyle name="Output 18 4 5" xfId="10454" xr:uid="{FD650586-22C9-4072-B0CE-56CD6E1DF498}"/>
    <cellStyle name="Output 18 4 6" xfId="12920" xr:uid="{D1EC020F-21A1-497C-A49E-E0A04F00E8F5}"/>
    <cellStyle name="Output 18 4 7" xfId="10064" xr:uid="{964A3F4A-8AC3-41F1-9145-DEF01EE12C1B}"/>
    <cellStyle name="Output 18 4 8" xfId="13703" xr:uid="{5D42312B-95E0-479A-A964-B4BC6471E665}"/>
    <cellStyle name="Output 18 4 9" xfId="14668" xr:uid="{3869F105-C2AE-4566-A08A-453B0B65BDB9}"/>
    <cellStyle name="Output 18 5" xfId="7996" xr:uid="{4744831B-CE58-4539-98AF-444551C4541D}"/>
    <cellStyle name="Output 18 5 2" xfId="12965" xr:uid="{BA872240-4397-4645-B352-47E0D70CBFAF}"/>
    <cellStyle name="Output 18 5 3" xfId="10025" xr:uid="{3DE7BD1D-15C1-4ABB-ABF0-2B46711F2DA2}"/>
    <cellStyle name="Output 18 5 4" xfId="13711" xr:uid="{2B2065A3-E9E7-485A-B00D-E9312DEDC3B9}"/>
    <cellStyle name="Output 18 5 5" xfId="14675" xr:uid="{E4A502C2-28C1-49AF-AFCD-9A4AF3540443}"/>
    <cellStyle name="Output 18 5 6" xfId="15627" xr:uid="{9D5093F9-833A-4018-BD3D-B191BAC924C7}"/>
    <cellStyle name="Output 18 5 7" xfId="16509" xr:uid="{C8AB1515-4F2C-4678-8BBA-F54B9BA7D44A}"/>
    <cellStyle name="Output 18 5 8" xfId="17377" xr:uid="{986C1B3C-A0F9-42D8-B55B-5E16BF580243}"/>
    <cellStyle name="Output 18 6" xfId="9429" xr:uid="{9997B1CB-6608-4177-9FEF-DEE560BC928E}"/>
    <cellStyle name="Output 18 6 2" xfId="13833" xr:uid="{8D73416C-85C0-4338-883B-AA727AC51377}"/>
    <cellStyle name="Output 18 6 3" xfId="14793" xr:uid="{D782DFD1-F57D-4A95-9163-5E048B2D5F48}"/>
    <cellStyle name="Output 18 6 4" xfId="15745" xr:uid="{B269CC3C-023F-4CF6-BC2D-C6AB574A20DD}"/>
    <cellStyle name="Output 18 6 5" xfId="16619" xr:uid="{7F9175F1-7D8C-4F98-BD99-37E1E0A6E5F7}"/>
    <cellStyle name="Output 18 6 6" xfId="17484" xr:uid="{8B3CE3FD-A9B9-41D0-BA4B-81D8C5801625}"/>
    <cellStyle name="Output 18 6 7" xfId="18260" xr:uid="{813A8233-F0DD-4C30-B006-0698637B72DD}"/>
    <cellStyle name="Output 18 6 8" xfId="19017" xr:uid="{52953FB6-5A05-4804-AC0B-5882B6C844C3}"/>
    <cellStyle name="Output 18 7" xfId="11870" xr:uid="{CE9DD74D-7A13-414D-BDFA-2EE2FF5F692A}"/>
    <cellStyle name="Output 18 8" xfId="10943" xr:uid="{096EE59B-0D6B-4775-B98D-DC7B5E2DA830}"/>
    <cellStyle name="Output 18 9" xfId="11489" xr:uid="{88F72500-B62D-442B-9D4E-AAA78B349D65}"/>
    <cellStyle name="Output 19" xfId="6230" xr:uid="{21DE6AEF-0F99-4D7B-AA02-80E1FF1E381C}"/>
    <cellStyle name="Output 19 10" xfId="11239" xr:uid="{8F1C5969-30AF-4732-A59E-2F9A417DE76C}"/>
    <cellStyle name="Output 19 11" xfId="12352" xr:uid="{69D23FD4-7ED3-4E14-B2D8-28B1D9AE035A}"/>
    <cellStyle name="Output 19 12" xfId="10518" xr:uid="{C431D63B-4EC4-46B1-AAE2-83A3B278B1C9}"/>
    <cellStyle name="Output 19 13" xfId="13135" xr:uid="{EC0CBF75-39BF-4DE2-A075-B44BCBE63453}"/>
    <cellStyle name="Output 19 2" xfId="6231" xr:uid="{4A9B67DA-3292-473F-B893-847F00914741}"/>
    <cellStyle name="Output 19 2 10" xfId="13381" xr:uid="{9220C104-DCDA-4606-BC96-8EDF8762A326}"/>
    <cellStyle name="Output 19 2 11" xfId="14395" xr:uid="{83141F39-F245-4E73-BC56-E5CEC02EBE43}"/>
    <cellStyle name="Output 19 2 12" xfId="15353" xr:uid="{70A3373F-412E-4ABA-A077-25941E764F69}"/>
    <cellStyle name="Output 19 2 2" xfId="6895" xr:uid="{D7A3E168-A2BE-4C66-83C0-88F2398AAD88}"/>
    <cellStyle name="Output 19 2 2 10" xfId="11280" xr:uid="{671DB29E-FDD6-499B-88C6-0E0F5FD62215}"/>
    <cellStyle name="Output 19 2 2 11" xfId="13505" xr:uid="{CC0F61E9-1449-4AF4-BFA9-08B40A29DFDD}"/>
    <cellStyle name="Output 19 2 2 2" xfId="7679" xr:uid="{9E7E63B7-AAA3-4566-8A2D-1D07C87CE40E}"/>
    <cellStyle name="Output 19 2 2 2 10" xfId="11897" xr:uid="{E2D11C5C-C949-4249-BE5A-D400789C7600}"/>
    <cellStyle name="Output 19 2 2 2 2" xfId="9319" xr:uid="{9B6F246A-D770-4872-830E-6B3D67A705C1}"/>
    <cellStyle name="Output 19 2 2 2 2 2" xfId="13753" xr:uid="{A03E1BFD-0816-41F3-8810-787134F087E6}"/>
    <cellStyle name="Output 19 2 2 2 2 3" xfId="14715" xr:uid="{81C640A8-C7C0-4228-BC6D-E0447574202F}"/>
    <cellStyle name="Output 19 2 2 2 2 4" xfId="15667" xr:uid="{2E22028B-9FF9-4B0B-979E-6C46E8279E24}"/>
    <cellStyle name="Output 19 2 2 2 2 5" xfId="16547" xr:uid="{98EB050E-0EC0-49FE-B22A-E111CC9DF570}"/>
    <cellStyle name="Output 19 2 2 2 2 6" xfId="17413" xr:uid="{EB656B52-36DF-4BAC-9BFA-0FFB56FBC156}"/>
    <cellStyle name="Output 19 2 2 2 2 7" xfId="18189" xr:uid="{DCC07B1F-9D21-41EB-BEF9-892CF3D2C538}"/>
    <cellStyle name="Output 19 2 2 2 2 8" xfId="18946" xr:uid="{72AD73B6-1EF2-46D0-B863-D455F43ADCB6}"/>
    <cellStyle name="Output 19 2 2 2 3" xfId="9773" xr:uid="{66365367-7CF9-4BE9-A7AF-DA4465C8703D}"/>
    <cellStyle name="Output 19 2 2 2 3 2" xfId="14177" xr:uid="{8ADAB30C-594C-4F82-9320-4DFFA37BB596}"/>
    <cellStyle name="Output 19 2 2 2 3 3" xfId="15137" xr:uid="{405DF581-0E77-440B-80BF-FBA63224F951}"/>
    <cellStyle name="Output 19 2 2 2 3 4" xfId="16089" xr:uid="{464E6247-31EB-45CA-BA6C-3256D2235103}"/>
    <cellStyle name="Output 19 2 2 2 3 5" xfId="16963" xr:uid="{9D4ACF6A-A3C1-4892-8E02-C809F23D38EA}"/>
    <cellStyle name="Output 19 2 2 2 3 6" xfId="17828" xr:uid="{BF52DE76-F3C4-401D-9D0C-5270586AA712}"/>
    <cellStyle name="Output 19 2 2 2 3 7" xfId="18604" xr:uid="{3A8BB264-D3D3-4BFA-8E8B-E899230EC836}"/>
    <cellStyle name="Output 19 2 2 2 3 8" xfId="19361" xr:uid="{41614C0F-3753-41C1-8ADE-C171D1BB7A1D}"/>
    <cellStyle name="Output 19 2 2 2 4" xfId="12737" xr:uid="{34BFDA51-79F5-4AA2-836A-1CBFC877F45D}"/>
    <cellStyle name="Output 19 2 2 2 5" xfId="12034" xr:uid="{5158D0BE-0D41-4A19-A1A7-DBCB32305602}"/>
    <cellStyle name="Output 19 2 2 2 6" xfId="10800" xr:uid="{FE594027-EA31-431E-838D-E00A8B6AA91B}"/>
    <cellStyle name="Output 19 2 2 2 7" xfId="11618" xr:uid="{BBE107B1-C3DE-426F-8B27-07B4BE5327F9}"/>
    <cellStyle name="Output 19 2 2 2 8" xfId="11141" xr:uid="{4DCB99F6-42C7-42D6-A444-4E2C80FCC5E8}"/>
    <cellStyle name="Output 19 2 2 2 9" xfId="9840" xr:uid="{502CCC44-65E8-402C-B279-5D48F2F4E836}"/>
    <cellStyle name="Output 19 2 2 3" xfId="8535" xr:uid="{4D3F0972-483C-413C-9369-A4FB898D8303}"/>
    <cellStyle name="Output 19 2 2 3 2" xfId="13275" xr:uid="{6493A087-EC52-498A-8191-78038C6FBF45}"/>
    <cellStyle name="Output 19 2 2 3 3" xfId="14295" xr:uid="{C232C924-1C9E-4B05-BE64-2F1D1C432C48}"/>
    <cellStyle name="Output 19 2 2 3 4" xfId="15255" xr:uid="{A36193F9-600A-475F-9760-E6D3CD9EB210}"/>
    <cellStyle name="Output 19 2 2 3 5" xfId="16204" xr:uid="{C4A946EF-A881-484D-988C-B6E4D6B53CD1}"/>
    <cellStyle name="Output 19 2 2 3 6" xfId="17077" xr:uid="{F999BD44-BE34-45B1-BDE7-40AF0CDEFB8D}"/>
    <cellStyle name="Output 19 2 2 3 7" xfId="17942" xr:uid="{CAB9C11A-567A-4D54-A42C-97A2E91D01BE}"/>
    <cellStyle name="Output 19 2 2 3 8" xfId="18718" xr:uid="{BB5F8089-9E23-4F3C-8C52-8729F71DD929}"/>
    <cellStyle name="Output 19 2 2 4" xfId="9545" xr:uid="{FAA8A328-3749-4662-B87C-0165A1212879}"/>
    <cellStyle name="Output 19 2 2 4 2" xfId="13949" xr:uid="{A25A335F-5635-48E1-80CD-F0CE53B48F8D}"/>
    <cellStyle name="Output 19 2 2 4 3" xfId="14909" xr:uid="{B9DD6672-F790-481A-8C56-0BC5F6CE9468}"/>
    <cellStyle name="Output 19 2 2 4 4" xfId="15861" xr:uid="{6EE6CC63-62C4-4437-86DE-FC0FD3947A6D}"/>
    <cellStyle name="Output 19 2 2 4 5" xfId="16735" xr:uid="{66B189B5-78EA-45E9-A68B-B39ED5EDB277}"/>
    <cellStyle name="Output 19 2 2 4 6" xfId="17600" xr:uid="{F25D849D-DE6E-4A45-9746-8491F1FC96D4}"/>
    <cellStyle name="Output 19 2 2 4 7" xfId="18376" xr:uid="{4779E015-5D46-44E0-9F4E-F3254A380B51}"/>
    <cellStyle name="Output 19 2 2 4 8" xfId="19133" xr:uid="{07D12CE7-9400-4DF2-A17A-C55770FB33FD}"/>
    <cellStyle name="Output 19 2 2 5" xfId="12246" xr:uid="{85B69BBE-0088-4087-8175-54C75345ED57}"/>
    <cellStyle name="Output 19 2 2 6" xfId="10619" xr:uid="{F7A1C24D-B59B-4561-891F-D54FE9025D75}"/>
    <cellStyle name="Output 19 2 2 7" xfId="11685" xr:uid="{F1EC3E2A-6D00-4B5D-BE17-0505D84B60B9}"/>
    <cellStyle name="Output 19 2 2 8" xfId="11096" xr:uid="{0E2C1442-2F8F-44F0-BC5A-39A72F232366}"/>
    <cellStyle name="Output 19 2 2 9" xfId="11448" xr:uid="{FC50FBFA-422B-40EF-AC40-D325D20D4DEC}"/>
    <cellStyle name="Output 19 2 3" xfId="7157" xr:uid="{920FBB92-69FB-4334-AC9D-891F9C7DCBD2}"/>
    <cellStyle name="Output 19 2 3 10" xfId="11629" xr:uid="{DA40BE5C-738C-49A7-9A97-9818848CD082}"/>
    <cellStyle name="Output 19 2 3 2" xfId="8797" xr:uid="{77F4E249-E470-435D-8518-76B0AC381B33}"/>
    <cellStyle name="Output 19 2 3 2 2" xfId="13457" xr:uid="{A47826F0-ED56-40E8-B538-87351480595B}"/>
    <cellStyle name="Output 19 2 3 2 3" xfId="14463" xr:uid="{F5E425D8-019D-43D9-9751-0C647F89E1B4}"/>
    <cellStyle name="Output 19 2 3 2 4" xfId="15421" xr:uid="{01F20A47-150E-4DB0-831B-17A250C9B7C8}"/>
    <cellStyle name="Output 19 2 3 2 5" xfId="16348" xr:uid="{3724AA94-C5B2-470E-9462-9C3C50A487A8}"/>
    <cellStyle name="Output 19 2 3 2 6" xfId="17219" xr:uid="{3C3F52C2-D2D9-4DCC-870E-9871C7D739C1}"/>
    <cellStyle name="Output 19 2 3 2 7" xfId="18066" xr:uid="{58E820B4-152A-4E8F-8549-28AF22E4DBF3}"/>
    <cellStyle name="Output 19 2 3 2 8" xfId="18833" xr:uid="{FDE7697C-92B5-45CA-8D7E-955F46175800}"/>
    <cellStyle name="Output 19 2 3 3" xfId="9660" xr:uid="{D0A61636-A44B-4E00-9A40-5AC6ED78C3BC}"/>
    <cellStyle name="Output 19 2 3 3 2" xfId="14064" xr:uid="{9D239835-676B-4E3B-85BA-D5B7BAC9B3CD}"/>
    <cellStyle name="Output 19 2 3 3 3" xfId="15024" xr:uid="{327DB8E4-F03F-4CE0-8434-E808D95A344D}"/>
    <cellStyle name="Output 19 2 3 3 4" xfId="15976" xr:uid="{8341C546-22FF-4A2F-BBA5-913E960CFECA}"/>
    <cellStyle name="Output 19 2 3 3 5" xfId="16850" xr:uid="{729853C6-D8E8-4DB6-9AF5-B130EAB8F590}"/>
    <cellStyle name="Output 19 2 3 3 6" xfId="17715" xr:uid="{CCA21826-AFE0-4208-AF78-9F09F2BA9BDD}"/>
    <cellStyle name="Output 19 2 3 3 7" xfId="18491" xr:uid="{929EB7B9-31F4-4E6C-935B-A7F2AFDE709F}"/>
    <cellStyle name="Output 19 2 3 3 8" xfId="19248" xr:uid="{B19FB54D-298A-4F99-8A9E-1DE98C9DDF64}"/>
    <cellStyle name="Output 19 2 3 4" xfId="12427" xr:uid="{376C4630-5262-42F3-8D67-07555B3C5D44}"/>
    <cellStyle name="Output 19 2 3 5" xfId="10451" xr:uid="{0EDADBA8-C27A-436E-971A-BFFAFA49FAA7}"/>
    <cellStyle name="Output 19 2 3 6" xfId="11706" xr:uid="{E9E73BFE-B8B2-40F2-9FEE-34CE062E57A5}"/>
    <cellStyle name="Output 19 2 3 7" xfId="11080" xr:uid="{170D5134-25C2-4F14-A83A-D760B70B5BF6}"/>
    <cellStyle name="Output 19 2 3 8" xfId="12056" xr:uid="{065334A0-E1EF-4B47-A079-E8852C205249}"/>
    <cellStyle name="Output 19 2 3 9" xfId="10787" xr:uid="{70ED0913-80E7-4CB5-BB97-017C4E8DCF19}"/>
    <cellStyle name="Output 19 2 4" xfId="7999" xr:uid="{F07A79B8-D1B1-4848-8B8D-C5397E104451}"/>
    <cellStyle name="Output 19 2 4 2" xfId="12968" xr:uid="{FB8386B9-6C9C-4E70-984D-107903E48EC1}"/>
    <cellStyle name="Output 19 2 4 3" xfId="12012" xr:uid="{B4E7451A-FF38-4E41-A408-D1399D924619}"/>
    <cellStyle name="Output 19 2 4 4" xfId="10821" xr:uid="{38BD740F-BC2D-4DE9-B15C-5A3C3E51CB38}"/>
    <cellStyle name="Output 19 2 4 5" xfId="11600" xr:uid="{4E794446-BBC6-4AAE-B57D-D73D0792CBDC}"/>
    <cellStyle name="Output 19 2 4 6" xfId="11159" xr:uid="{ECCAB48B-DA10-4487-AC98-EFFA0674E525}"/>
    <cellStyle name="Output 19 2 4 7" xfId="12545" xr:uid="{0C852DEB-6495-45C9-AC68-50FFF27EBF51}"/>
    <cellStyle name="Output 19 2 4 8" xfId="10343" xr:uid="{5ABC651F-9002-4AA0-84C2-AA27A53D2BB3}"/>
    <cellStyle name="Output 19 2 5" xfId="9432" xr:uid="{DDF6F941-34E0-46CD-8C5F-6921F31DB6D7}"/>
    <cellStyle name="Output 19 2 5 2" xfId="13836" xr:uid="{8CA4ED5E-AE01-4DB6-AB33-3064DD542ACE}"/>
    <cellStyle name="Output 19 2 5 3" xfId="14796" xr:uid="{9602602F-5D04-451D-8630-8E42144B1A79}"/>
    <cellStyle name="Output 19 2 5 4" xfId="15748" xr:uid="{4D65C6FC-863C-4BDA-9B52-9FB955AD6D56}"/>
    <cellStyle name="Output 19 2 5 5" xfId="16622" xr:uid="{849D9DAB-168A-402C-8873-806E1F01A07A}"/>
    <cellStyle name="Output 19 2 5 6" xfId="17487" xr:uid="{5707ACA2-1FAE-49D1-99CF-6C11D77F0182}"/>
    <cellStyle name="Output 19 2 5 7" xfId="18263" xr:uid="{AAFDF009-3AD3-4093-B606-150FFAE35096}"/>
    <cellStyle name="Output 19 2 5 8" xfId="19020" xr:uid="{0456FD2F-21FF-4A5D-9822-DBED52EC3CAF}"/>
    <cellStyle name="Output 19 2 6" xfId="11873" xr:uid="{C843DFF6-951D-4552-BE76-9DE43F50CB63}"/>
    <cellStyle name="Output 19 2 7" xfId="10940" xr:uid="{72CC9E0E-16CF-4379-8C79-696CDBCA9DC3}"/>
    <cellStyle name="Output 19 2 8" xfId="11492" xr:uid="{05813573-0B4A-446F-9C03-6B8F1F18AA05}"/>
    <cellStyle name="Output 19 2 9" xfId="11238" xr:uid="{836FCC64-AE5A-4B0F-8802-2527FCFB46A7}"/>
    <cellStyle name="Output 19 3" xfId="6894" xr:uid="{EA1279BC-0EBF-4E7E-917F-A02F4E82E311}"/>
    <cellStyle name="Output 19 3 10" xfId="11281" xr:uid="{476D2DAE-7745-4B2B-A415-E76384D201C3}"/>
    <cellStyle name="Output 19 3 11" xfId="12478" xr:uid="{0A6E558D-1AC9-4D11-821A-D692F568FE5B}"/>
    <cellStyle name="Output 19 3 2" xfId="7680" xr:uid="{78E07474-FC43-4FD4-9205-7076E6C8BF83}"/>
    <cellStyle name="Output 19 3 2 10" xfId="9922" xr:uid="{BB8F9E6A-C9FB-4FA5-A2C4-3CF94D24DFF2}"/>
    <cellStyle name="Output 19 3 2 2" xfId="9320" xr:uid="{C8F451F1-DC4E-4DC1-BB22-21529BB0664B}"/>
    <cellStyle name="Output 19 3 2 2 2" xfId="13754" xr:uid="{727C1EAF-990C-4FA4-8150-BD2960CC2892}"/>
    <cellStyle name="Output 19 3 2 2 3" xfId="14716" xr:uid="{21D836E7-935D-45AE-903C-CF4E9CE627E3}"/>
    <cellStyle name="Output 19 3 2 2 4" xfId="15668" xr:uid="{CE7D5854-B125-4F82-9757-3CF9EB766A64}"/>
    <cellStyle name="Output 19 3 2 2 5" xfId="16548" xr:uid="{06267F63-F0B9-4C21-BD3B-E5C5D1411BC6}"/>
    <cellStyle name="Output 19 3 2 2 6" xfId="17414" xr:uid="{3F350CDA-F21D-4B6D-9680-CD051F03DEC4}"/>
    <cellStyle name="Output 19 3 2 2 7" xfId="18190" xr:uid="{BD2E044B-0D8A-4910-A7B0-8627D7EA33B1}"/>
    <cellStyle name="Output 19 3 2 2 8" xfId="18947" xr:uid="{82102C42-6D14-4E88-9A10-D34D91E69C70}"/>
    <cellStyle name="Output 19 3 2 3" xfId="9774" xr:uid="{C6A053DC-1BB9-4BD0-A89A-83301284D828}"/>
    <cellStyle name="Output 19 3 2 3 2" xfId="14178" xr:uid="{8EA66A37-BCAA-41F6-A17D-ED65D083EAFC}"/>
    <cellStyle name="Output 19 3 2 3 3" xfId="15138" xr:uid="{D821BAE4-BC12-4CB1-B54A-4B36B1413DE9}"/>
    <cellStyle name="Output 19 3 2 3 4" xfId="16090" xr:uid="{F2E3888B-8C6D-4C8E-8074-9B10AC910C63}"/>
    <cellStyle name="Output 19 3 2 3 5" xfId="16964" xr:uid="{28376A05-943E-4029-9055-1E3870E4D705}"/>
    <cellStyle name="Output 19 3 2 3 6" xfId="17829" xr:uid="{3B39647E-C2D3-450F-B805-F3147A0FCFF5}"/>
    <cellStyle name="Output 19 3 2 3 7" xfId="18605" xr:uid="{0946F3C5-FA44-4E00-A814-4E80202B4E1B}"/>
    <cellStyle name="Output 19 3 2 3 8" xfId="19362" xr:uid="{A8811E0A-0ED0-4A2E-9995-74D2015FF928}"/>
    <cellStyle name="Output 19 3 2 4" xfId="12738" xr:uid="{CDE0F284-5894-42FC-B3AB-CE7CE52DA220}"/>
    <cellStyle name="Output 19 3 2 5" xfId="12821" xr:uid="{4BF8E3E6-7A91-4B3D-9A13-C4BB6B7D208B}"/>
    <cellStyle name="Output 19 3 2 6" xfId="10153" xr:uid="{396509A2-74D2-43F6-99A7-CD71610BDFDA}"/>
    <cellStyle name="Output 19 3 2 7" xfId="11794" xr:uid="{26A63934-5115-46FA-B42E-6E73B18C57FB}"/>
    <cellStyle name="Output 19 3 2 8" xfId="11010" xr:uid="{55DD5B6A-42FF-44C8-B71D-F3DCE7668636}"/>
    <cellStyle name="Output 19 3 2 9" xfId="13099" xr:uid="{617F4AA3-4702-4490-B403-0B4250FA44E2}"/>
    <cellStyle name="Output 19 3 3" xfId="8534" xr:uid="{6FBCF248-92E4-43D7-BD46-82FC1971972C}"/>
    <cellStyle name="Output 19 3 3 2" xfId="13274" xr:uid="{84C111C4-DA10-4F99-A978-0DE2F287636A}"/>
    <cellStyle name="Output 19 3 3 3" xfId="14294" xr:uid="{4E815C72-AFAB-4979-8F48-E898B37E81B9}"/>
    <cellStyle name="Output 19 3 3 4" xfId="15254" xr:uid="{52AAE6EA-79F6-499F-9043-5C0D03A051B8}"/>
    <cellStyle name="Output 19 3 3 5" xfId="16203" xr:uid="{C3229AF0-7E10-4E2C-B3F4-930DDE474EEC}"/>
    <cellStyle name="Output 19 3 3 6" xfId="17076" xr:uid="{0897C3F1-A2DF-44F9-A79A-ED7537722288}"/>
    <cellStyle name="Output 19 3 3 7" xfId="17941" xr:uid="{76039E2A-E78C-4FCC-95CC-5A77B930DEFF}"/>
    <cellStyle name="Output 19 3 3 8" xfId="18717" xr:uid="{06DEA409-42DD-460E-A51F-B051D322D12A}"/>
    <cellStyle name="Output 19 3 4" xfId="9544" xr:uid="{FDB711C3-F33D-4F2B-A40A-02ABE924799D}"/>
    <cellStyle name="Output 19 3 4 2" xfId="13948" xr:uid="{2612181B-C50E-4238-A015-E3B575F77FDF}"/>
    <cellStyle name="Output 19 3 4 3" xfId="14908" xr:uid="{8D146F81-713A-41B4-87A2-6EFF55D057ED}"/>
    <cellStyle name="Output 19 3 4 4" xfId="15860" xr:uid="{C844737A-142B-4C21-B486-4DEC94A91075}"/>
    <cellStyle name="Output 19 3 4 5" xfId="16734" xr:uid="{208FEDC8-1B81-4C89-BE0B-9BFF62F889FF}"/>
    <cellStyle name="Output 19 3 4 6" xfId="17599" xr:uid="{0EAAAEC5-0DA7-4AA2-B1F2-89E293DD4800}"/>
    <cellStyle name="Output 19 3 4 7" xfId="18375" xr:uid="{571B1049-FB2E-464C-9C46-811947005FD4}"/>
    <cellStyle name="Output 19 3 4 8" xfId="19132" xr:uid="{E71EA035-7BB5-4A98-A494-739C94457244}"/>
    <cellStyle name="Output 19 3 5" xfId="12245" xr:uid="{610E033A-D1BE-420D-BC95-710322FDB4BA}"/>
    <cellStyle name="Output 19 3 6" xfId="10620" xr:uid="{6F8866AB-D8E5-40C9-BC96-F3F3E7527F9B}"/>
    <cellStyle name="Output 19 3 7" xfId="11684" xr:uid="{2ECD0D46-13BA-4BBE-9438-D5492AA4B5D6}"/>
    <cellStyle name="Output 19 3 8" xfId="11097" xr:uid="{C60FCEE9-CB5D-46F0-8A61-D3B65B27DE39}"/>
    <cellStyle name="Output 19 3 9" xfId="11447" xr:uid="{4C4BA5FB-9B60-48CE-AAC3-88E2CFA33B7B}"/>
    <cellStyle name="Output 19 4" xfId="7156" xr:uid="{DA72C4A6-21D7-46D0-B83B-CADCD138992B}"/>
    <cellStyle name="Output 19 4 10" xfId="13012" xr:uid="{0A5A0926-2246-4B6E-A6F1-6468718B7D95}"/>
    <cellStyle name="Output 19 4 2" xfId="8796" xr:uid="{337859FF-ABC3-40D4-BE92-E8C5A8C1DD46}"/>
    <cellStyle name="Output 19 4 2 2" xfId="13456" xr:uid="{DC0B9A75-C070-4406-AE07-C3ABEBF4FF66}"/>
    <cellStyle name="Output 19 4 2 3" xfId="14462" xr:uid="{6BEF405F-4FF1-4BEB-83B2-87D61EE2476F}"/>
    <cellStyle name="Output 19 4 2 4" xfId="15420" xr:uid="{3A553A9A-55C0-498B-A147-16068696BE15}"/>
    <cellStyle name="Output 19 4 2 5" xfId="16347" xr:uid="{22F5FAC0-BC3D-4674-B715-F47531FB8198}"/>
    <cellStyle name="Output 19 4 2 6" xfId="17218" xr:uid="{8A6E38B7-D7A4-49A4-B2F9-BFA0DA478B7B}"/>
    <cellStyle name="Output 19 4 2 7" xfId="18065" xr:uid="{2B72E35C-8928-4878-984F-B40A715351F6}"/>
    <cellStyle name="Output 19 4 2 8" xfId="18832" xr:uid="{A5B506D1-3703-4359-A0C5-FCA3BFE8B4FE}"/>
    <cellStyle name="Output 19 4 3" xfId="9659" xr:uid="{C15F73DA-73C5-470F-B4E6-BB7FEDC17219}"/>
    <cellStyle name="Output 19 4 3 2" xfId="14063" xr:uid="{EBB19602-B585-41AF-9DCF-FCA7B9C68101}"/>
    <cellStyle name="Output 19 4 3 3" xfId="15023" xr:uid="{D3D678F5-2957-45F2-B13D-388E4E29FA64}"/>
    <cellStyle name="Output 19 4 3 4" xfId="15975" xr:uid="{EF997FB9-8267-4530-A653-92337C98EA08}"/>
    <cellStyle name="Output 19 4 3 5" xfId="16849" xr:uid="{D2068F95-EC74-4D47-956C-CB947B220B37}"/>
    <cellStyle name="Output 19 4 3 6" xfId="17714" xr:uid="{ECFAAE73-A8AB-4D9C-B7FF-C57CDD7D1F96}"/>
    <cellStyle name="Output 19 4 3 7" xfId="18490" xr:uid="{01C3E03E-B1D3-41B3-89A3-02F5E7D5C658}"/>
    <cellStyle name="Output 19 4 3 8" xfId="19247" xr:uid="{7BF7EAD8-EFA5-492E-B898-7EFADD71DF12}"/>
    <cellStyle name="Output 19 4 4" xfId="12426" xr:uid="{B4EE2BC4-B081-4FB7-8297-C8F106647DB8}"/>
    <cellStyle name="Output 19 4 5" xfId="10452" xr:uid="{D45B72ED-530B-46FC-A043-8C1CD8EEA69C}"/>
    <cellStyle name="Output 19 4 6" xfId="11705" xr:uid="{EA210F58-158E-4495-9FA7-9FA319B4020D}"/>
    <cellStyle name="Output 19 4 7" xfId="11081" xr:uid="{5627D9B5-FCAA-48A6-B0F4-36E0BCB3B463}"/>
    <cellStyle name="Output 19 4 8" xfId="11451" xr:uid="{BD4F8BE7-4ED0-4B4B-AC4C-D91FB851A430}"/>
    <cellStyle name="Output 19 4 9" xfId="11277" xr:uid="{673AB39D-D12E-4868-8F20-8608319DC9C2}"/>
    <cellStyle name="Output 19 5" xfId="7998" xr:uid="{53CA76C3-EFF9-4765-9118-4C088AE6015C}"/>
    <cellStyle name="Output 19 5 2" xfId="12967" xr:uid="{03D0907E-AA98-4029-98B9-B6835C3998EF}"/>
    <cellStyle name="Output 19 5 3" xfId="10023" xr:uid="{3137A291-9727-4D68-BA0E-1F8054D6B1A9}"/>
    <cellStyle name="Output 19 5 4" xfId="9825" xr:uid="{99113934-B383-4188-A510-99DA0CCFC858}"/>
    <cellStyle name="Output 19 5 5" xfId="11942" xr:uid="{64E01C7C-EE60-4FA2-9DA5-6B532E76D20F}"/>
    <cellStyle name="Output 19 5 6" xfId="10875" xr:uid="{7C3450C1-CC7A-402C-B3B6-B9DA774EF8D2}"/>
    <cellStyle name="Output 19 5 7" xfId="11548" xr:uid="{1C3C40D6-D33D-4556-BD2F-515DAF2C2438}"/>
    <cellStyle name="Output 19 5 8" xfId="11191" xr:uid="{13C07860-6ACC-4982-91CD-FC73AA0505B9}"/>
    <cellStyle name="Output 19 6" xfId="9431" xr:uid="{E931AE6E-2053-4951-BA64-E7266ED2F8B1}"/>
    <cellStyle name="Output 19 6 2" xfId="13835" xr:uid="{F6A3F610-FB47-4717-896D-0C981BCF01E4}"/>
    <cellStyle name="Output 19 6 3" xfId="14795" xr:uid="{22F8D753-7887-48DA-B99F-4B1E3FE961CF}"/>
    <cellStyle name="Output 19 6 4" xfId="15747" xr:uid="{F155B274-011D-41BE-B9F5-B52EDDDF3D7C}"/>
    <cellStyle name="Output 19 6 5" xfId="16621" xr:uid="{BD56338D-C3A0-407F-9D01-D79E95520161}"/>
    <cellStyle name="Output 19 6 6" xfId="17486" xr:uid="{58847343-0A55-4505-9DF8-A95913D33DFA}"/>
    <cellStyle name="Output 19 6 7" xfId="18262" xr:uid="{2E0F4C4D-A188-4224-8A85-B2A14FB8B51D}"/>
    <cellStyle name="Output 19 6 8" xfId="19019" xr:uid="{9BE78C6D-CE2A-4966-9A2D-11F916055FD3}"/>
    <cellStyle name="Output 19 7" xfId="11872" xr:uid="{D1FD0FE7-106A-4C8F-AB66-8D23F0A50983}"/>
    <cellStyle name="Output 19 8" xfId="10941" xr:uid="{41C4B7BD-8818-4A62-AD77-D8196E321BBE}"/>
    <cellStyle name="Output 19 9" xfId="11491" xr:uid="{F0AFCE35-EF14-4CE5-BD9C-6F275FF527E5}"/>
    <cellStyle name="Output 2" xfId="6232" xr:uid="{304E6360-B6AC-46D4-A829-85FFEF2901FF}"/>
    <cellStyle name="Output 2 10" xfId="11237" xr:uid="{1A7D39BD-C1FA-400B-B0F8-57BDF5BDA7A6}"/>
    <cellStyle name="Output 2 11" xfId="12866" xr:uid="{674BD0FD-8737-41E4-BDE4-802BAC05C33A}"/>
    <cellStyle name="Output 2 12" xfId="10109" xr:uid="{FB9CF2AE-458C-4948-8C77-123EB6D6E97C}"/>
    <cellStyle name="Output 2 13" xfId="12675" xr:uid="{E538E767-BB23-4C91-9215-7F3FB6EC4C8A}"/>
    <cellStyle name="Output 2 2" xfId="6233" xr:uid="{0E294E55-9463-43DC-979F-F126931C49FB}"/>
    <cellStyle name="Output 2 3" xfId="6896" xr:uid="{3D59CECD-FDD4-4914-A073-05EA4A6F2E36}"/>
    <cellStyle name="Output 2 3 10" xfId="11279" xr:uid="{1499B7E3-EA55-4751-8D8B-2322C7C9DF9F}"/>
    <cellStyle name="Output 2 3 11" xfId="11955" xr:uid="{C72B0AFA-B576-4696-BD99-409FAF023F80}"/>
    <cellStyle name="Output 2 3 2" xfId="7681" xr:uid="{CAF0F4B4-3109-4630-9EFD-EBE5C0EDADD1}"/>
    <cellStyle name="Output 2 3 2 10" xfId="18010" xr:uid="{066A8198-7F61-4FDC-94C4-A22547053912}"/>
    <cellStyle name="Output 2 3 2 2" xfId="9321" xr:uid="{B6340BEC-65DE-4BB7-89B7-5918230D8F46}"/>
    <cellStyle name="Output 2 3 2 2 2" xfId="13755" xr:uid="{A224FD01-2CE1-4B2D-8283-AA16FF58F6CA}"/>
    <cellStyle name="Output 2 3 2 2 3" xfId="14717" xr:uid="{872C7CFB-08CC-499B-B69A-E47E99A571DC}"/>
    <cellStyle name="Output 2 3 2 2 4" xfId="15669" xr:uid="{7F3704BE-DE87-462C-B539-5BA934C24470}"/>
    <cellStyle name="Output 2 3 2 2 5" xfId="16549" xr:uid="{0749ACC7-7CFC-47F7-A4BE-1A7D490666AC}"/>
    <cellStyle name="Output 2 3 2 2 6" xfId="17415" xr:uid="{805620C9-9CC0-4164-8E2F-33B5BB39E13D}"/>
    <cellStyle name="Output 2 3 2 2 7" xfId="18191" xr:uid="{6AAAC14B-F99D-4486-B578-F60658688E05}"/>
    <cellStyle name="Output 2 3 2 2 8" xfId="18948" xr:uid="{32A3C750-9CA7-4D31-8A67-B42FBD9AB65B}"/>
    <cellStyle name="Output 2 3 2 3" xfId="9775" xr:uid="{052B9F52-0CD0-4280-A110-CFE5399F13D6}"/>
    <cellStyle name="Output 2 3 2 3 2" xfId="14179" xr:uid="{DEE9FC9E-EAD1-4E3A-AA39-635706CD28B1}"/>
    <cellStyle name="Output 2 3 2 3 3" xfId="15139" xr:uid="{4C674936-F01A-43BC-9E00-9D1516BA5E4E}"/>
    <cellStyle name="Output 2 3 2 3 4" xfId="16091" xr:uid="{D85B70DF-8AF7-4B2D-A32E-901154D35FB0}"/>
    <cellStyle name="Output 2 3 2 3 5" xfId="16965" xr:uid="{AA9F120B-61B3-4606-9E38-24C36517C43D}"/>
    <cellStyle name="Output 2 3 2 3 6" xfId="17830" xr:uid="{DC87B582-F00D-434D-AB73-208DF176ACCD}"/>
    <cellStyle name="Output 2 3 2 3 7" xfId="18606" xr:uid="{E94127D6-E264-4721-B62F-0329B2041AD5}"/>
    <cellStyle name="Output 2 3 2 3 8" xfId="19363" xr:uid="{001BED4B-6526-4989-9233-46E328BF369D}"/>
    <cellStyle name="Output 2 3 2 4" xfId="12739" xr:uid="{E7CA9681-3A2F-4A1E-8809-70752DF6FA80}"/>
    <cellStyle name="Output 2 3 2 5" xfId="13356" xr:uid="{6440434D-029B-4197-8D0A-4277D3A93B93}"/>
    <cellStyle name="Output 2 3 2 6" xfId="14370" xr:uid="{F16BBB97-03E7-46B9-AEDD-B1A7A0CABBC3}"/>
    <cellStyle name="Output 2 3 2 7" xfId="15328" xr:uid="{F9527E80-B19B-4F27-9766-05A5AA53EAC2}"/>
    <cellStyle name="Output 2 3 2 8" xfId="16272" xr:uid="{2A419603-85E5-432A-87F3-954F9ECC9051}"/>
    <cellStyle name="Output 2 3 2 9" xfId="17145" xr:uid="{767B5BB6-ECF3-4DCF-85AC-D0F2E3E3A483}"/>
    <cellStyle name="Output 2 3 3" xfId="8536" xr:uid="{DC141DEC-4EE1-477D-8494-3ED0381C1426}"/>
    <cellStyle name="Output 2 3 3 2" xfId="13276" xr:uid="{4C5C66DF-8D33-4978-BE45-96962B10B431}"/>
    <cellStyle name="Output 2 3 3 3" xfId="14296" xr:uid="{A2E6D327-5A2F-48F9-A194-49C460D984F1}"/>
    <cellStyle name="Output 2 3 3 4" xfId="15256" xr:uid="{EE8F82BB-55DF-42B8-9190-A836E8C40511}"/>
    <cellStyle name="Output 2 3 3 5" xfId="16205" xr:uid="{4C9F3680-3E8C-48CF-A059-CA4454232D0C}"/>
    <cellStyle name="Output 2 3 3 6" xfId="17078" xr:uid="{5A57888C-0739-426D-84F6-7B62274780CE}"/>
    <cellStyle name="Output 2 3 3 7" xfId="17943" xr:uid="{0269DD5A-709D-4F4D-BB18-0AB21CC409E5}"/>
    <cellStyle name="Output 2 3 3 8" xfId="18719" xr:uid="{AEE563C0-B049-4AE5-81B4-7018E2E02579}"/>
    <cellStyle name="Output 2 3 4" xfId="9546" xr:uid="{90A99A61-312C-4A2F-93A9-54969292E51B}"/>
    <cellStyle name="Output 2 3 4 2" xfId="13950" xr:uid="{B4C1E570-F882-4689-81CD-14FC19D99DF2}"/>
    <cellStyle name="Output 2 3 4 3" xfId="14910" xr:uid="{2FD01267-D304-4F14-BE98-A6415B088A88}"/>
    <cellStyle name="Output 2 3 4 4" xfId="15862" xr:uid="{6BB6E3FC-A630-4496-A81B-0BFC165A07BB}"/>
    <cellStyle name="Output 2 3 4 5" xfId="16736" xr:uid="{7B7E0CEC-524F-47B7-9B14-1297677F9F2D}"/>
    <cellStyle name="Output 2 3 4 6" xfId="17601" xr:uid="{AE63C3CF-5579-48CB-B1E7-399C9C7D3C66}"/>
    <cellStyle name="Output 2 3 4 7" xfId="18377" xr:uid="{F82D5285-93AA-4549-9318-C65CC993A158}"/>
    <cellStyle name="Output 2 3 4 8" xfId="19134" xr:uid="{5DEA4D33-5185-4C73-83C2-5F24082D809D}"/>
    <cellStyle name="Output 2 3 5" xfId="12247" xr:uid="{B781DEED-E921-437B-8042-4C2114E849B9}"/>
    <cellStyle name="Output 2 3 6" xfId="10618" xr:uid="{DDBE0F09-D061-49A2-8A55-FEC1B9C3FD5C}"/>
    <cellStyle name="Output 2 3 7" xfId="11686" xr:uid="{6C0FDCF1-BEA9-4DDE-82F4-B94F1C9356A2}"/>
    <cellStyle name="Output 2 3 8" xfId="11095" xr:uid="{9C06B6E0-E70E-4512-BA83-5CBA2F8ABB58}"/>
    <cellStyle name="Output 2 3 9" xfId="11449" xr:uid="{9A8295E4-3861-4CFB-BDEE-75C9AB83EB6F}"/>
    <cellStyle name="Output 2 4" xfId="7158" xr:uid="{AE79945A-1D3C-4378-9C22-4DCBC032E0D6}"/>
    <cellStyle name="Output 2 4 10" xfId="13154" xr:uid="{9DE9A1C0-3B61-48F8-A74D-422CCA641E01}"/>
    <cellStyle name="Output 2 4 2" xfId="8798" xr:uid="{D5983332-01E5-4810-AA0E-0C59F7F56B21}"/>
    <cellStyle name="Output 2 4 2 2" xfId="13458" xr:uid="{24BE9C67-2899-40E9-9EED-FA62DD07043D}"/>
    <cellStyle name="Output 2 4 2 3" xfId="14464" xr:uid="{496F1DAA-09C8-45D0-ACBD-2A3DFE360EC2}"/>
    <cellStyle name="Output 2 4 2 4" xfId="15422" xr:uid="{86833F5F-5ABA-4953-A57B-76BA94CD330F}"/>
    <cellStyle name="Output 2 4 2 5" xfId="16349" xr:uid="{A570FDB4-6F7F-41CC-8ABF-148A9E4988E8}"/>
    <cellStyle name="Output 2 4 2 6" xfId="17220" xr:uid="{1C7B6AA3-1142-41B0-AFE0-7803AB4AE262}"/>
    <cellStyle name="Output 2 4 2 7" xfId="18067" xr:uid="{DCC791F8-9370-432B-8FEE-B88CFF10AAB1}"/>
    <cellStyle name="Output 2 4 2 8" xfId="18834" xr:uid="{A59FBC53-AFEF-4093-9B5C-B0AF4344B33A}"/>
    <cellStyle name="Output 2 4 3" xfId="9661" xr:uid="{C3B0A003-AABC-4F6D-A065-63422BED2DFF}"/>
    <cellStyle name="Output 2 4 3 2" xfId="14065" xr:uid="{8027F7B5-DD4D-4138-8B88-5698F45AB059}"/>
    <cellStyle name="Output 2 4 3 3" xfId="15025" xr:uid="{3A7BAB08-13AB-4025-89EA-FC3934588ED8}"/>
    <cellStyle name="Output 2 4 3 4" xfId="15977" xr:uid="{186F3515-F827-4898-BEC4-05B3DA0630CD}"/>
    <cellStyle name="Output 2 4 3 5" xfId="16851" xr:uid="{BC4E484B-C454-4FB7-A707-EBF4F4EBBC61}"/>
    <cellStyle name="Output 2 4 3 6" xfId="17716" xr:uid="{257921BD-AA12-444E-B8B8-BA5F3C7EB6D5}"/>
    <cellStyle name="Output 2 4 3 7" xfId="18492" xr:uid="{EA88F7E4-D042-4E59-BFDA-EBF7E5FA72C8}"/>
    <cellStyle name="Output 2 4 3 8" xfId="19249" xr:uid="{943962DA-29C1-4C51-997B-1C1650D27281}"/>
    <cellStyle name="Output 2 4 4" xfId="12428" xr:uid="{F5BB14FF-64A3-49F7-8D93-D41DB9A3F0FD}"/>
    <cellStyle name="Output 2 4 5" xfId="10450" xr:uid="{B643854C-2E28-40CB-8736-C02B3F6B37C0}"/>
    <cellStyle name="Output 2 4 6" xfId="11707" xr:uid="{9A6D2617-0626-4DE6-B5D1-CDEF4D37B184}"/>
    <cellStyle name="Output 2 4 7" xfId="11079" xr:uid="{8016C8D5-4E89-4121-B3CA-3B6B6AB574C8}"/>
    <cellStyle name="Output 2 4 8" xfId="12557" xr:uid="{F3F2EB44-914D-41E2-9462-AA323C6C4DCB}"/>
    <cellStyle name="Output 2 4 9" xfId="10338" xr:uid="{FF13E517-CD9E-46AC-82E9-6CE81F40A9DE}"/>
    <cellStyle name="Output 2 5" xfId="8000" xr:uid="{D4416BB4-B6A0-4887-9A86-635F5B09A012}"/>
    <cellStyle name="Output 2 5 2" xfId="12969" xr:uid="{F79ED539-1AFB-49C2-AE23-7C3BA02327BE}"/>
    <cellStyle name="Output 2 5 3" xfId="10022" xr:uid="{7448098E-1E9E-403B-895E-A75B666ADD8B}"/>
    <cellStyle name="Output 2 5 4" xfId="11800" xr:uid="{AF40597E-BDDD-47BE-BD17-E035B0DB7C3D}"/>
    <cellStyle name="Output 2 5 5" xfId="11004" xr:uid="{04C482F9-62FF-4636-B3EF-AF5DD2B32D0A}"/>
    <cellStyle name="Output 2 5 6" xfId="13393" xr:uid="{83F2A3B8-1B1A-4DC2-81C5-C80E8AF83B7A}"/>
    <cellStyle name="Output 2 5 7" xfId="14402" xr:uid="{93D324DC-90CC-4625-B18F-78B4FD22B486}"/>
    <cellStyle name="Output 2 5 8" xfId="15360" xr:uid="{695DAFA8-EFB5-4D80-A28F-D1A5AC7AE1BA}"/>
    <cellStyle name="Output 2 6" xfId="9433" xr:uid="{48F4F629-F481-4CE0-BF0E-406206385BBF}"/>
    <cellStyle name="Output 2 6 2" xfId="13837" xr:uid="{4E3964D6-A1CE-43E9-A22F-AB649E3FA075}"/>
    <cellStyle name="Output 2 6 3" xfId="14797" xr:uid="{09709F2C-1C9F-415F-B450-5C62BA6F48E2}"/>
    <cellStyle name="Output 2 6 4" xfId="15749" xr:uid="{A641D1C1-DE80-42EE-8509-46DAAE8A631E}"/>
    <cellStyle name="Output 2 6 5" xfId="16623" xr:uid="{5669B71E-0150-4D06-A6B9-A0EB8B96EBE6}"/>
    <cellStyle name="Output 2 6 6" xfId="17488" xr:uid="{0CCCE021-DD6F-4992-85BD-F63627034AC5}"/>
    <cellStyle name="Output 2 6 7" xfId="18264" xr:uid="{5A7B5C44-3812-43A2-A490-F7EC0B8C61B3}"/>
    <cellStyle name="Output 2 6 8" xfId="19021" xr:uid="{6F65F29A-547F-4B1D-98EC-97160A0E4A42}"/>
    <cellStyle name="Output 2 7" xfId="11874" xr:uid="{E7CF69A4-A4E8-4197-9D65-4BE9BE10DBE4}"/>
    <cellStyle name="Output 2 8" xfId="10939" xr:uid="{0BC036A9-7615-445A-AA77-BB79B7E5728E}"/>
    <cellStyle name="Output 2 9" xfId="11493" xr:uid="{C04073AD-EDBE-43F1-8B99-2EF28C63FAA1}"/>
    <cellStyle name="Output 3" xfId="6234" xr:uid="{622A6000-4355-4765-9FDE-73CFFC999BCF}"/>
    <cellStyle name="Output 3 10" xfId="12042" xr:uid="{B540729B-8C72-4881-9ED4-7DAFD27C70DE}"/>
    <cellStyle name="Output 3 11" xfId="10794" xr:uid="{E13A4D6E-2FC6-4CAF-B51F-20AD85035DA3}"/>
    <cellStyle name="Output 3 12" xfId="11624" xr:uid="{32C1FC1E-0E9B-4A18-89D8-EBA8938E6F95}"/>
    <cellStyle name="Output 3 2" xfId="6897" xr:uid="{B5A40038-86B4-40A7-B7D1-60AC1CF820A4}"/>
    <cellStyle name="Output 3 2 10" xfId="11129" xr:uid="{F27B83EB-7017-4173-9879-4E0DC1634B56}"/>
    <cellStyle name="Output 3 2 11" xfId="11963" xr:uid="{AE46A7D5-59CA-404D-968F-C59B2A0AD228}"/>
    <cellStyle name="Output 3 2 2" xfId="7682" xr:uid="{B4A3DD1D-5350-4340-8E73-B6FF727DCC04}"/>
    <cellStyle name="Output 3 2 2 10" xfId="16465" xr:uid="{ECE0DD3D-21B9-4959-A237-EFAEC6CC7FA9}"/>
    <cellStyle name="Output 3 2 2 2" xfId="9322" xr:uid="{5C45D747-E23C-4BD3-B86C-B8A4D258D205}"/>
    <cellStyle name="Output 3 2 2 2 2" xfId="13756" xr:uid="{1E098336-BEEE-4F47-9BCB-F86497E263F0}"/>
    <cellStyle name="Output 3 2 2 2 3" xfId="14718" xr:uid="{726FF40C-473D-4092-BC3D-B62DF7685A0F}"/>
    <cellStyle name="Output 3 2 2 2 4" xfId="15670" xr:uid="{F2EFEBCE-57CB-4043-A6A5-BC92C9DEFB23}"/>
    <cellStyle name="Output 3 2 2 2 5" xfId="16550" xr:uid="{A1835D6E-9521-403A-A2FE-3D39382F9A45}"/>
    <cellStyle name="Output 3 2 2 2 6" xfId="17416" xr:uid="{156B9EB4-C6EB-4DB2-809C-70FAA41A6AFF}"/>
    <cellStyle name="Output 3 2 2 2 7" xfId="18192" xr:uid="{62DEFB88-BECF-40A3-A6EE-F1AC0B87E668}"/>
    <cellStyle name="Output 3 2 2 2 8" xfId="18949" xr:uid="{4183DDB6-6645-4922-A018-DDC85B5F8D73}"/>
    <cellStyle name="Output 3 2 2 3" xfId="9776" xr:uid="{520B4E06-9C77-474A-B713-4AD1921BFB2E}"/>
    <cellStyle name="Output 3 2 2 3 2" xfId="14180" xr:uid="{A5052919-D1FF-4AD8-A7D8-DF5C5DD03B65}"/>
    <cellStyle name="Output 3 2 2 3 3" xfId="15140" xr:uid="{755A1BDA-2852-4509-8756-F5F01E9E95B0}"/>
    <cellStyle name="Output 3 2 2 3 4" xfId="16092" xr:uid="{57FF491B-A740-41F7-9491-8FD2D9AD0F33}"/>
    <cellStyle name="Output 3 2 2 3 5" xfId="16966" xr:uid="{D95E00A6-E578-475B-872B-EA4DC32F0D1F}"/>
    <cellStyle name="Output 3 2 2 3 6" xfId="17831" xr:uid="{8E6F13B4-FF9E-4DC4-BAC8-996B745EA1F4}"/>
    <cellStyle name="Output 3 2 2 3 7" xfId="18607" xr:uid="{121BD844-2CD6-409D-93F1-90A35F4901B0}"/>
    <cellStyle name="Output 3 2 2 3 8" xfId="19364" xr:uid="{D487B907-1545-4ED0-8EFC-DAB5ED695E02}"/>
    <cellStyle name="Output 3 2 2 4" xfId="12740" xr:uid="{060D9078-3494-4877-B2A4-B2B2287DBDAB}"/>
    <cellStyle name="Output 3 2 2 5" xfId="12327" xr:uid="{ECF89973-C2F7-48EA-9504-F685B44C2628}"/>
    <cellStyle name="Output 3 2 2 6" xfId="10543" xr:uid="{6FCC0228-8D7D-4B8B-8630-56066E3843E0}"/>
    <cellStyle name="Output 3 2 2 7" xfId="13635" xr:uid="{8F91D3EE-E90D-4DB2-9855-D4DAA749C0CA}"/>
    <cellStyle name="Output 3 2 2 8" xfId="14613" xr:uid="{3A71EE04-C6BA-4037-BA04-3BA77EDFCDB9}"/>
    <cellStyle name="Output 3 2 2 9" xfId="15566" xr:uid="{55F977CA-881B-429A-B966-7E1DA1E943A2}"/>
    <cellStyle name="Output 3 2 3" xfId="8537" xr:uid="{9BE3C484-5542-48C6-938F-75BE07D59C8E}"/>
    <cellStyle name="Output 3 2 3 2" xfId="13277" xr:uid="{A7655704-241A-457F-A005-506545F2C301}"/>
    <cellStyle name="Output 3 2 3 3" xfId="14297" xr:uid="{899492F6-DB53-4619-A93B-143DD0699CC5}"/>
    <cellStyle name="Output 3 2 3 4" xfId="15257" xr:uid="{4A8A9A0D-BA5E-4C98-B1F2-F939FD91389D}"/>
    <cellStyle name="Output 3 2 3 5" xfId="16206" xr:uid="{5C0ACC24-47C1-4183-B943-02099BD39AEC}"/>
    <cellStyle name="Output 3 2 3 6" xfId="17079" xr:uid="{811F77C4-CA27-456C-8AB6-7B697C0E587D}"/>
    <cellStyle name="Output 3 2 3 7" xfId="17944" xr:uid="{C20BCC75-BB5D-422F-8F8A-BBF977EDCFAE}"/>
    <cellStyle name="Output 3 2 3 8" xfId="18720" xr:uid="{E49F1066-F4FA-4BC0-B0BE-0BA71EBE330A}"/>
    <cellStyle name="Output 3 2 4" xfId="9547" xr:uid="{6BA25A68-D911-4E35-929D-72E3206BEBBC}"/>
    <cellStyle name="Output 3 2 4 2" xfId="13951" xr:uid="{67818281-92FF-48D0-BB86-2025D8A66AA6}"/>
    <cellStyle name="Output 3 2 4 3" xfId="14911" xr:uid="{688E7BB4-5211-4E75-9178-826B1547ADB7}"/>
    <cellStyle name="Output 3 2 4 4" xfId="15863" xr:uid="{7D98A1CA-D33D-492A-B94A-F5A6941166AE}"/>
    <cellStyle name="Output 3 2 4 5" xfId="16737" xr:uid="{C947C1DB-59B0-49D2-BC3B-19353638151E}"/>
    <cellStyle name="Output 3 2 4 6" xfId="17602" xr:uid="{2B852F12-47A8-4CE0-B922-8F05EAEA0EAD}"/>
    <cellStyle name="Output 3 2 4 7" xfId="18378" xr:uid="{4579FD5C-2BCF-49F0-A3CA-8A3D683E6036}"/>
    <cellStyle name="Output 3 2 4 8" xfId="19135" xr:uid="{277A9580-3C15-499E-8833-83112C0A53DF}"/>
    <cellStyle name="Output 3 2 5" xfId="12248" xr:uid="{01AE4BD1-619A-4433-AD70-3CE1908C6B86}"/>
    <cellStyle name="Output 3 2 6" xfId="10617" xr:uid="{4ED48216-CEE5-4353-BF58-87047265B729}"/>
    <cellStyle name="Output 3 2 7" xfId="12084" xr:uid="{F9CBF3BA-969E-447C-AF24-15A3CE918DA0}"/>
    <cellStyle name="Output 3 2 8" xfId="10766" xr:uid="{516969C7-CFA9-485A-9105-C1E055B10A0D}"/>
    <cellStyle name="Output 3 2 9" xfId="11648" xr:uid="{B6DEE5B9-5940-4EDB-B92D-EDBCE83DF76D}"/>
    <cellStyle name="Output 3 3" xfId="7159" xr:uid="{D1B5B7EE-F2C1-480F-977C-0AF73DD8F493}"/>
    <cellStyle name="Output 3 3 10" xfId="15527" xr:uid="{F57AC243-0ADB-4BF8-8C7F-08780256DAA4}"/>
    <cellStyle name="Output 3 3 2" xfId="8799" xr:uid="{A842705F-977C-4662-8806-D8062D069C96}"/>
    <cellStyle name="Output 3 3 2 2" xfId="13459" xr:uid="{98582464-A8DA-4420-898E-B6A5AAE2CC2E}"/>
    <cellStyle name="Output 3 3 2 3" xfId="14465" xr:uid="{575655C2-B78E-4A73-8584-3F730BF8974F}"/>
    <cellStyle name="Output 3 3 2 4" xfId="15423" xr:uid="{AA6CF541-CF12-4109-BEBA-DBE5A68F315B}"/>
    <cellStyle name="Output 3 3 2 5" xfId="16350" xr:uid="{863B1B1F-D877-4701-9CA8-3F24B33F34D4}"/>
    <cellStyle name="Output 3 3 2 6" xfId="17221" xr:uid="{542CA9E6-0667-4697-83FC-C3A124D828AF}"/>
    <cellStyle name="Output 3 3 2 7" xfId="18068" xr:uid="{75F20B94-0ED3-49CA-86D3-A34CCCD2718B}"/>
    <cellStyle name="Output 3 3 2 8" xfId="18835" xr:uid="{DB38B834-2792-4ECC-8D11-B25DBD5035C5}"/>
    <cellStyle name="Output 3 3 3" xfId="9662" xr:uid="{702DD651-A9DE-40B2-BC41-2CA21ACCB44B}"/>
    <cellStyle name="Output 3 3 3 2" xfId="14066" xr:uid="{2118C147-6D7B-4E1F-966E-0B850CC23550}"/>
    <cellStyle name="Output 3 3 3 3" xfId="15026" xr:uid="{8F1DC3FE-40CF-4F51-81CB-3B6C81AEEDDD}"/>
    <cellStyle name="Output 3 3 3 4" xfId="15978" xr:uid="{551AB54C-B532-4469-9109-894511042D44}"/>
    <cellStyle name="Output 3 3 3 5" xfId="16852" xr:uid="{DCE193E2-83A6-4BFE-B286-136930CB0060}"/>
    <cellStyle name="Output 3 3 3 6" xfId="17717" xr:uid="{E85D6C73-5DDB-4433-ABAB-A9A5FE6C5F22}"/>
    <cellStyle name="Output 3 3 3 7" xfId="18493" xr:uid="{C144C735-F7B8-4663-B7A0-00E74545BF1A}"/>
    <cellStyle name="Output 3 3 3 8" xfId="19250" xr:uid="{561C48BE-8ACA-4FF8-88E8-48015D773534}"/>
    <cellStyle name="Output 3 3 4" xfId="12429" xr:uid="{6C251FF6-32E8-44A6-A6EE-4AD539A7725C}"/>
    <cellStyle name="Output 3 3 5" xfId="10449" xr:uid="{677DF4C1-7CDA-4580-8F0E-0FC9A2C2270F}"/>
    <cellStyle name="Output 3 3 6" xfId="11708" xr:uid="{32161F33-CFB1-4EEE-B73C-4B623AF81854}"/>
    <cellStyle name="Output 3 3 7" xfId="11078" xr:uid="{11613996-823C-4B20-8EDC-5E7D46EC7263}"/>
    <cellStyle name="Output 3 3 8" xfId="13582" xr:uid="{EC16CB7C-F97A-4CE6-B113-7BADA5715709}"/>
    <cellStyle name="Output 3 3 9" xfId="14570" xr:uid="{F4368227-91A6-4508-AC5D-B41B3B837FE0}"/>
    <cellStyle name="Output 3 4" xfId="8001" xr:uid="{6BA9F6F4-B76E-4E7A-91E9-C820040DFF38}"/>
    <cellStyle name="Output 3 4 2" xfId="12970" xr:uid="{37DAB502-2A85-442A-BE76-6121EA868E2E}"/>
    <cellStyle name="Output 3 4 3" xfId="10021" xr:uid="{56D81B70-8715-4839-B924-3F552107463A}"/>
    <cellStyle name="Output 3 4 4" xfId="11801" xr:uid="{9B8B7784-A39E-4BCD-9058-E664DC072ECD}"/>
    <cellStyle name="Output 3 4 5" xfId="11003" xr:uid="{1CC18142-53DB-4692-ABD9-82B3D478B787}"/>
    <cellStyle name="Output 3 4 6" xfId="12880" xr:uid="{19D87772-7F2F-4037-BBAD-C518304A1CB9}"/>
    <cellStyle name="Output 3 4 7" xfId="10100" xr:uid="{66BFC19D-D234-4C96-84AA-D0A836D83E9A}"/>
    <cellStyle name="Output 3 4 8" xfId="12676" xr:uid="{2BA5C917-F021-4F92-8CD7-1D05BF9865A9}"/>
    <cellStyle name="Output 3 5" xfId="9434" xr:uid="{821194C9-9A50-4D93-9707-F2E3021C87F3}"/>
    <cellStyle name="Output 3 5 2" xfId="13838" xr:uid="{4DC86358-2219-428C-A58A-52BAD8AB600D}"/>
    <cellStyle name="Output 3 5 3" xfId="14798" xr:uid="{0A272302-C9C5-4697-83A2-1AD209CA61F3}"/>
    <cellStyle name="Output 3 5 4" xfId="15750" xr:uid="{4640C72D-0294-4463-B321-8DC74242DE58}"/>
    <cellStyle name="Output 3 5 5" xfId="16624" xr:uid="{45D6200B-6C77-48C0-BC5D-B87521E237A9}"/>
    <cellStyle name="Output 3 5 6" xfId="17489" xr:uid="{A68F0487-EADE-47F1-81A4-CC28F3BADCA3}"/>
    <cellStyle name="Output 3 5 7" xfId="18265" xr:uid="{E40B5286-BF77-45F2-89B0-4324CA6AE8BC}"/>
    <cellStyle name="Output 3 5 8" xfId="19022" xr:uid="{9F5B0EC4-6F5C-4C5D-99A2-5FAED77B15AE}"/>
    <cellStyle name="Output 3 6" xfId="11876" xr:uid="{974AE2A1-D458-4D80-8D4A-173667468A8C}"/>
    <cellStyle name="Output 3 7" xfId="10937" xr:uid="{D2A8319E-0F5C-4D4A-A77C-ABB4C7C7AB32}"/>
    <cellStyle name="Output 3 8" xfId="11495" xr:uid="{307DC154-DF86-4DFE-BEA1-C57C52018C11}"/>
    <cellStyle name="Output 3 9" xfId="11236" xr:uid="{6CD307AF-6890-43FE-8977-70533F6F1D51}"/>
    <cellStyle name="Output 4" xfId="6235" xr:uid="{8C32298A-4515-40DC-8F00-94A29F24CC7B}"/>
    <cellStyle name="Output 4 10" xfId="12530" xr:uid="{81B2A64A-8FC8-4016-A864-D484C5CA3BBD}"/>
    <cellStyle name="Output 4 11" xfId="10353" xr:uid="{A736BDB3-3AAA-455C-9A10-C9B9B4E60C0D}"/>
    <cellStyle name="Output 4 12" xfId="13664" xr:uid="{A905929E-4942-4671-80F7-BCB9EC5088B7}"/>
    <cellStyle name="Output 4 2" xfId="6898" xr:uid="{A7650E11-C0BB-40EB-826A-6C9BF20EEA01}"/>
    <cellStyle name="Output 4 2 10" xfId="11128" xr:uid="{476CFF6F-24E6-41F7-96C4-3E69282F17F7}"/>
    <cellStyle name="Output 4 2 11" xfId="12551" xr:uid="{A17A05D1-7904-4BD2-91B7-2F59C7A8585B}"/>
    <cellStyle name="Output 4 2 2" xfId="7683" xr:uid="{FAF5DB04-BD03-4F47-AAEF-E2F21F30BA39}"/>
    <cellStyle name="Output 4 2 2 10" xfId="17183" xr:uid="{06D5FE0B-03A7-4543-9142-14DA214F16D4}"/>
    <cellStyle name="Output 4 2 2 2" xfId="9323" xr:uid="{2471E832-A536-4E1E-9C88-2B1E635B8F82}"/>
    <cellStyle name="Output 4 2 2 2 2" xfId="13757" xr:uid="{738FB248-4888-4130-87F6-98256EB236D1}"/>
    <cellStyle name="Output 4 2 2 2 3" xfId="14719" xr:uid="{0FF5B758-33CE-4114-976C-A1BE5433FD50}"/>
    <cellStyle name="Output 4 2 2 2 4" xfId="15671" xr:uid="{09CEB613-DE5C-4A94-8E0F-C36AFAF1F826}"/>
    <cellStyle name="Output 4 2 2 2 5" xfId="16551" xr:uid="{5D92E6D3-9289-4237-B334-23BA6A0A3AE2}"/>
    <cellStyle name="Output 4 2 2 2 6" xfId="17417" xr:uid="{B0A4882E-D720-4DD5-9322-CF21C1914D24}"/>
    <cellStyle name="Output 4 2 2 2 7" xfId="18193" xr:uid="{E0FFEE38-A3FB-4C98-8173-FA6602C8249C}"/>
    <cellStyle name="Output 4 2 2 2 8" xfId="18950" xr:uid="{49279677-081E-4358-B5DF-3AE87C6282DE}"/>
    <cellStyle name="Output 4 2 2 3" xfId="9777" xr:uid="{03AA4752-CBB9-4D87-A791-E6390DEA3A62}"/>
    <cellStyle name="Output 4 2 2 3 2" xfId="14181" xr:uid="{087F77C0-5416-48EF-932A-FD6EFFE2236F}"/>
    <cellStyle name="Output 4 2 2 3 3" xfId="15141" xr:uid="{F4A49DDD-DAFD-4988-AEA7-7B1270A4110E}"/>
    <cellStyle name="Output 4 2 2 3 4" xfId="16093" xr:uid="{EAC0D548-EE56-4ECB-ADBC-4359DB3C223A}"/>
    <cellStyle name="Output 4 2 2 3 5" xfId="16967" xr:uid="{6A143285-A626-4FD2-9218-441AB124A578}"/>
    <cellStyle name="Output 4 2 2 3 6" xfId="17832" xr:uid="{85CCD23C-AA06-4AE4-9883-CABE586F7BD5}"/>
    <cellStyle name="Output 4 2 2 3 7" xfId="18608" xr:uid="{568BC3C4-1FBB-4287-B8D4-40D1091FE276}"/>
    <cellStyle name="Output 4 2 2 3 8" xfId="19365" xr:uid="{660ED47C-4798-4D22-A694-7A65D56C48B6}"/>
    <cellStyle name="Output 4 2 2 4" xfId="12741" xr:uid="{2C26CC9F-903E-466E-8E05-D00880664221}"/>
    <cellStyle name="Output 4 2 2 5" xfId="10217" xr:uid="{7A5F6EC1-48B1-4920-BB7C-CB20220F208A}"/>
    <cellStyle name="Output 4 2 2 6" xfId="13420" xr:uid="{988E0064-D82F-479D-B450-E6A1A6678B32}"/>
    <cellStyle name="Output 4 2 2 7" xfId="14427" xr:uid="{FA8C9808-88DF-4D26-8439-0388751C7C4D}"/>
    <cellStyle name="Output 4 2 2 8" xfId="15385" xr:uid="{7995A67C-5DD8-41CD-B75A-374F437DBD21}"/>
    <cellStyle name="Output 4 2 2 9" xfId="16312" xr:uid="{62218F38-5B01-4492-A380-BB33B00BACBC}"/>
    <cellStyle name="Output 4 2 3" xfId="8538" xr:uid="{F5DC68B9-7B63-4650-8F72-DE9DE1321429}"/>
    <cellStyle name="Output 4 2 3 2" xfId="13278" xr:uid="{92BB3FDE-2759-48BD-A066-00259102A608}"/>
    <cellStyle name="Output 4 2 3 3" xfId="14298" xr:uid="{62A5FF6C-1522-4516-BB03-6DFA9C572F9A}"/>
    <cellStyle name="Output 4 2 3 4" xfId="15258" xr:uid="{6BF1D87F-824E-455C-AA3D-97D85A60356B}"/>
    <cellStyle name="Output 4 2 3 5" xfId="16207" xr:uid="{83DFA581-E516-44D4-9303-58CD41631561}"/>
    <cellStyle name="Output 4 2 3 6" xfId="17080" xr:uid="{7F0F0479-A6EE-4707-B8B6-9B87B8081B65}"/>
    <cellStyle name="Output 4 2 3 7" xfId="17945" xr:uid="{0C47CB07-AAA8-4FA9-8ADC-27C19D4501C5}"/>
    <cellStyle name="Output 4 2 3 8" xfId="18721" xr:uid="{A3EDFE0B-68E4-49E1-A89C-A67B5FA5F3F3}"/>
    <cellStyle name="Output 4 2 4" xfId="9548" xr:uid="{FB881F95-ED0F-4E30-A81F-2DE2403C9938}"/>
    <cellStyle name="Output 4 2 4 2" xfId="13952" xr:uid="{125EBC63-4FAF-44AB-BE63-637A5FDB9278}"/>
    <cellStyle name="Output 4 2 4 3" xfId="14912" xr:uid="{4D267B09-E4FA-467B-B544-8631C24C65AC}"/>
    <cellStyle name="Output 4 2 4 4" xfId="15864" xr:uid="{9E7CC2D4-D85F-4D54-919E-98F77B47BBC1}"/>
    <cellStyle name="Output 4 2 4 5" xfId="16738" xr:uid="{3E5E05C1-1ECC-4F26-AAD1-4581109F5317}"/>
    <cellStyle name="Output 4 2 4 6" xfId="17603" xr:uid="{C664E3FC-969D-43A5-9EDA-28D43477E479}"/>
    <cellStyle name="Output 4 2 4 7" xfId="18379" xr:uid="{2DE56B78-0B41-4E6F-9CD6-1BF70FF0E715}"/>
    <cellStyle name="Output 4 2 4 8" xfId="19136" xr:uid="{DC1CE6AB-9BB2-451D-B5DB-273B4F23548B}"/>
    <cellStyle name="Output 4 2 5" xfId="12249" xr:uid="{D3C2B4CD-E89A-48F5-8453-83BA973EE618}"/>
    <cellStyle name="Output 4 2 6" xfId="10616" xr:uid="{238CBB69-6C54-4590-96E2-F6685BE435B6}"/>
    <cellStyle name="Output 4 2 7" xfId="12085" xr:uid="{F438333D-804E-4C8C-BD9A-7717BB21B92B}"/>
    <cellStyle name="Output 4 2 8" xfId="10765" xr:uid="{BC57DDAE-35AB-4E30-8897-1D00BA6EAD69}"/>
    <cellStyle name="Output 4 2 9" xfId="11649" xr:uid="{FC13A041-4E5C-4701-8637-F005C60340E1}"/>
    <cellStyle name="Output 4 3" xfId="7160" xr:uid="{E28C5B56-C76E-4A69-AC16-9F3F84BAF0DE}"/>
    <cellStyle name="Output 4 3 10" xfId="12297" xr:uid="{CA0729CA-2641-4BE7-B232-FC55D9A58993}"/>
    <cellStyle name="Output 4 3 2" xfId="8800" xr:uid="{77E0C2CD-F521-483E-A19C-CDDE65470DAC}"/>
    <cellStyle name="Output 4 3 2 2" xfId="13460" xr:uid="{1400F4E5-A57C-4385-B602-C00FD3E842DA}"/>
    <cellStyle name="Output 4 3 2 3" xfId="14466" xr:uid="{B1288C76-29EB-40E6-BB4E-4EF4F9AED795}"/>
    <cellStyle name="Output 4 3 2 4" xfId="15424" xr:uid="{9120A172-0658-42B2-93AB-D82076E4F083}"/>
    <cellStyle name="Output 4 3 2 5" xfId="16351" xr:uid="{FF394FE8-8835-4BA5-B4C7-3DA52863D831}"/>
    <cellStyle name="Output 4 3 2 6" xfId="17222" xr:uid="{C41F2E24-F725-4070-8C4B-A65FCA4A5B82}"/>
    <cellStyle name="Output 4 3 2 7" xfId="18069" xr:uid="{2C7E9E5C-FAFA-4156-9A1C-39618A081882}"/>
    <cellStyle name="Output 4 3 2 8" xfId="18836" xr:uid="{46BE60DA-2F69-442E-9C71-281DE68ECDD1}"/>
    <cellStyle name="Output 4 3 3" xfId="9663" xr:uid="{29953C2B-131D-4F82-BAB4-22BE279C628C}"/>
    <cellStyle name="Output 4 3 3 2" xfId="14067" xr:uid="{F0119B8C-4D43-46A4-AC3A-265AD9173574}"/>
    <cellStyle name="Output 4 3 3 3" xfId="15027" xr:uid="{04846267-F8C0-481D-A993-90CCA65388E6}"/>
    <cellStyle name="Output 4 3 3 4" xfId="15979" xr:uid="{DE96F0BC-F860-4577-B1C0-6375EF3C8354}"/>
    <cellStyle name="Output 4 3 3 5" xfId="16853" xr:uid="{A8C41550-E6CF-4E85-A7AD-1E0FD873B909}"/>
    <cellStyle name="Output 4 3 3 6" xfId="17718" xr:uid="{577F71CE-3D43-4D9C-AAC1-EBDC38883DCA}"/>
    <cellStyle name="Output 4 3 3 7" xfId="18494" xr:uid="{E13BA377-AE94-4666-AD5F-7E3EF1D96FA3}"/>
    <cellStyle name="Output 4 3 3 8" xfId="19251" xr:uid="{FED2E360-7C17-4F67-9DB3-912A31CA3CF9}"/>
    <cellStyle name="Output 4 3 4" xfId="12430" xr:uid="{8DDD23BB-5F2E-4240-BC08-340A0BB142D1}"/>
    <cellStyle name="Output 4 3 5" xfId="10448" xr:uid="{D05970E5-6CB1-47C1-B084-C54863BFDC57}"/>
    <cellStyle name="Output 4 3 6" xfId="11709" xr:uid="{97862789-C1C0-409E-BA51-019F2D6C1E35}"/>
    <cellStyle name="Output 4 3 7" xfId="11077" xr:uid="{9DDDF1DD-F5F8-4013-B1CE-8FE5B5148A9A}"/>
    <cellStyle name="Output 4 3 8" xfId="13092" xr:uid="{E27DE8A6-8B79-40C3-9ACF-0D0C1C16CA39}"/>
    <cellStyle name="Output 4 3 9" xfId="9926" xr:uid="{1104568A-C983-4708-8F9B-857AA7A7B2E6}"/>
    <cellStyle name="Output 4 4" xfId="8002" xr:uid="{7C44BFA9-89E8-4B87-B66E-4BD41B70A6CE}"/>
    <cellStyle name="Output 4 4 2" xfId="12971" xr:uid="{0369C409-5D57-4FD2-94CD-81F766CA17F9}"/>
    <cellStyle name="Output 4 4 3" xfId="10020" xr:uid="{8A36BF88-3D83-4EE5-AF83-6003FB3C8B70}"/>
    <cellStyle name="Output 4 4 4" xfId="11802" xr:uid="{C2E399A7-E09A-456A-B76C-4612F8E1DC89}"/>
    <cellStyle name="Output 4 4 5" xfId="11002" xr:uid="{AEEE4A3A-FFFB-4174-B7F7-112DDEFFA4D7}"/>
    <cellStyle name="Output 4 4 6" xfId="11456" xr:uid="{03B5BA38-2531-4179-8369-F073D61F4816}"/>
    <cellStyle name="Output 4 4 7" xfId="11273" xr:uid="{7B04223B-B128-4436-AC72-566CEA24A4EE}"/>
    <cellStyle name="Output 4 4 8" xfId="13553" xr:uid="{F73F588E-A16B-4E47-B80F-85B145156577}"/>
    <cellStyle name="Output 4 5" xfId="9435" xr:uid="{24726090-0166-4E5B-8B9E-D01A70442800}"/>
    <cellStyle name="Output 4 5 2" xfId="13839" xr:uid="{EB883E58-BA08-4015-BA7A-5690970FFA52}"/>
    <cellStyle name="Output 4 5 3" xfId="14799" xr:uid="{D76C4C9E-09E0-4334-A689-37907111C157}"/>
    <cellStyle name="Output 4 5 4" xfId="15751" xr:uid="{B1DABA68-BD73-4575-B132-21B52F780792}"/>
    <cellStyle name="Output 4 5 5" xfId="16625" xr:uid="{FA4F7A5D-C7A2-4F04-9598-383D31380E5B}"/>
    <cellStyle name="Output 4 5 6" xfId="17490" xr:uid="{D823DD71-5297-4F51-B24C-840B1FF59728}"/>
    <cellStyle name="Output 4 5 7" xfId="18266" xr:uid="{20DCD439-1494-47B7-A944-2C783680B796}"/>
    <cellStyle name="Output 4 5 8" xfId="19023" xr:uid="{0B1D2837-CC06-4851-B541-877F7579DDF9}"/>
    <cellStyle name="Output 4 6" xfId="11877" xr:uid="{77963D29-D2EA-4320-BB3D-165D072FEB6A}"/>
    <cellStyle name="Output 4 7" xfId="10936" xr:uid="{EBA7945B-DF59-4CDE-A7AC-172E14ACBCB6}"/>
    <cellStyle name="Output 4 8" xfId="11496" xr:uid="{7F641DC8-D9F3-475F-9E49-44BAC13BAEA3}"/>
    <cellStyle name="Output 4 9" xfId="11235" xr:uid="{91C36FF2-BE92-438B-9A60-63436E2FF9F8}"/>
    <cellStyle name="Output 5" xfId="6236" xr:uid="{13BF57B7-15AE-4677-91A7-ADE7FA6777C2}"/>
    <cellStyle name="Output 5 10" xfId="13559" xr:uid="{16286A5A-B956-4FC8-8CA5-4CC52BF22B9B}"/>
    <cellStyle name="Output 5 11" xfId="14560" xr:uid="{D721DA21-9A06-49F4-826B-B20295E70CCF}"/>
    <cellStyle name="Output 5 12" xfId="15518" xr:uid="{9EA56A14-2ED7-4AEE-B16E-DD0B19BFBB20}"/>
    <cellStyle name="Output 5 2" xfId="6899" xr:uid="{0732A9C7-C856-4129-88C7-251E8114DB65}"/>
    <cellStyle name="Output 5 2 10" xfId="11039" xr:uid="{C9252680-5BEF-4BA7-899C-119DE26D4435}"/>
    <cellStyle name="Output 5 2 11" xfId="12564" xr:uid="{C36EA6C1-1542-4E0B-BED7-078632FE88B4}"/>
    <cellStyle name="Output 5 2 2" xfId="7684" xr:uid="{887276B0-C20E-49AD-AD96-3D780B503297}"/>
    <cellStyle name="Output 5 2 2 10" xfId="15621" xr:uid="{998EBF22-9668-4C43-8BF9-B2745B25FC25}"/>
    <cellStyle name="Output 5 2 2 2" xfId="9324" xr:uid="{78EAD59E-380E-4F58-B0CC-BCED7DF1496A}"/>
    <cellStyle name="Output 5 2 2 2 2" xfId="13758" xr:uid="{6D0755D4-1257-43DC-B4DF-F02E33047DD1}"/>
    <cellStyle name="Output 5 2 2 2 3" xfId="14720" xr:uid="{768ED632-B443-4688-AE04-BC1D9E5076A7}"/>
    <cellStyle name="Output 5 2 2 2 4" xfId="15672" xr:uid="{B21D8E1B-693E-4F09-AC18-7879AFEAFF0F}"/>
    <cellStyle name="Output 5 2 2 2 5" xfId="16552" xr:uid="{91BDBFC6-828A-4696-B827-3F0EAA544B14}"/>
    <cellStyle name="Output 5 2 2 2 6" xfId="17418" xr:uid="{8EA70932-64C1-4A2C-BB40-32F69794FA47}"/>
    <cellStyle name="Output 5 2 2 2 7" xfId="18194" xr:uid="{390FD32F-03A6-4B4B-AF49-F5998DC5EE06}"/>
    <cellStyle name="Output 5 2 2 2 8" xfId="18951" xr:uid="{1DE378BD-EC07-4AC5-8F8A-3D7CA5C2303E}"/>
    <cellStyle name="Output 5 2 2 3" xfId="9778" xr:uid="{05D0CA24-8B94-4CFE-8C2F-8B2F1A248300}"/>
    <cellStyle name="Output 5 2 2 3 2" xfId="14182" xr:uid="{F2C106B8-3A71-40B3-8D4B-C461B65B9A64}"/>
    <cellStyle name="Output 5 2 2 3 3" xfId="15142" xr:uid="{8C4880F5-FCFD-4359-9F18-A84AC3D348CB}"/>
    <cellStyle name="Output 5 2 2 3 4" xfId="16094" xr:uid="{FF4EF265-B398-41F1-89AB-CC3B5726B85C}"/>
    <cellStyle name="Output 5 2 2 3 5" xfId="16968" xr:uid="{5BC56463-FDC3-4265-8824-ABB71716E2BB}"/>
    <cellStyle name="Output 5 2 2 3 6" xfId="17833" xr:uid="{BFF4EF6F-856A-4FE3-B43B-0CEB25692217}"/>
    <cellStyle name="Output 5 2 2 3 7" xfId="18609" xr:uid="{CF2CF38B-CD09-4A3E-85A1-B298541D4CF5}"/>
    <cellStyle name="Output 5 2 2 3 8" xfId="19366" xr:uid="{0C7A855F-B7FD-434E-A70F-6ED741692188}"/>
    <cellStyle name="Output 5 2 2 4" xfId="12742" xr:uid="{6313BA98-744D-4A15-9213-A7B35BA81C0A}"/>
    <cellStyle name="Output 5 2 2 5" xfId="10216" xr:uid="{1133EA51-B476-46E2-85D0-74CFA787BF7B}"/>
    <cellStyle name="Output 5 2 2 6" xfId="12932" xr:uid="{CE90C17F-4710-471D-97AF-8E7FDC4CF957}"/>
    <cellStyle name="Output 5 2 2 7" xfId="10056" xr:uid="{B1BFB72F-8977-47F7-A052-B64F64567F89}"/>
    <cellStyle name="Output 5 2 2 8" xfId="13705" xr:uid="{F8C8F633-0CD4-4679-96A1-877463708597}"/>
    <cellStyle name="Output 5 2 2 9" xfId="14669" xr:uid="{9023443B-C078-40A5-A8A8-3D4CB6F9F2C7}"/>
    <cellStyle name="Output 5 2 3" xfId="8539" xr:uid="{472DA497-D0AD-4796-B0CE-FE3F6F76EACA}"/>
    <cellStyle name="Output 5 2 3 2" xfId="13279" xr:uid="{FA2F3D3B-2B9F-48A3-9792-01C2031B1B41}"/>
    <cellStyle name="Output 5 2 3 3" xfId="14299" xr:uid="{85A86924-A886-4133-9452-D8A492D6DE39}"/>
    <cellStyle name="Output 5 2 3 4" xfId="15259" xr:uid="{D7C76371-C243-4A0A-A966-0BA6BE4AF6FD}"/>
    <cellStyle name="Output 5 2 3 5" xfId="16208" xr:uid="{60C95062-1254-4986-927C-D075B9D1CCED}"/>
    <cellStyle name="Output 5 2 3 6" xfId="17081" xr:uid="{FE72203E-F77A-4625-9C15-141594E1BA76}"/>
    <cellStyle name="Output 5 2 3 7" xfId="17946" xr:uid="{2EF11F8B-6CC9-4D71-BF76-D21FB2A81903}"/>
    <cellStyle name="Output 5 2 3 8" xfId="18722" xr:uid="{9178C03B-9A9E-43B5-A613-EF9B0F11FC5C}"/>
    <cellStyle name="Output 5 2 4" xfId="9549" xr:uid="{B57D1315-CEE5-4F29-B0F5-B5F3AB86E50C}"/>
    <cellStyle name="Output 5 2 4 2" xfId="13953" xr:uid="{E725C9A4-5136-4C66-90B4-61082A9DEB78}"/>
    <cellStyle name="Output 5 2 4 3" xfId="14913" xr:uid="{FC387B95-CF72-46D0-9183-B4038AE735AB}"/>
    <cellStyle name="Output 5 2 4 4" xfId="15865" xr:uid="{6788070C-1BC8-44BB-B445-A1D79E672D41}"/>
    <cellStyle name="Output 5 2 4 5" xfId="16739" xr:uid="{542F7BBE-2AC4-478D-AF21-F11C0944F86C}"/>
    <cellStyle name="Output 5 2 4 6" xfId="17604" xr:uid="{159B9100-37A9-409C-964E-FD9CA4C41A13}"/>
    <cellStyle name="Output 5 2 4 7" xfId="18380" xr:uid="{BE8861C4-D9FB-4A19-80F3-936A6B46DAC1}"/>
    <cellStyle name="Output 5 2 4 8" xfId="19137" xr:uid="{DF238D82-F412-4A14-8D5C-143CF767EEB0}"/>
    <cellStyle name="Output 5 2 5" xfId="12250" xr:uid="{771FAF44-BBDE-47AD-90E4-ACB765DFD219}"/>
    <cellStyle name="Output 5 2 6" xfId="10615" xr:uid="{FD369A88-7F61-407B-8EF1-DA3D297E34BD}"/>
    <cellStyle name="Output 5 2 7" xfId="12600" xr:uid="{4676CD0C-EECD-4DB2-AEFE-90A9777EE445}"/>
    <cellStyle name="Output 5 2 8" xfId="10304" xr:uid="{3A0B9D00-DF32-4CEE-9D3B-052F53DC5262}"/>
    <cellStyle name="Output 5 2 9" xfId="11758" xr:uid="{926FFEA8-D732-4718-93B5-6E625B3925E4}"/>
    <cellStyle name="Output 5 3" xfId="7161" xr:uid="{E8F70AF2-757A-4C8E-8D5C-9263AFE14708}"/>
    <cellStyle name="Output 5 3 10" xfId="12790" xr:uid="{00C9701A-94CE-4C8A-A162-8062F0EBBF87}"/>
    <cellStyle name="Output 5 3 2" xfId="8801" xr:uid="{0DAB6CA4-505A-44F3-A1D1-CF88F485C471}"/>
    <cellStyle name="Output 5 3 2 2" xfId="13461" xr:uid="{ACE5EC01-F761-4C44-A61E-3C61F0C17968}"/>
    <cellStyle name="Output 5 3 2 3" xfId="14467" xr:uid="{585B3A83-3344-40C0-9E39-F4C1E0FC0D08}"/>
    <cellStyle name="Output 5 3 2 4" xfId="15425" xr:uid="{5AB178C8-D0AD-4712-8504-C17DA73A5C8A}"/>
    <cellStyle name="Output 5 3 2 5" xfId="16352" xr:uid="{7B5269F0-8D72-4070-AECE-9059BEEF6C7E}"/>
    <cellStyle name="Output 5 3 2 6" xfId="17223" xr:uid="{2AB03635-D190-44B8-8A16-F2085FEA55A3}"/>
    <cellStyle name="Output 5 3 2 7" xfId="18070" xr:uid="{2BD1A474-592B-470C-B543-C62E87603E99}"/>
    <cellStyle name="Output 5 3 2 8" xfId="18837" xr:uid="{1114B779-C39D-465F-BBB0-714CC6291084}"/>
    <cellStyle name="Output 5 3 3" xfId="9664" xr:uid="{2635954D-BBCE-448D-98A5-214348001EEB}"/>
    <cellStyle name="Output 5 3 3 2" xfId="14068" xr:uid="{602F0EDE-B5ED-45C7-A377-B1ABD0C45EA3}"/>
    <cellStyle name="Output 5 3 3 3" xfId="15028" xr:uid="{688C5682-CFB7-4E3B-94C6-1FC3AA4BA4BA}"/>
    <cellStyle name="Output 5 3 3 4" xfId="15980" xr:uid="{8F3C72CC-AF11-44F0-BAAA-D6064A3DC285}"/>
    <cellStyle name="Output 5 3 3 5" xfId="16854" xr:uid="{DB0BA04C-0F8F-4F24-AED1-97883B40EF9B}"/>
    <cellStyle name="Output 5 3 3 6" xfId="17719" xr:uid="{27A8EE32-1470-4A35-A58B-87C38298679C}"/>
    <cellStyle name="Output 5 3 3 7" xfId="18495" xr:uid="{86C10434-0E14-458E-8B35-D9949027DC80}"/>
    <cellStyle name="Output 5 3 3 8" xfId="19252" xr:uid="{51769023-CE93-4727-9B90-8123BA694B18}"/>
    <cellStyle name="Output 5 3 4" xfId="12431" xr:uid="{386E7A51-6A64-46EC-BB12-688EB63A8612}"/>
    <cellStyle name="Output 5 3 5" xfId="10447" xr:uid="{B9D4A236-8433-46DF-A464-FE64FA469774}"/>
    <cellStyle name="Output 5 3 6" xfId="12111" xr:uid="{D8DAD69F-980A-4532-9BDB-C1591620BBC1}"/>
    <cellStyle name="Output 5 3 7" xfId="10741" xr:uid="{77A52C49-CCDC-483E-8BA5-33D5BCCCCEEB}"/>
    <cellStyle name="Output 5 3 8" xfId="13107" xr:uid="{434D7F1A-7699-410B-9059-16B83E5DD693}"/>
    <cellStyle name="Output 5 3 9" xfId="9916" xr:uid="{397EB8DB-55C1-437C-A5BB-9517DFFD6F78}"/>
    <cellStyle name="Output 5 4" xfId="8003" xr:uid="{D5355B40-4C40-4E21-A00D-B3D764A59FBD}"/>
    <cellStyle name="Output 5 4 2" xfId="12972" xr:uid="{B901B2A0-2FFA-437C-A7FD-3B015407FAA9}"/>
    <cellStyle name="Output 5 4 3" xfId="10019" xr:uid="{B2E8A2E9-847C-4EA5-A007-17F8FD9EBE3F}"/>
    <cellStyle name="Output 5 4 4" xfId="11803" xr:uid="{42A8F7EF-FA9A-4738-A3EF-60421AE6DF52}"/>
    <cellStyle name="Output 5 4 5" xfId="11001" xr:uid="{1324B308-65ED-4918-9FFC-272859007ABD}"/>
    <cellStyle name="Output 5 4 6" xfId="11457" xr:uid="{1F6B197D-7DE4-40E0-8F98-0213CA20207E}"/>
    <cellStyle name="Output 5 4 7" xfId="11272" xr:uid="{BF35CB06-8209-4157-9CC3-E2097216AEC7}"/>
    <cellStyle name="Output 5 4 8" xfId="13017" xr:uid="{D994A9E6-84C1-4F0C-BE63-F881787BFB74}"/>
    <cellStyle name="Output 5 5" xfId="9436" xr:uid="{63B99AD8-9001-470B-89CF-5DF183A38A75}"/>
    <cellStyle name="Output 5 5 2" xfId="13840" xr:uid="{4F2D243E-167B-4EA7-9742-CF07AF6DA7E4}"/>
    <cellStyle name="Output 5 5 3" xfId="14800" xr:uid="{ED97DDE2-5A6E-4153-B9C1-9BC7E053C50A}"/>
    <cellStyle name="Output 5 5 4" xfId="15752" xr:uid="{5F4CF543-D552-41FF-A7C0-8231F7E9EDA7}"/>
    <cellStyle name="Output 5 5 5" xfId="16626" xr:uid="{484B00DC-8E58-450D-977D-7D10006AE6DE}"/>
    <cellStyle name="Output 5 5 6" xfId="17491" xr:uid="{F21674F3-535D-40E1-AE0E-C283772AF2FC}"/>
    <cellStyle name="Output 5 5 7" xfId="18267" xr:uid="{44C88AF5-24F5-4024-AF08-9836B8DC84B9}"/>
    <cellStyle name="Output 5 5 8" xfId="19024" xr:uid="{532B3677-3098-4359-9B5B-4AF7786DE763}"/>
    <cellStyle name="Output 5 6" xfId="11878" xr:uid="{6A0BB585-C32D-4D60-933E-AEEFEE2F8402}"/>
    <cellStyle name="Output 5 7" xfId="10935" xr:uid="{03ACF78A-38F6-49ED-854D-92692E0150D8}"/>
    <cellStyle name="Output 5 8" xfId="11497" xr:uid="{027022A1-BF8F-41C4-BCD9-C958F07F3B69}"/>
    <cellStyle name="Output 5 9" xfId="11234" xr:uid="{DCEC23F3-50A8-44A9-B8C9-BFDCCCDA5229}"/>
    <cellStyle name="Output 6" xfId="6237" xr:uid="{DD09F32D-0340-4027-96AC-6EF97F2020FA}"/>
    <cellStyle name="Output 6 10" xfId="13078" xr:uid="{A75AC0BD-943E-471D-9300-85B30967B1F3}"/>
    <cellStyle name="Output 6 11" xfId="9931" xr:uid="{29839DDA-DFEC-48D6-B177-CED73F4D54C5}"/>
    <cellStyle name="Output 6 12" xfId="11834" xr:uid="{54FC65DC-29AC-42D2-8404-AB900BC8A4CF}"/>
    <cellStyle name="Output 6 2" xfId="6900" xr:uid="{3A6BA932-4BC2-43A8-BB38-20A496100A98}"/>
    <cellStyle name="Output 6 2 10" xfId="16452" xr:uid="{6A0B719C-19CA-46D1-8EE2-D4E9BC49F0C7}"/>
    <cellStyle name="Output 6 2 11" xfId="17323" xr:uid="{3088264D-B57A-465D-AB0A-6810133EB808}"/>
    <cellStyle name="Output 6 2 2" xfId="7685" xr:uid="{01F60DD5-0C46-4712-BB77-C8F6105A5034}"/>
    <cellStyle name="Output 6 2 2 10" xfId="11165" xr:uid="{F9A6A34E-60E3-44BF-829D-795ADE52E393}"/>
    <cellStyle name="Output 6 2 2 2" xfId="9325" xr:uid="{B9E42E02-5AC4-40B4-B49C-0A994B3D6866}"/>
    <cellStyle name="Output 6 2 2 2 2" xfId="13759" xr:uid="{C7EBF314-84C7-41D2-A6F2-FAFB3708D15D}"/>
    <cellStyle name="Output 6 2 2 2 3" xfId="14721" xr:uid="{51A5B935-2E4A-49A2-8AD0-A8FAFAF07229}"/>
    <cellStyle name="Output 6 2 2 2 4" xfId="15673" xr:uid="{B96426F5-63E6-4A6A-A6E7-26ED411E760F}"/>
    <cellStyle name="Output 6 2 2 2 5" xfId="16553" xr:uid="{55949855-0AE5-483E-95B7-5053AB55A009}"/>
    <cellStyle name="Output 6 2 2 2 6" xfId="17419" xr:uid="{9229B0B2-9537-4F9B-A88C-D28C5B117A5B}"/>
    <cellStyle name="Output 6 2 2 2 7" xfId="18195" xr:uid="{21EB15E1-9644-4453-9117-AAA439220B0A}"/>
    <cellStyle name="Output 6 2 2 2 8" xfId="18952" xr:uid="{1EFEF62B-BA43-4FEF-9593-3DFB59DA4C6A}"/>
    <cellStyle name="Output 6 2 2 3" xfId="9779" xr:uid="{55355C36-E13F-494A-A0D9-27A27881510F}"/>
    <cellStyle name="Output 6 2 2 3 2" xfId="14183" xr:uid="{FA773583-C0B5-4B00-9DB0-0876A2101211}"/>
    <cellStyle name="Output 6 2 2 3 3" xfId="15143" xr:uid="{9D8BFF98-665F-499F-8691-F85D0296BEA6}"/>
    <cellStyle name="Output 6 2 2 3 4" xfId="16095" xr:uid="{7DF199B2-562F-462C-8DE1-74A9669ACF30}"/>
    <cellStyle name="Output 6 2 2 3 5" xfId="16969" xr:uid="{0F2D0032-4B94-43B6-A514-90AAAC26AB37}"/>
    <cellStyle name="Output 6 2 2 3 6" xfId="17834" xr:uid="{EDEF3F33-A1D6-43CF-8B1E-E55489F4DFF1}"/>
    <cellStyle name="Output 6 2 2 3 7" xfId="18610" xr:uid="{777E2693-4713-4DA9-800C-0110BC952FE1}"/>
    <cellStyle name="Output 6 2 2 3 8" xfId="19367" xr:uid="{D090EA34-FDC4-4BC5-A36D-80CF707D8330}"/>
    <cellStyle name="Output 6 2 2 4" xfId="12743" xr:uid="{19E66812-864A-4D8B-9886-C18D98EA2F42}"/>
    <cellStyle name="Output 6 2 2 5" xfId="12818" xr:uid="{41E2C2D0-7F23-4192-987A-E35421F52565}"/>
    <cellStyle name="Output 6 2 2 6" xfId="10156" xr:uid="{4B217824-1FEB-4256-A592-046319F7C3F6}"/>
    <cellStyle name="Output 6 2 2 7" xfId="12003" xr:uid="{02B8BA61-478C-4F1A-8C06-0CC94E24E976}"/>
    <cellStyle name="Output 6 2 2 8" xfId="10829" xr:uid="{1B2E63FB-BD7A-4090-815D-EB1D0164B2E7}"/>
    <cellStyle name="Output 6 2 2 9" xfId="11593" xr:uid="{4F4A44B1-6B18-4A5E-AF41-61A8314ED915}"/>
    <cellStyle name="Output 6 2 3" xfId="8540" xr:uid="{573886EF-85AF-4AA5-A018-F86AF5171870}"/>
    <cellStyle name="Output 6 2 3 2" xfId="13280" xr:uid="{66C3ACCB-4D7C-492F-937A-D57A4DDC8478}"/>
    <cellStyle name="Output 6 2 3 3" xfId="14300" xr:uid="{802E62A0-50AD-4927-9431-1D602921DDDA}"/>
    <cellStyle name="Output 6 2 3 4" xfId="15260" xr:uid="{EAE496EF-DCDC-46F0-9768-11DC0B30508B}"/>
    <cellStyle name="Output 6 2 3 5" xfId="16209" xr:uid="{49777739-A1B9-43FD-8C53-2D727EC4A52B}"/>
    <cellStyle name="Output 6 2 3 6" xfId="17082" xr:uid="{F4D928DC-D13F-49FF-BD59-48A3A864411D}"/>
    <cellStyle name="Output 6 2 3 7" xfId="17947" xr:uid="{0BCF5AC1-0EC4-4B2E-A249-46F00980B5F2}"/>
    <cellStyle name="Output 6 2 3 8" xfId="18723" xr:uid="{50F346FA-AD5E-405A-AAD7-89D33337FFEF}"/>
    <cellStyle name="Output 6 2 4" xfId="9550" xr:uid="{F8D6BD59-A8DB-407A-B613-DFA182D2B292}"/>
    <cellStyle name="Output 6 2 4 2" xfId="13954" xr:uid="{57AE9BFC-8DB9-4DE1-9F62-8D0358AAABF4}"/>
    <cellStyle name="Output 6 2 4 3" xfId="14914" xr:uid="{D901AB50-7986-44F4-803D-67E7FFB283DF}"/>
    <cellStyle name="Output 6 2 4 4" xfId="15866" xr:uid="{67A277D8-8DBA-430C-A64D-714C49B8758A}"/>
    <cellStyle name="Output 6 2 4 5" xfId="16740" xr:uid="{91688379-9BA6-4537-9D1C-93FAF111CD07}"/>
    <cellStyle name="Output 6 2 4 6" xfId="17605" xr:uid="{66965632-25B0-489E-9DE7-9D94B944A0EE}"/>
    <cellStyle name="Output 6 2 4 7" xfId="18381" xr:uid="{3B885B98-D967-4401-9056-261F9651AFEE}"/>
    <cellStyle name="Output 6 2 4 8" xfId="19138" xr:uid="{CED4D545-E2D6-4896-9D98-FF065726243A}"/>
    <cellStyle name="Output 6 2 5" xfId="12251" xr:uid="{7D615607-E69A-4149-9792-2E27D03F1C2E}"/>
    <cellStyle name="Output 6 2 6" xfId="10614" xr:uid="{D96C3F2E-ED87-4E47-8C4A-BC5B8BE68E10}"/>
    <cellStyle name="Output 6 2 7" xfId="13622" xr:uid="{5BB6490F-544C-4929-B345-41621BB5D816}"/>
    <cellStyle name="Output 6 2 8" xfId="14600" xr:uid="{7A1E34E4-6B62-4716-BE10-7814D7E89E0F}"/>
    <cellStyle name="Output 6 2 9" xfId="15553" xr:uid="{12155804-02C3-490B-862F-E089BBE6596D}"/>
    <cellStyle name="Output 6 3" xfId="7162" xr:uid="{3027AB4F-9A8B-4C58-8BE3-2181C1FD019F}"/>
    <cellStyle name="Output 6 3 10" xfId="13030" xr:uid="{D6B97874-3DF1-4DF5-A791-86D5E654FEB3}"/>
    <cellStyle name="Output 6 3 2" xfId="8802" xr:uid="{5A0A907F-3D9E-4989-9631-EC2A648DC357}"/>
    <cellStyle name="Output 6 3 2 2" xfId="13462" xr:uid="{3694B7FB-43ED-41DB-BD3D-D9571600548E}"/>
    <cellStyle name="Output 6 3 2 3" xfId="14468" xr:uid="{114917EF-CB98-4FA0-9C3B-B5066B931F9F}"/>
    <cellStyle name="Output 6 3 2 4" xfId="15426" xr:uid="{3EEB499E-251C-4A9F-A24C-76D2C0EEBDE1}"/>
    <cellStyle name="Output 6 3 2 5" xfId="16353" xr:uid="{7524FE9A-ACE0-49A1-990A-5D7C5775C280}"/>
    <cellStyle name="Output 6 3 2 6" xfId="17224" xr:uid="{D3B94237-9154-40DA-905E-9C35339D5947}"/>
    <cellStyle name="Output 6 3 2 7" xfId="18071" xr:uid="{A235A05C-EB5A-4383-801C-BCFF7D88F30D}"/>
    <cellStyle name="Output 6 3 2 8" xfId="18838" xr:uid="{B0C7C2B4-9D20-40BA-AA2D-4305B6BCA1DE}"/>
    <cellStyle name="Output 6 3 3" xfId="9665" xr:uid="{0BC70DD0-E85F-4A77-868B-BF31140DAF87}"/>
    <cellStyle name="Output 6 3 3 2" xfId="14069" xr:uid="{E0E0F7E5-2B4F-487E-92FB-A44423794CDA}"/>
    <cellStyle name="Output 6 3 3 3" xfId="15029" xr:uid="{981B6394-3072-41A6-AE2A-7EC118EDB0C7}"/>
    <cellStyle name="Output 6 3 3 4" xfId="15981" xr:uid="{474D2A34-7A0F-4BB6-B082-6364492E7AAF}"/>
    <cellStyle name="Output 6 3 3 5" xfId="16855" xr:uid="{575BBA70-F23F-48CC-B3F7-156CBC4E9FCF}"/>
    <cellStyle name="Output 6 3 3 6" xfId="17720" xr:uid="{BDDC9C57-7AAD-44EB-949A-DF07C1360728}"/>
    <cellStyle name="Output 6 3 3 7" xfId="18496" xr:uid="{070AC0D6-9D0D-4D43-BB26-119B00446345}"/>
    <cellStyle name="Output 6 3 3 8" xfId="19253" xr:uid="{22A02947-A397-4DAE-AB3C-026E8BFC8003}"/>
    <cellStyle name="Output 6 3 4" xfId="12432" xr:uid="{40C2EC6F-083E-4818-B270-7B64D2CB4932}"/>
    <cellStyle name="Output 6 3 5" xfId="10446" xr:uid="{FE1E4E13-9A35-4544-AC41-6509363F6BB8}"/>
    <cellStyle name="Output 6 3 6" xfId="12631" xr:uid="{4E27880C-421C-44A6-8485-F594C741C15C}"/>
    <cellStyle name="Output 6 3 7" xfId="10278" xr:uid="{4D01E47E-3E80-49CA-B37F-BFDF694CB8DC}"/>
    <cellStyle name="Output 6 3 8" xfId="12126" xr:uid="{D1742453-EBDE-4C6D-ADAA-2ECBE1036DB9}"/>
    <cellStyle name="Output 6 3 9" xfId="10729" xr:uid="{FBCC4BA7-7095-4943-8C10-8F9BF20DDABD}"/>
    <cellStyle name="Output 6 4" xfId="8004" xr:uid="{73C6185B-1D14-419D-87E7-C54ADFA54EE9}"/>
    <cellStyle name="Output 6 4 2" xfId="12973" xr:uid="{602588C8-DE85-4DF4-BCE4-21090034957D}"/>
    <cellStyle name="Output 6 4 3" xfId="10018" xr:uid="{E96F75AF-1C27-467D-970F-AD673DEC5FD6}"/>
    <cellStyle name="Output 6 4 4" xfId="11804" xr:uid="{0467EBAF-2383-4369-9DE9-E1F72CE4E0E5}"/>
    <cellStyle name="Output 6 4 5" xfId="11000" xr:uid="{049102F6-0CA2-4AF3-A36C-FF7B8C0B1210}"/>
    <cellStyle name="Output 6 4 6" xfId="11458" xr:uid="{8E19079E-D3EE-46EB-8B00-17F853DEFA95}"/>
    <cellStyle name="Output 6 4 7" xfId="11271" xr:uid="{4F8E69D1-B2FE-4E4A-A4F2-54BEAE94FF87}"/>
    <cellStyle name="Output 6 4 8" xfId="12301" xr:uid="{32E077DB-BD55-4202-9A8A-532308F12BB8}"/>
    <cellStyle name="Output 6 5" xfId="9437" xr:uid="{62F7C178-EF39-4E04-88B6-7FEC2443F21E}"/>
    <cellStyle name="Output 6 5 2" xfId="13841" xr:uid="{843C44E9-788B-4752-A750-66051CD65C79}"/>
    <cellStyle name="Output 6 5 3" xfId="14801" xr:uid="{9C1B8803-AD81-4D98-A930-39B5BCD55B1A}"/>
    <cellStyle name="Output 6 5 4" xfId="15753" xr:uid="{DD02531E-D27C-4EBB-905D-460B5B8E3CD4}"/>
    <cellStyle name="Output 6 5 5" xfId="16627" xr:uid="{5CAC403E-AA45-43D7-8108-2C11E4AB52BE}"/>
    <cellStyle name="Output 6 5 6" xfId="17492" xr:uid="{9AF6B9D9-7E91-4D5D-A830-1320FE55E9A3}"/>
    <cellStyle name="Output 6 5 7" xfId="18268" xr:uid="{665A6A11-E11A-4338-8A76-29042583A8A1}"/>
    <cellStyle name="Output 6 5 8" xfId="19025" xr:uid="{D6659E6A-817B-47A9-9D45-5FC6078C0DA9}"/>
    <cellStyle name="Output 6 6" xfId="11879" xr:uid="{D06E8104-85E7-4B90-825E-4C1305F66CFE}"/>
    <cellStyle name="Output 6 7" xfId="10934" xr:uid="{DCB1CF0F-7D72-4D21-9069-F8180BC6D82C}"/>
    <cellStyle name="Output 6 8" xfId="11498" xr:uid="{A2BB82BB-3FE7-4313-B357-2D0B75D280C9}"/>
    <cellStyle name="Output 6 9" xfId="11233" xr:uid="{6591B610-6FDB-4706-BC0F-CE9CA57975B3}"/>
    <cellStyle name="Output 7" xfId="6238" xr:uid="{27F1AF2B-0C68-4360-9586-F97A3305769F}"/>
    <cellStyle name="Output 7 10" xfId="11959" xr:uid="{6A7AE0B9-AEFC-4A4B-8036-FB820F03C49D}"/>
    <cellStyle name="Output 7 11" xfId="10863" xr:uid="{BEABA852-AF15-4187-A9C1-FC628BF93974}"/>
    <cellStyle name="Output 7 12" xfId="11559" xr:uid="{98D70298-81BE-4032-A10F-99D1A6B12397}"/>
    <cellStyle name="Output 7 2" xfId="6901" xr:uid="{BB651AB0-1DDD-498D-9290-E4C9EF4AF38F}"/>
    <cellStyle name="Output 7 2 10" xfId="10181" xr:uid="{CA0C320E-FFDF-4234-A774-2152A307AEF6}"/>
    <cellStyle name="Output 7 2 11" xfId="11778" xr:uid="{713E161F-66FE-4D6F-AA1E-CE1D03B2C30E}"/>
    <cellStyle name="Output 7 2 2" xfId="7686" xr:uid="{11084EB9-4DAF-481C-B502-D044560A9036}"/>
    <cellStyle name="Output 7 2 2 10" xfId="18008" xr:uid="{B076A165-F925-4DAC-A1FF-D0EEEB6D257E}"/>
    <cellStyle name="Output 7 2 2 2" xfId="9326" xr:uid="{90C555A4-8F46-41E1-ABB1-83B145497695}"/>
    <cellStyle name="Output 7 2 2 2 2" xfId="13760" xr:uid="{1ACF0970-7217-4F5A-8BDF-3821BCE132D7}"/>
    <cellStyle name="Output 7 2 2 2 3" xfId="14722" xr:uid="{8152B6C6-4A8F-44E2-98F4-E873D00C2946}"/>
    <cellStyle name="Output 7 2 2 2 4" xfId="15674" xr:uid="{B2A40A81-1EBB-4F33-BD8B-1232E75827BD}"/>
    <cellStyle name="Output 7 2 2 2 5" xfId="16554" xr:uid="{21832612-3770-4666-A6FD-02A9A64A2943}"/>
    <cellStyle name="Output 7 2 2 2 6" xfId="17420" xr:uid="{8180988F-20AC-4DB0-B969-ADC58D902022}"/>
    <cellStyle name="Output 7 2 2 2 7" xfId="18196" xr:uid="{AA656116-014E-4033-9DD8-91AA5664E768}"/>
    <cellStyle name="Output 7 2 2 2 8" xfId="18953" xr:uid="{4B2A7C40-817E-476F-BD4D-0F3EB2414832}"/>
    <cellStyle name="Output 7 2 2 3" xfId="9780" xr:uid="{1F64FFD5-1F15-4623-9AFA-13ADF2F98D3B}"/>
    <cellStyle name="Output 7 2 2 3 2" xfId="14184" xr:uid="{46F33D5F-AC2A-461A-98CF-7BA377F60E52}"/>
    <cellStyle name="Output 7 2 2 3 3" xfId="15144" xr:uid="{EB9BFCEC-86A8-4FE2-8781-C219789AC83E}"/>
    <cellStyle name="Output 7 2 2 3 4" xfId="16096" xr:uid="{EAD3CCFF-B9D0-4F63-9805-E4151A23A525}"/>
    <cellStyle name="Output 7 2 2 3 5" xfId="16970" xr:uid="{7337E370-11EA-4352-9261-B418D1E06A5F}"/>
    <cellStyle name="Output 7 2 2 3 6" xfId="17835" xr:uid="{70B61ABB-6BFA-4F5B-80A0-05E466EEF68E}"/>
    <cellStyle name="Output 7 2 2 3 7" xfId="18611" xr:uid="{08F460DB-5B51-46E4-9E97-933F1EF41704}"/>
    <cellStyle name="Output 7 2 2 3 8" xfId="19368" xr:uid="{D02E64A8-322C-42FC-88B7-7A73AF57E591}"/>
    <cellStyle name="Output 7 2 2 4" xfId="12744" xr:uid="{754945F4-80AB-4611-A7D3-C64107795921}"/>
    <cellStyle name="Output 7 2 2 5" xfId="13353" xr:uid="{BB0C3394-23FC-484D-A816-E849490DF13F}"/>
    <cellStyle name="Output 7 2 2 6" xfId="14367" xr:uid="{F41D3BD2-9839-4013-80F3-5346822589E2}"/>
    <cellStyle name="Output 7 2 2 7" xfId="15326" xr:uid="{211552FB-CC61-43FF-A9DB-2279FE4D757B}"/>
    <cellStyle name="Output 7 2 2 8" xfId="16270" xr:uid="{CFB56AEC-9298-4BF8-A150-43F108E37EB3}"/>
    <cellStyle name="Output 7 2 2 9" xfId="17143" xr:uid="{39AA0BEB-E79E-4AEC-BDAF-9046A33AFFF7}"/>
    <cellStyle name="Output 7 2 3" xfId="8541" xr:uid="{A5A311DD-7872-462F-BA8D-672E9B87BA11}"/>
    <cellStyle name="Output 7 2 3 2" xfId="13281" xr:uid="{5DBDDE85-2C6B-4BDB-830E-D13D722C6883}"/>
    <cellStyle name="Output 7 2 3 3" xfId="14301" xr:uid="{D136B6FD-37BB-4355-A44C-3F835695B2BE}"/>
    <cellStyle name="Output 7 2 3 4" xfId="15261" xr:uid="{18047649-E4E8-43B1-95A8-AEB8607EC1AC}"/>
    <cellStyle name="Output 7 2 3 5" xfId="16210" xr:uid="{2ADE8C03-8569-4882-84A7-C7A14D7531D0}"/>
    <cellStyle name="Output 7 2 3 6" xfId="17083" xr:uid="{2A6DB7FA-1FBC-49FB-A1BF-67A011A08CE3}"/>
    <cellStyle name="Output 7 2 3 7" xfId="17948" xr:uid="{A5B6B2B8-A2EB-4C7C-A8D6-7CCB37397E69}"/>
    <cellStyle name="Output 7 2 3 8" xfId="18724" xr:uid="{2B2AD00B-112A-4163-9424-76EE63EF577A}"/>
    <cellStyle name="Output 7 2 4" xfId="9551" xr:uid="{BFF023EB-0D0C-4286-B110-2A9527FEF582}"/>
    <cellStyle name="Output 7 2 4 2" xfId="13955" xr:uid="{F6F3FA57-4B28-422E-8A37-D7754B41B8C4}"/>
    <cellStyle name="Output 7 2 4 3" xfId="14915" xr:uid="{16C2D197-CF45-4F99-B831-7ED967610133}"/>
    <cellStyle name="Output 7 2 4 4" xfId="15867" xr:uid="{0A51DE54-1B7C-4BA3-B224-38FA26EEE269}"/>
    <cellStyle name="Output 7 2 4 5" xfId="16741" xr:uid="{B2BB1071-59E1-4C07-BBE0-A80FBD405D99}"/>
    <cellStyle name="Output 7 2 4 6" xfId="17606" xr:uid="{B8134E98-41A5-4780-B078-C69919119379}"/>
    <cellStyle name="Output 7 2 4 7" xfId="18382" xr:uid="{FFD9D435-79B3-49FE-8D80-65C29BF1E1F8}"/>
    <cellStyle name="Output 7 2 4 8" xfId="19139" xr:uid="{8911CFAA-D135-46D6-B4DC-B31FD9B6D3D9}"/>
    <cellStyle name="Output 7 2 5" xfId="12252" xr:uid="{7EC92F4B-5489-444A-8F7B-400D430F4A06}"/>
    <cellStyle name="Output 7 2 6" xfId="10613" xr:uid="{7312081D-B810-495C-854E-7B5ED44730C8}"/>
    <cellStyle name="Output 7 2 7" xfId="13118" xr:uid="{1AE64149-337B-406C-8D7A-97B01E6B3384}"/>
    <cellStyle name="Output 7 2 8" xfId="9908" xr:uid="{3A6594EB-57C1-4100-9FD1-F32AD2AF6AE1}"/>
    <cellStyle name="Output 7 2 9" xfId="12786" xr:uid="{93582BAE-BE1F-4187-8569-C20D059F3C69}"/>
    <cellStyle name="Output 7 3" xfId="7163" xr:uid="{EEEC42D1-2D25-4D0E-81BA-E4D7611EE6ED}"/>
    <cellStyle name="Output 7 3 10" xfId="17343" xr:uid="{E30033BE-2C4D-443A-A883-9614BC4D33C7}"/>
    <cellStyle name="Output 7 3 2" xfId="8803" xr:uid="{9D8200D8-A1C4-4CE5-9E45-9322EC8235FC}"/>
    <cellStyle name="Output 7 3 2 2" xfId="13463" xr:uid="{89170AA5-6E12-47FE-8355-2A50733AC502}"/>
    <cellStyle name="Output 7 3 2 3" xfId="14469" xr:uid="{06605797-9B83-4FB1-A140-4CED23B1C6F7}"/>
    <cellStyle name="Output 7 3 2 4" xfId="15427" xr:uid="{9A442836-D556-4C68-A0CF-EAA50FFE06CA}"/>
    <cellStyle name="Output 7 3 2 5" xfId="16354" xr:uid="{F2F90B2D-81AD-4204-8067-EDE27B454498}"/>
    <cellStyle name="Output 7 3 2 6" xfId="17225" xr:uid="{1E5D1A6B-C1D2-4601-8990-8DCC6DC5B365}"/>
    <cellStyle name="Output 7 3 2 7" xfId="18072" xr:uid="{4D772AB7-EA69-4495-80C8-419232849C88}"/>
    <cellStyle name="Output 7 3 2 8" xfId="18839" xr:uid="{85E104F4-C968-4416-B6BC-5B898FE90F8B}"/>
    <cellStyle name="Output 7 3 3" xfId="9666" xr:uid="{4AF6B94D-B650-4D0C-9CA5-FC99EFB399E5}"/>
    <cellStyle name="Output 7 3 3 2" xfId="14070" xr:uid="{9AC5D31B-C96B-4DBC-9723-0BA99991E045}"/>
    <cellStyle name="Output 7 3 3 3" xfId="15030" xr:uid="{B8443733-99AD-432A-9276-6DEEA38E1254}"/>
    <cellStyle name="Output 7 3 3 4" xfId="15982" xr:uid="{C1B2F127-C4B1-49BF-8410-59DCBF2260EC}"/>
    <cellStyle name="Output 7 3 3 5" xfId="16856" xr:uid="{E18B05BF-8D10-481F-A98E-3B3FB911D539}"/>
    <cellStyle name="Output 7 3 3 6" xfId="17721" xr:uid="{91B42146-8FB5-4F90-B4C5-1E6D6FB783D0}"/>
    <cellStyle name="Output 7 3 3 7" xfId="18497" xr:uid="{F9DCB9C6-9B46-4706-844C-DAAFB7D146D2}"/>
    <cellStyle name="Output 7 3 3 8" xfId="19254" xr:uid="{EDBBB8A3-6363-4153-95D8-BAAE06D5691C}"/>
    <cellStyle name="Output 7 3 4" xfId="12433" xr:uid="{F4BADEA2-55F8-4094-BD44-70DF6AF24670}"/>
    <cellStyle name="Output 7 3 5" xfId="10445" xr:uid="{8AA4ED98-36C6-4B24-9474-8313EAFFD941}"/>
    <cellStyle name="Output 7 3 6" xfId="13651" xr:uid="{EE68D7C4-04BC-4DB7-8277-A36E042572C0}"/>
    <cellStyle name="Output 7 3 7" xfId="14627" xr:uid="{3291A4F0-2139-442F-80F9-270ABACDA4EB}"/>
    <cellStyle name="Output 7 3 8" xfId="15579" xr:uid="{FB899896-0230-4B70-AF8C-E0AD31F71640}"/>
    <cellStyle name="Output 7 3 9" xfId="16474" xr:uid="{6DFEC086-45C1-4FFF-8932-2DD07FC90727}"/>
    <cellStyle name="Output 7 4" xfId="8005" xr:uid="{71AF429B-9D44-43ED-88E5-6EE13B7BC072}"/>
    <cellStyle name="Output 7 4 2" xfId="12974" xr:uid="{D9D769DB-9DC0-4A91-A30D-548D91E8DE8D}"/>
    <cellStyle name="Output 7 4 3" xfId="10017" xr:uid="{DD05A75A-A5BF-4C1C-9DEF-2666DF6421FB}"/>
    <cellStyle name="Output 7 4 4" xfId="11805" xr:uid="{525FA2EE-AC5E-432B-AEB6-F97EA830DC3C}"/>
    <cellStyle name="Output 7 4 5" xfId="10999" xr:uid="{1C236C7F-BEDD-497A-B077-46C7708A8BA9}"/>
    <cellStyle name="Output 7 4 6" xfId="11459" xr:uid="{245CE659-B1BB-41E7-9D1A-7CBACA3B522B}"/>
    <cellStyle name="Output 7 4 7" xfId="11270" xr:uid="{2980A96D-C82C-4D6B-B6EE-6AF9270C6480}"/>
    <cellStyle name="Output 7 4 8" xfId="13329" xr:uid="{2A5187A0-A698-412D-BFBC-A9CDD826F6A6}"/>
    <cellStyle name="Output 7 5" xfId="9438" xr:uid="{809C77B1-0BC9-4C77-BA61-13CFCACE1394}"/>
    <cellStyle name="Output 7 5 2" xfId="13842" xr:uid="{8D60454A-133D-4950-9FEF-CD6D6C19E176}"/>
    <cellStyle name="Output 7 5 3" xfId="14802" xr:uid="{52A5E1FB-D431-4A83-8132-B609A0E75389}"/>
    <cellStyle name="Output 7 5 4" xfId="15754" xr:uid="{5F1F5DED-62A8-438A-8FA0-90B68858670F}"/>
    <cellStyle name="Output 7 5 5" xfId="16628" xr:uid="{57B21A37-5116-44AD-BC61-64CF07B365AA}"/>
    <cellStyle name="Output 7 5 6" xfId="17493" xr:uid="{8A3DCF24-AFD7-41FC-AD37-1B67A5E89C3E}"/>
    <cellStyle name="Output 7 5 7" xfId="18269" xr:uid="{3A4E146C-11D4-4141-971F-F2E2EBBB4018}"/>
    <cellStyle name="Output 7 5 8" xfId="19026" xr:uid="{E31D034D-A6AC-4D2C-A8A9-1A1E0537DE38}"/>
    <cellStyle name="Output 7 6" xfId="11880" xr:uid="{ABF178EB-CF42-459D-972A-7D63A2C46D6B}"/>
    <cellStyle name="Output 7 7" xfId="10933" xr:uid="{D57CC0BB-DF1A-4D61-8263-EB2042AE86D1}"/>
    <cellStyle name="Output 7 8" xfId="11499" xr:uid="{FCC33965-D4B1-4D88-BEF1-DED966421246}"/>
    <cellStyle name="Output 7 9" xfId="11232" xr:uid="{7CB1A49A-5A12-4142-8908-0B09ABC160F1}"/>
    <cellStyle name="Output 8" xfId="6239" xr:uid="{6B438E23-E899-4EEC-BFE8-E9D1D5264FAD}"/>
    <cellStyle name="Output 8 10" xfId="12531" xr:uid="{5909970D-670D-4FFC-8CFF-AE24A402DEDD}"/>
    <cellStyle name="Output 8 11" xfId="10352" xr:uid="{2308AD0B-447C-44FF-AF49-B8FA09C39A80}"/>
    <cellStyle name="Output 8 12" xfId="13152" xr:uid="{CDE77BA5-8952-4827-98C3-D65E1E909EE9}"/>
    <cellStyle name="Output 8 2" xfId="6902" xr:uid="{15D8C34E-0CFF-4580-BC38-8D91994EE635}"/>
    <cellStyle name="Output 8 2 10" xfId="11040" xr:uid="{C3A30363-397F-42A5-AC84-ED3E067DE92C}"/>
    <cellStyle name="Output 8 2 11" xfId="12060" xr:uid="{1943FF93-3A78-4817-ABC1-7E187951D07C}"/>
    <cellStyle name="Output 8 2 2" xfId="7687" xr:uid="{6C2996A4-E60C-4DAB-8EEF-820891CC6AED}"/>
    <cellStyle name="Output 8 2 2 10" xfId="10803" xr:uid="{CAB93C82-F670-4365-83A2-D523E9003980}"/>
    <cellStyle name="Output 8 2 2 2" xfId="9327" xr:uid="{619E7B80-2AED-48FA-9E1E-0506024D01CD}"/>
    <cellStyle name="Output 8 2 2 2 2" xfId="13761" xr:uid="{28DF0903-D94A-411D-A50C-DB37BE192FD3}"/>
    <cellStyle name="Output 8 2 2 2 3" xfId="14723" xr:uid="{4E49A865-923B-4439-9456-E8C845AE7F20}"/>
    <cellStyle name="Output 8 2 2 2 4" xfId="15675" xr:uid="{3D7EFC20-FC67-4019-B86B-D36A07CBF34D}"/>
    <cellStyle name="Output 8 2 2 2 5" xfId="16555" xr:uid="{5513B3DC-C977-4FCD-89B4-84723DAA140F}"/>
    <cellStyle name="Output 8 2 2 2 6" xfId="17421" xr:uid="{C8869CC5-49CD-40EE-8375-9440AAE7BBB3}"/>
    <cellStyle name="Output 8 2 2 2 7" xfId="18197" xr:uid="{C4F09E67-2F09-45F1-A599-3C221ADF9723}"/>
    <cellStyle name="Output 8 2 2 2 8" xfId="18954" xr:uid="{BBEB470F-2FA0-42B4-9FB2-B9ED65B31FC9}"/>
    <cellStyle name="Output 8 2 2 3" xfId="9781" xr:uid="{1286EE49-56DB-4F32-B49C-F79E030B3798}"/>
    <cellStyle name="Output 8 2 2 3 2" xfId="14185" xr:uid="{17D16928-37C7-4E42-A453-5B1431F651E0}"/>
    <cellStyle name="Output 8 2 2 3 3" xfId="15145" xr:uid="{A1E12ADD-BC7F-4BB0-8232-BFDA6009E38B}"/>
    <cellStyle name="Output 8 2 2 3 4" xfId="16097" xr:uid="{4BB873D4-A6AD-4180-9FBE-639263EC5C8A}"/>
    <cellStyle name="Output 8 2 2 3 5" xfId="16971" xr:uid="{56EE5330-3D1A-4E16-98DD-4A5F1EA23B72}"/>
    <cellStyle name="Output 8 2 2 3 6" xfId="17836" xr:uid="{DFF8C564-14CF-4076-A059-2E98A55C4529}"/>
    <cellStyle name="Output 8 2 2 3 7" xfId="18612" xr:uid="{06B90A60-B8E5-4F0F-9A27-D375C4E0872D}"/>
    <cellStyle name="Output 8 2 2 3 8" xfId="19369" xr:uid="{CC18715E-4260-4B4C-AC1D-81F25AA267CF}"/>
    <cellStyle name="Output 8 2 2 4" xfId="12745" xr:uid="{7C61BBE7-878E-44C0-9439-662F226BF09D}"/>
    <cellStyle name="Output 8 2 2 5" xfId="12325" xr:uid="{747A8751-9853-4237-84C2-3CCA946A46B8}"/>
    <cellStyle name="Output 8 2 2 6" xfId="10545" xr:uid="{24C5AEBB-958D-4940-ABF3-AEBD0CF0621A}"/>
    <cellStyle name="Output 8 2 2 7" xfId="13129" xr:uid="{06769939-1D02-4B62-828A-42FE5BB39BE6}"/>
    <cellStyle name="Output 8 2 2 8" xfId="9898" xr:uid="{AB3B4ABC-AEDC-4FFD-8141-3C88333E80AC}"/>
    <cellStyle name="Output 8 2 2 9" xfId="12031" xr:uid="{B93E9EE9-A18C-44FD-976D-624AFAC1B275}"/>
    <cellStyle name="Output 8 2 3" xfId="8542" xr:uid="{0068ED27-4033-4C2F-810D-4A7626C5DF8A}"/>
    <cellStyle name="Output 8 2 3 2" xfId="13282" xr:uid="{0BD70ADC-2261-4A24-9467-87B21B2433CD}"/>
    <cellStyle name="Output 8 2 3 3" xfId="14302" xr:uid="{1FBB7DD2-AC64-4658-8697-1467D517343F}"/>
    <cellStyle name="Output 8 2 3 4" xfId="15262" xr:uid="{0F0D458F-382C-4698-AF59-3E23D968E1B8}"/>
    <cellStyle name="Output 8 2 3 5" xfId="16211" xr:uid="{DCCCFD6F-B1DF-4527-9136-085C7E01F3CD}"/>
    <cellStyle name="Output 8 2 3 6" xfId="17084" xr:uid="{461F3F4E-3FF1-4265-980E-AA8BD2BEAFE0}"/>
    <cellStyle name="Output 8 2 3 7" xfId="17949" xr:uid="{14F7742E-8764-4695-A67E-3E82715BE239}"/>
    <cellStyle name="Output 8 2 3 8" xfId="18725" xr:uid="{611C1096-E8EF-4AC0-80C9-7D8E92F71483}"/>
    <cellStyle name="Output 8 2 4" xfId="9552" xr:uid="{807AC0D7-B7E1-49C3-B558-2EF8D967C587}"/>
    <cellStyle name="Output 8 2 4 2" xfId="13956" xr:uid="{6B4ECFA2-3E6E-431B-8DC4-401904EC769B}"/>
    <cellStyle name="Output 8 2 4 3" xfId="14916" xr:uid="{0624E407-002C-4DBA-A3A3-B336A5482FC8}"/>
    <cellStyle name="Output 8 2 4 4" xfId="15868" xr:uid="{63AB9EE2-65D3-4347-93E1-BB6090C8AE3E}"/>
    <cellStyle name="Output 8 2 4 5" xfId="16742" xr:uid="{DA4AE3E8-4363-44D6-8E1D-4CF8608C4246}"/>
    <cellStyle name="Output 8 2 4 6" xfId="17607" xr:uid="{A29B2E19-0A08-4FCB-91C7-4C6F61A25422}"/>
    <cellStyle name="Output 8 2 4 7" xfId="18383" xr:uid="{2FD9C31B-E4E0-4449-B453-15782AF83868}"/>
    <cellStyle name="Output 8 2 4 8" xfId="19140" xr:uid="{C0509CDB-B7CD-4954-9936-C4087F45F8F7}"/>
    <cellStyle name="Output 8 2 5" xfId="12253" xr:uid="{EC8A132C-2FA4-4D21-B60D-70E96E0D93FB}"/>
    <cellStyle name="Output 8 2 6" xfId="10612" xr:uid="{7E734DCC-C3D1-4326-9D80-E45575F0F529}"/>
    <cellStyle name="Output 8 2 7" xfId="12599" xr:uid="{A3B36E2B-14B6-424E-A8CD-B762E16B300D}"/>
    <cellStyle name="Output 8 2 8" xfId="10305" xr:uid="{49950BF5-5F9B-41CE-8C99-D7F5899C4E7F}"/>
    <cellStyle name="Output 8 2 9" xfId="11757" xr:uid="{56A35903-E700-42C7-A9FC-1DC3793BD306}"/>
    <cellStyle name="Output 8 3" xfId="7164" xr:uid="{133D043A-0186-4602-A4E9-ACF0B037DB7D}"/>
    <cellStyle name="Output 8 3 10" xfId="11494" xr:uid="{D045D963-343A-48B5-89E3-03836BC450F6}"/>
    <cellStyle name="Output 8 3 2" xfId="8804" xr:uid="{4CBBE458-2349-4468-8975-D21CA86301F3}"/>
    <cellStyle name="Output 8 3 2 2" xfId="13464" xr:uid="{39B90194-6097-444C-B338-2FAAA1F74497}"/>
    <cellStyle name="Output 8 3 2 3" xfId="14470" xr:uid="{CA5A3CEF-FB17-46C8-8C75-E432D7B5033D}"/>
    <cellStyle name="Output 8 3 2 4" xfId="15428" xr:uid="{5D7F3410-23DF-4A7F-956E-C61F9C1B1C3E}"/>
    <cellStyle name="Output 8 3 2 5" xfId="16355" xr:uid="{C95FFE59-01C2-4CA0-B166-D3F75C8FD16F}"/>
    <cellStyle name="Output 8 3 2 6" xfId="17226" xr:uid="{570C73C3-FB32-4F4C-BE4D-4759E0F1531F}"/>
    <cellStyle name="Output 8 3 2 7" xfId="18073" xr:uid="{02CB9A1F-E367-4B75-96E4-E1A06A92B38D}"/>
    <cellStyle name="Output 8 3 2 8" xfId="18840" xr:uid="{6E2E3FDD-883C-4A2F-904C-C9CA75B73C7E}"/>
    <cellStyle name="Output 8 3 3" xfId="9667" xr:uid="{666FEBE1-7588-4624-8DB9-18D22BBDBD5F}"/>
    <cellStyle name="Output 8 3 3 2" xfId="14071" xr:uid="{AA3C82F0-D2F8-4B9A-A289-93EBC8129AD6}"/>
    <cellStyle name="Output 8 3 3 3" xfId="15031" xr:uid="{A832B520-4FA7-4AA3-BFE3-D90C26EAA416}"/>
    <cellStyle name="Output 8 3 3 4" xfId="15983" xr:uid="{1ACAD44B-3147-46FD-A1DC-F7468DADF2BA}"/>
    <cellStyle name="Output 8 3 3 5" xfId="16857" xr:uid="{A06A3947-81A0-44EF-BD44-9099348131D6}"/>
    <cellStyle name="Output 8 3 3 6" xfId="17722" xr:uid="{67EA6BCF-FFD1-4A76-AF7F-2DEB6D0CE8CD}"/>
    <cellStyle name="Output 8 3 3 7" xfId="18498" xr:uid="{AE94FAC3-88C6-4B34-B40F-D425CEBF125E}"/>
    <cellStyle name="Output 8 3 3 8" xfId="19255" xr:uid="{D6C472AA-EB1E-4069-909A-F1E655070C17}"/>
    <cellStyle name="Output 8 3 4" xfId="12434" xr:uid="{8650F3D2-C062-4CCB-A917-537C24C90D8D}"/>
    <cellStyle name="Output 8 3 5" xfId="10444" xr:uid="{C6D6FC02-6ED7-4FEA-BF53-979553070659}"/>
    <cellStyle name="Output 8 3 6" xfId="13142" xr:uid="{AD3E6D59-37C2-436A-AADC-B75AE74434FC}"/>
    <cellStyle name="Output 8 3 7" xfId="9888" xr:uid="{204CCD9E-292F-4680-BF01-2256F9B7AD31}"/>
    <cellStyle name="Output 8 3 8" xfId="11875" xr:uid="{8A32F6F2-FD97-48FD-B0EA-8A65D0A8C5F4}"/>
    <cellStyle name="Output 8 3 9" xfId="10938" xr:uid="{5685FC4F-97AB-4A49-92BD-5D18D509966F}"/>
    <cellStyle name="Output 8 4" xfId="8006" xr:uid="{23393643-38B0-4063-B23E-5AD6EA8574B1}"/>
    <cellStyle name="Output 8 4 2" xfId="12975" xr:uid="{83A4C1FF-5570-4536-ACE8-797080DE0911}"/>
    <cellStyle name="Output 8 4 3" xfId="10016" xr:uid="{890011F5-9FDA-4DFD-9AD8-51A2DBFB4C7F}"/>
    <cellStyle name="Output 8 4 4" xfId="11806" xr:uid="{83647C97-B7C1-4BB0-B496-2DFBB27B28DF}"/>
    <cellStyle name="Output 8 4 5" xfId="10998" xr:uid="{67696996-1A0D-4982-9393-FB706577C339}"/>
    <cellStyle name="Output 8 4 6" xfId="11460" xr:uid="{241DF7DF-A50A-4A1E-9DA9-AA7CDDC264E7}"/>
    <cellStyle name="Output 8 4 7" xfId="11269" xr:uid="{72543F52-4014-4583-A170-F4ABF0BD6186}"/>
    <cellStyle name="Output 8 4 8" xfId="12796" xr:uid="{32919AAC-06C6-48BF-B199-6B3D93365F45}"/>
    <cellStyle name="Output 8 5" xfId="9439" xr:uid="{8998D46E-FA50-4EEE-9F14-B0A96C505644}"/>
    <cellStyle name="Output 8 5 2" xfId="13843" xr:uid="{EB81C809-8FAE-489C-A9F8-38D58C94D38B}"/>
    <cellStyle name="Output 8 5 3" xfId="14803" xr:uid="{8C94D3B2-9878-4CA2-8D9A-02D8861EB11B}"/>
    <cellStyle name="Output 8 5 4" xfId="15755" xr:uid="{3669C464-B840-47B4-A237-779729DAA2B6}"/>
    <cellStyle name="Output 8 5 5" xfId="16629" xr:uid="{00169FEE-96BB-4E58-91BA-F98F086E5803}"/>
    <cellStyle name="Output 8 5 6" xfId="17494" xr:uid="{3FC1A688-96F4-493E-8994-7B9E503322BC}"/>
    <cellStyle name="Output 8 5 7" xfId="18270" xr:uid="{434ED945-24A4-4573-92A2-1B053704DD2D}"/>
    <cellStyle name="Output 8 5 8" xfId="19027" xr:uid="{97D9DA38-0EFD-46B8-AA60-5393B98295DA}"/>
    <cellStyle name="Output 8 6" xfId="11881" xr:uid="{D10CB5EA-3EB9-48AF-82CB-0E8C0A321316}"/>
    <cellStyle name="Output 8 7" xfId="10932" xr:uid="{E4720197-A936-42A1-9B75-18411D79685A}"/>
    <cellStyle name="Output 8 8" xfId="11500" xr:uid="{E76487BC-4B0B-431C-B30D-B423E0E416F9}"/>
    <cellStyle name="Output 8 9" xfId="11231" xr:uid="{1F59B4DD-006A-4FC2-82B9-AAB2ED5CC3A1}"/>
    <cellStyle name="Output 9" xfId="6240" xr:uid="{E2A168AB-9EDA-43BA-9E84-5E51BBAF806B}"/>
    <cellStyle name="Output 9 10" xfId="13560" xr:uid="{D7F81BA7-4F81-4BBE-BA14-D3BF22B59932}"/>
    <cellStyle name="Output 9 11" xfId="14561" xr:uid="{0F84636B-79EE-496B-9046-FFE451BDF474}"/>
    <cellStyle name="Output 9 12" xfId="15519" xr:uid="{1A5E15A9-8056-4BA7-A874-285D5DF9F53A}"/>
    <cellStyle name="Output 9 2" xfId="6903" xr:uid="{9599CB49-0AD5-4A68-9976-AEBF920B90E2}"/>
    <cellStyle name="Output 9 2 10" xfId="16451" xr:uid="{41B77697-215D-4EA4-B926-4E7702A60EDF}"/>
    <cellStyle name="Output 9 2 11" xfId="17322" xr:uid="{55CFA6F0-9103-4C1C-9BB9-1748FFFB741C}"/>
    <cellStyle name="Output 9 2 2" xfId="7688" xr:uid="{7EA9DF86-BCF1-4FD4-8D00-CF8749F9EE9B}"/>
    <cellStyle name="Output 9 2 2 10" xfId="10330" xr:uid="{68D0983D-9E15-45DD-8ABB-99C82FD6313D}"/>
    <cellStyle name="Output 9 2 2 2" xfId="9328" xr:uid="{7F2D81FB-E3FE-4F44-AA0E-BEE4712CE58B}"/>
    <cellStyle name="Output 9 2 2 2 2" xfId="13762" xr:uid="{D9889F63-4B5C-4E0B-87DB-AD2E205FC827}"/>
    <cellStyle name="Output 9 2 2 2 3" xfId="14724" xr:uid="{61D31DAE-6A02-4E5D-966B-0CB6AF2643C9}"/>
    <cellStyle name="Output 9 2 2 2 4" xfId="15676" xr:uid="{7D31B71C-06C4-40F3-85F1-6C3FCF148B1B}"/>
    <cellStyle name="Output 9 2 2 2 5" xfId="16556" xr:uid="{C2911B87-92F7-44D4-AF6F-9C0CCDE67164}"/>
    <cellStyle name="Output 9 2 2 2 6" xfId="17422" xr:uid="{841550D2-094C-4964-BDD8-A681A93416FC}"/>
    <cellStyle name="Output 9 2 2 2 7" xfId="18198" xr:uid="{7AF0CDF0-B99C-4900-8FCF-FD5B9105308C}"/>
    <cellStyle name="Output 9 2 2 2 8" xfId="18955" xr:uid="{27A8EB00-2D92-433F-9268-800729A963AB}"/>
    <cellStyle name="Output 9 2 2 3" xfId="9782" xr:uid="{EADF5246-8BC5-4F58-83BF-7B265ED80131}"/>
    <cellStyle name="Output 9 2 2 3 2" xfId="14186" xr:uid="{E1993C38-A277-476D-93AD-A5367D6F576F}"/>
    <cellStyle name="Output 9 2 2 3 3" xfId="15146" xr:uid="{201F3E3D-39E6-41AD-947B-2FA344561188}"/>
    <cellStyle name="Output 9 2 2 3 4" xfId="16098" xr:uid="{27F26631-2C10-498C-8564-7475CB91B217}"/>
    <cellStyle name="Output 9 2 2 3 5" xfId="16972" xr:uid="{4013BAC0-2F7B-40CF-8904-8988E7AF1D57}"/>
    <cellStyle name="Output 9 2 2 3 6" xfId="17837" xr:uid="{84F35DD4-6E7C-4872-AA9A-63ED1CB0A391}"/>
    <cellStyle name="Output 9 2 2 3 7" xfId="18613" xr:uid="{E484791D-1F10-418B-B5D9-1A08A72607C3}"/>
    <cellStyle name="Output 9 2 2 3 8" xfId="19370" xr:uid="{37B13678-B3F2-4BC2-9497-6BC1A3E20A07}"/>
    <cellStyle name="Output 9 2 2 4" xfId="12746" xr:uid="{D82FAFB2-FBA0-457A-8B18-412B5A96EF5E}"/>
    <cellStyle name="Output 9 2 2 5" xfId="12819" xr:uid="{66B16719-3A6D-4CD5-BB12-E1ED72D82CC4}"/>
    <cellStyle name="Output 9 2 2 6" xfId="10155" xr:uid="{5543CCF2-03B4-44D5-BE4D-42E085B83D39}"/>
    <cellStyle name="Output 9 2 2 7" xfId="11792" xr:uid="{0DA50467-DDB9-4379-A931-4E29A4852142}"/>
    <cellStyle name="Output 9 2 2 8" xfId="11012" xr:uid="{FC8B1606-83E4-4579-B005-FC2689BF2247}"/>
    <cellStyle name="Output 9 2 2 9" xfId="12569" xr:uid="{960CF375-C6AC-4EAE-8288-743CEEBBE7C7}"/>
    <cellStyle name="Output 9 2 3" xfId="8543" xr:uid="{E82F4731-7B14-4C90-A6C7-3D7AB88B0DEA}"/>
    <cellStyle name="Output 9 2 3 2" xfId="13283" xr:uid="{9A1B9B48-C586-4FEA-8FCF-33FCD553E9E1}"/>
    <cellStyle name="Output 9 2 3 3" xfId="14303" xr:uid="{E2598FCD-033B-46A3-9BC3-539B9B8EB4C2}"/>
    <cellStyle name="Output 9 2 3 4" xfId="15263" xr:uid="{EE7F58CF-C390-462D-B323-E499D41A4D22}"/>
    <cellStyle name="Output 9 2 3 5" xfId="16212" xr:uid="{8D24C9B6-6D59-4960-A686-2C9E159A3BF4}"/>
    <cellStyle name="Output 9 2 3 6" xfId="17085" xr:uid="{936AB5EC-B56A-4E48-A07C-B31A72C0C4AE}"/>
    <cellStyle name="Output 9 2 3 7" xfId="17950" xr:uid="{ECA651DC-80AD-44C8-BB6E-49CCFB44CA87}"/>
    <cellStyle name="Output 9 2 3 8" xfId="18726" xr:uid="{2BB0ED77-DB26-428B-A157-B7EC89DDB72A}"/>
    <cellStyle name="Output 9 2 4" xfId="9553" xr:uid="{C5D872EE-8FFB-46F2-9791-945DB0377386}"/>
    <cellStyle name="Output 9 2 4 2" xfId="13957" xr:uid="{969CE988-CF06-4E59-826F-CE225FD61FBC}"/>
    <cellStyle name="Output 9 2 4 3" xfId="14917" xr:uid="{27E690EC-6A1E-49B6-A59C-4D38C0B1EE67}"/>
    <cellStyle name="Output 9 2 4 4" xfId="15869" xr:uid="{2F6C4F40-F21E-4926-B48F-6B221206AC59}"/>
    <cellStyle name="Output 9 2 4 5" xfId="16743" xr:uid="{56DF8795-00F3-43AD-A335-2A472521D83F}"/>
    <cellStyle name="Output 9 2 4 6" xfId="17608" xr:uid="{A98E5786-339B-494D-9A7F-47840983A386}"/>
    <cellStyle name="Output 9 2 4 7" xfId="18384" xr:uid="{C7AF7337-DC69-4CD9-BBB9-D372F4513C6A}"/>
    <cellStyle name="Output 9 2 4 8" xfId="19141" xr:uid="{D58DDBDD-E98C-4C5B-8C79-C54C5A7B48FA}"/>
    <cellStyle name="Output 9 2 5" xfId="12254" xr:uid="{FAAE8586-084F-4CE2-992E-720A690B64A1}"/>
    <cellStyle name="Output 9 2 6" xfId="10611" xr:uid="{D6C1E5F5-737B-46E5-BE49-008C08EB0943}"/>
    <cellStyle name="Output 9 2 7" xfId="13621" xr:uid="{A9A60D31-6637-4AAC-85AB-18C8DF8B2F82}"/>
    <cellStyle name="Output 9 2 8" xfId="14599" xr:uid="{CBCC381F-EC8E-4437-B5CF-5EF7B42932C6}"/>
    <cellStyle name="Output 9 2 9" xfId="15552" xr:uid="{FBCBFB2D-220C-43B4-8DA0-83C86DB6A2A9}"/>
    <cellStyle name="Output 9 3" xfId="7165" xr:uid="{7B6738C5-051F-4301-81F4-186E594B2833}"/>
    <cellStyle name="Output 9 3 10" xfId="11567" xr:uid="{03FA33E0-44B7-4C70-ADFB-FD581EA2CCDE}"/>
    <cellStyle name="Output 9 3 2" xfId="8805" xr:uid="{4864C445-42D8-4F93-990C-D04F69A09758}"/>
    <cellStyle name="Output 9 3 2 2" xfId="13465" xr:uid="{167AEF44-4CB9-4E57-BE40-4C43EA32D106}"/>
    <cellStyle name="Output 9 3 2 3" xfId="14471" xr:uid="{F53CB95F-2A9B-4F48-9844-5F7F3DC9E979}"/>
    <cellStyle name="Output 9 3 2 4" xfId="15429" xr:uid="{0212F681-FDED-40CD-81F8-B50D628883AD}"/>
    <cellStyle name="Output 9 3 2 5" xfId="16356" xr:uid="{F7774176-72C1-4E62-BF10-81CB5E40ADA8}"/>
    <cellStyle name="Output 9 3 2 6" xfId="17227" xr:uid="{6FF85F50-4117-44DA-BD71-5C73E7AA28A6}"/>
    <cellStyle name="Output 9 3 2 7" xfId="18074" xr:uid="{A9057F3E-0FEC-4DCF-9C78-52D7CB0B6367}"/>
    <cellStyle name="Output 9 3 2 8" xfId="18841" xr:uid="{56B9FE8A-6A6A-4316-A3C5-D2C12C30A599}"/>
    <cellStyle name="Output 9 3 3" xfId="9668" xr:uid="{3D58E111-534C-498D-A085-E7AE05199648}"/>
    <cellStyle name="Output 9 3 3 2" xfId="14072" xr:uid="{59C3A666-22BD-47AD-86EF-C7CCCEA39385}"/>
    <cellStyle name="Output 9 3 3 3" xfId="15032" xr:uid="{3A9A492F-49E4-4A73-AA1F-58D85CC00006}"/>
    <cellStyle name="Output 9 3 3 4" xfId="15984" xr:uid="{B3BB1D4B-E02B-4719-ABA3-B28C0297BE6B}"/>
    <cellStyle name="Output 9 3 3 5" xfId="16858" xr:uid="{4BFC4324-1E68-44D0-8169-D56C9F639B09}"/>
    <cellStyle name="Output 9 3 3 6" xfId="17723" xr:uid="{7C7C43E5-3269-4FB9-A9BD-0AACDBC01A4D}"/>
    <cellStyle name="Output 9 3 3 7" xfId="18499" xr:uid="{F9E0F67B-3781-4A39-BF08-ABA52A984F5E}"/>
    <cellStyle name="Output 9 3 3 8" xfId="19256" xr:uid="{1413178D-E0DE-47B1-96A9-2128DF590C11}"/>
    <cellStyle name="Output 9 3 4" xfId="12435" xr:uid="{A3353F2B-749B-48F8-910C-7AC4B58E5318}"/>
    <cellStyle name="Output 9 3 5" xfId="10443" xr:uid="{EA34566F-36DB-4EE1-96C8-63675CDE234C}"/>
    <cellStyle name="Output 9 3 6" xfId="12112" xr:uid="{F4C2C32A-EDAD-461A-A820-41AEF4A91E41}"/>
    <cellStyle name="Output 9 3 7" xfId="10740" xr:uid="{A975C85B-0A62-4DFD-8F27-575018DDE08A}"/>
    <cellStyle name="Output 9 3 8" xfId="11971" xr:uid="{1086838F-B4AE-4C40-8235-89DFF9DA5DD3}"/>
    <cellStyle name="Output 9 3 9" xfId="10855" xr:uid="{05A2BBF9-6523-40F7-AB18-00F96540603B}"/>
    <cellStyle name="Output 9 4" xfId="8007" xr:uid="{D6B6FA69-7446-47FA-A32B-6E9ACA2109CE}"/>
    <cellStyle name="Output 9 4 2" xfId="12976" xr:uid="{AACEA900-CF1C-4F8E-85B8-942C0EE911B2}"/>
    <cellStyle name="Output 9 4 3" xfId="10015" xr:uid="{E1D7908B-5429-4FE8-B10E-6697F0E0E202}"/>
    <cellStyle name="Output 9 4 4" xfId="11807" xr:uid="{9ED074E2-AB00-44D7-AC07-0E2F1050AAA5}"/>
    <cellStyle name="Output 9 4 5" xfId="10997" xr:uid="{60397B7F-505C-4F6B-B965-216FED8799B9}"/>
    <cellStyle name="Output 9 4 6" xfId="11461" xr:uid="{8915D7AE-5E48-4107-8340-7826F4CFF108}"/>
    <cellStyle name="Output 9 4 7" xfId="11268" xr:uid="{73581E61-F561-4937-8F2F-70F5EF7B9D95}"/>
    <cellStyle name="Output 9 4 8" xfId="11424" xr:uid="{50DA9FF9-9F25-465C-81A7-A54201A5C7FC}"/>
    <cellStyle name="Output 9 5" xfId="9440" xr:uid="{B59DB7FF-B174-4C1B-AC3A-834B88EBB261}"/>
    <cellStyle name="Output 9 5 2" xfId="13844" xr:uid="{523DD5F2-34D7-44F2-B6F0-BD0CDE255C16}"/>
    <cellStyle name="Output 9 5 3" xfId="14804" xr:uid="{782687F7-00DD-4EB9-955F-B5E5D61C9FC1}"/>
    <cellStyle name="Output 9 5 4" xfId="15756" xr:uid="{73605714-1169-4F6F-A48F-DC890F1764DD}"/>
    <cellStyle name="Output 9 5 5" xfId="16630" xr:uid="{91D28E93-FC43-43F3-B0AF-5E6209F90117}"/>
    <cellStyle name="Output 9 5 6" xfId="17495" xr:uid="{3F1863D1-9E3B-4FE0-AC5A-FCA400FC4921}"/>
    <cellStyle name="Output 9 5 7" xfId="18271" xr:uid="{D983D601-F717-421B-8193-79530C95D143}"/>
    <cellStyle name="Output 9 5 8" xfId="19028" xr:uid="{D66FC6A0-4A7F-4ADB-B622-3271E27D0658}"/>
    <cellStyle name="Output 9 6" xfId="11882" xr:uid="{094643FA-4035-4D46-BDB8-BE93F555BAD5}"/>
    <cellStyle name="Output 9 7" xfId="10931" xr:uid="{199D47E2-6666-4DB4-B2FB-67AB6120C090}"/>
    <cellStyle name="Output 9 8" xfId="11501" xr:uid="{17438F53-2657-4E88-9FA2-FB2592EFA9C4}"/>
    <cellStyle name="Output 9 9" xfId="11230" xr:uid="{A0D48E19-B205-4F44-B27A-5C5A45E1A0C4}"/>
    <cellStyle name="Parastais 2" xfId="6241" xr:uid="{E44C27C8-5F61-422F-9129-FDC70DD6F632}"/>
    <cellStyle name="Parastais 2 2" xfId="6242" xr:uid="{8E942478-B49E-4B90-A207-D411CF52A1B7}"/>
    <cellStyle name="Parastais 2 2 2" xfId="6243" xr:uid="{8A0A5EEE-EF1B-4359-9FE3-331A03C6BF8D}"/>
    <cellStyle name="Parastais 2 2_1_solis_MK Nr 595 " xfId="6244" xr:uid="{8430C92C-037F-4332-B871-F5D7B8E98FF2}"/>
    <cellStyle name="Parastais 3" xfId="6245" xr:uid="{AB820D5A-D4A8-498E-A69C-57E1B791A06D}"/>
    <cellStyle name="Parastais_FMLikp01_p05_221205_pap_afp_makp" xfId="6806" xr:uid="{CC8BDD5C-86C7-44A1-A726-19B34D59F5A3}"/>
    <cellStyle name="Parasts 2" xfId="20" xr:uid="{410E5FC5-273C-48E2-9FEB-ECAE0988E457}"/>
    <cellStyle name="Parasts 3" xfId="21" xr:uid="{54DE045F-3EF0-4302-A1EF-7D8EFC8DC9A5}"/>
    <cellStyle name="Parasts 4" xfId="26" xr:uid="{7A5F8682-F8D4-4C9A-980F-1CB006830230}"/>
    <cellStyle name="Parasts 5" xfId="40" xr:uid="{E39EE8BD-1589-42C6-B727-621874DFFC05}"/>
    <cellStyle name="Parasts 6" xfId="64" xr:uid="{117C410D-582B-4F06-8F19-BED10AA17C69}"/>
    <cellStyle name="Percent" xfId="69" builtinId="5"/>
    <cellStyle name="Percent 10" xfId="6466" xr:uid="{E936670D-FE25-4B97-931D-562C5282D098}"/>
    <cellStyle name="Percent 10 2" xfId="6807" xr:uid="{DE287F25-F0AB-4F4F-A71B-76D6FD2EF24A}"/>
    <cellStyle name="Percent 10 2 2" xfId="7689" xr:uid="{16FBC91B-FC1D-4455-A4D2-85CDBA3AFC34}"/>
    <cellStyle name="Percent 10 2 2 2" xfId="9329" xr:uid="{30A8F0C9-61FC-4736-ACAA-70AE79D7CE59}"/>
    <cellStyle name="Percent 10 2 3" xfId="8450" xr:uid="{9FAADEC7-332B-4569-B5C3-78886C92118F}"/>
    <cellStyle name="Percent 10 3" xfId="6808" xr:uid="{38B1AD76-C7E2-4D4C-BD72-F48BF6858009}"/>
    <cellStyle name="Percent 10 3 2" xfId="7690" xr:uid="{D5923E21-8E44-4A76-A9B6-7DEBA9E3473A}"/>
    <cellStyle name="Percent 10 3 2 2" xfId="9330" xr:uid="{6F9B9056-AA6F-41E0-8A09-238F68C4C24A}"/>
    <cellStyle name="Percent 10 3 3" xfId="8451" xr:uid="{7D444CA7-4727-4CD1-8186-B4019358EC48}"/>
    <cellStyle name="Percent 10 4" xfId="7210" xr:uid="{C70AFB3A-5FD4-45F3-A7BB-34D7692B6006}"/>
    <cellStyle name="Percent 10 4 2" xfId="8850" xr:uid="{9AD0000B-F394-4936-8526-F4FBBA5DD43F}"/>
    <cellStyle name="Percent 10 5" xfId="8166" xr:uid="{82AAB0F3-7F68-4C56-B343-4EF2D629CAD1}"/>
    <cellStyle name="Percent 11" xfId="6809" xr:uid="{4592BCF3-4DEC-40D9-B8F5-4FC2DB3748E0}"/>
    <cellStyle name="Percent 11 2" xfId="6810" xr:uid="{544EEB7E-1B04-482E-B6D1-9A30B0C86F2D}"/>
    <cellStyle name="Percent 11 2 2" xfId="7692" xr:uid="{CF5B5F67-AE3C-4AF0-9D82-75331215D76F}"/>
    <cellStyle name="Percent 11 2 2 2" xfId="9332" xr:uid="{DD160858-9F4C-494C-BC46-B980077372D0}"/>
    <cellStyle name="Percent 11 2 3" xfId="8453" xr:uid="{6AA089F9-D9F7-477A-ACFF-44A265354FB3}"/>
    <cellStyle name="Percent 11 3" xfId="7691" xr:uid="{20FC43D2-7289-4D84-8178-52FA9D11FD49}"/>
    <cellStyle name="Percent 11 3 2" xfId="9331" xr:uid="{8CAEBDCA-3DCF-43FE-8FC9-160C587D1C91}"/>
    <cellStyle name="Percent 11 4" xfId="8452" xr:uid="{809C7CE9-2A4E-41E0-8903-0FFED8079789}"/>
    <cellStyle name="Percent 12" xfId="6811" xr:uid="{40A3BA70-B58E-49A6-BD96-7124EBFC86AB}"/>
    <cellStyle name="Percent 12 2" xfId="6812" xr:uid="{2370899C-5694-4723-B294-8863457924F0}"/>
    <cellStyle name="Percent 12 2 2" xfId="7694" xr:uid="{D3C4108D-38BD-498C-8E32-E2A1ED819B87}"/>
    <cellStyle name="Percent 12 2 2 2" xfId="9334" xr:uid="{A2EC9C2A-9DBE-4919-A19F-CE7996F34C4D}"/>
    <cellStyle name="Percent 12 2 3" xfId="8455" xr:uid="{33608C7B-7959-4A8E-B536-069376748938}"/>
    <cellStyle name="Percent 12 3" xfId="7693" xr:uid="{3BAAD6DE-7D1B-494B-88C0-3497967B8662}"/>
    <cellStyle name="Percent 12 3 2" xfId="9333" xr:uid="{FF250AA0-E5E2-46D4-9812-873CC28584DE}"/>
    <cellStyle name="Percent 12 4" xfId="8454" xr:uid="{B1409D79-9232-49D1-B193-176ED91E71D0}"/>
    <cellStyle name="Percent 13" xfId="7743" xr:uid="{F144A609-53B7-489C-9783-5CC367106732}"/>
    <cellStyle name="Percent 2" xfId="2" xr:uid="{FC5768FE-5153-4466-9E59-4DF47994FE96}"/>
    <cellStyle name="Percent 2 2" xfId="39" xr:uid="{AFA117D7-C860-46EB-80BA-B6DEB8B509F1}"/>
    <cellStyle name="Percent 2 2 2" xfId="72" xr:uid="{4D24F8A3-8FA8-437C-8DEF-048B04344867}"/>
    <cellStyle name="Percent 2 3" xfId="6246" xr:uid="{4652CE7E-E840-4626-B00B-9AD7DE137062}"/>
    <cellStyle name="Percent 2 4" xfId="94" xr:uid="{D63718FC-3D70-4218-812A-A02FDAD52FDF}"/>
    <cellStyle name="Percent 3" xfId="43" xr:uid="{2797BCF6-487C-4232-98D5-3827EA3B6589}"/>
    <cellStyle name="Percent 3 2" xfId="74" xr:uid="{82000F9E-06D4-4535-A2E6-4627D8D68721}"/>
    <cellStyle name="Percent 3 2 2" xfId="6247" xr:uid="{CAF79407-6638-4870-B046-A9B04AEFED24}"/>
    <cellStyle name="Percent 3 3" xfId="6467" xr:uid="{6A015EA2-CA84-4FD7-9E68-B6D11F837639}"/>
    <cellStyle name="Percent 3 3 2" xfId="6813" xr:uid="{72AAE9F1-808F-4B88-B100-96983291A566}"/>
    <cellStyle name="Percent 3 3 2 2" xfId="7695" xr:uid="{7EBE320E-4D27-42CA-8F89-325E3EA06BF7}"/>
    <cellStyle name="Percent 3 3 2 2 2" xfId="9335" xr:uid="{8E38A99B-864F-47CD-80E8-5527AD25B5A7}"/>
    <cellStyle name="Percent 3 3 2 3" xfId="8456" xr:uid="{0BB97BB0-B917-40EB-B54E-737A9638A5DE}"/>
    <cellStyle name="Percent 3 3 3" xfId="6814" xr:uid="{EDF31E21-201D-4B2F-96BB-DDC3D09C4CA9}"/>
    <cellStyle name="Percent 3 3 3 2" xfId="7696" xr:uid="{200FB319-AE09-4237-A4F2-5433C7A2388C}"/>
    <cellStyle name="Percent 3 3 3 2 2" xfId="9336" xr:uid="{EE803435-112E-4E04-A79A-50CF6E5B5565}"/>
    <cellStyle name="Percent 3 3 3 3" xfId="8457" xr:uid="{5A98FAF7-E7AC-4785-864B-2B0331D64508}"/>
    <cellStyle name="Percent 3 3 4" xfId="7211" xr:uid="{C6235152-A4A8-4723-A6B9-9CB727AD77B3}"/>
    <cellStyle name="Percent 3 3 4 2" xfId="8851" xr:uid="{56E81248-457A-4541-A324-5BA351D0E7CE}"/>
    <cellStyle name="Percent 3 3 5" xfId="8167" xr:uid="{351E955F-FBD6-4434-B5AA-4732D3593D90}"/>
    <cellStyle name="Percent 3 4" xfId="6815" xr:uid="{DD185FE9-E991-4295-92BC-A74EE4F498B9}"/>
    <cellStyle name="Percent 3 4 2" xfId="7697" xr:uid="{9A7AA04D-253A-4E6E-96D9-F868361A0200}"/>
    <cellStyle name="Percent 3 4 2 2" xfId="9337" xr:uid="{2F1F5661-13AB-4145-B7EF-64BD460C4A48}"/>
    <cellStyle name="Percent 3 4 3" xfId="8458" xr:uid="{57B34980-2107-48FE-B7EB-0F59915C692A}"/>
    <cellStyle name="Percent 3 5" xfId="6816" xr:uid="{CDB26993-4B39-4DF7-81F7-8D21B157EAC9}"/>
    <cellStyle name="Percent 3 5 2" xfId="7698" xr:uid="{D6A0785D-9398-4CC8-BBAC-A442ED585AD0}"/>
    <cellStyle name="Percent 3 5 2 2" xfId="9338" xr:uid="{B33B90B2-C9FB-42DB-8000-39FE5740E6CF}"/>
    <cellStyle name="Percent 3 5 3" xfId="8459" xr:uid="{534BD484-A54A-4495-850C-91B177D3B320}"/>
    <cellStyle name="Percent 4" xfId="6248" xr:uid="{F57CF394-57EA-4F82-AB5D-C28FB3B82524}"/>
    <cellStyle name="Percent 5" xfId="6249" xr:uid="{600BB929-959C-4200-AA70-EE5556CFEE17}"/>
    <cellStyle name="Percent 5 2" xfId="6250" xr:uid="{DA967D3C-C843-41A9-B390-6713BDCAD462}"/>
    <cellStyle name="Percent 6" xfId="6251" xr:uid="{F7A00E15-CE41-45CB-BFFB-766CDD67AA5C}"/>
    <cellStyle name="Percent 6 2" xfId="6252" xr:uid="{515B8EED-B079-46FC-9B57-2CA8EBA54492}"/>
    <cellStyle name="Percent 6 3" xfId="6817" xr:uid="{BC9DAD90-99D8-4343-B2AA-62EADFF3FA82}"/>
    <cellStyle name="Percent 6 3 2" xfId="7699" xr:uid="{0815F3F3-AD41-4C83-A606-A27BD4E5A87E}"/>
    <cellStyle name="Percent 6 3 2 2" xfId="9339" xr:uid="{8584DEBF-9E90-4A0F-A68E-285F29E51A0F}"/>
    <cellStyle name="Percent 6 3 3" xfId="8460" xr:uid="{529507F6-6AD3-4CFA-A580-5EC090456BFD}"/>
    <cellStyle name="Percent 6 4" xfId="6818" xr:uid="{AFBA9D6A-79EF-4D83-895C-122B357A2066}"/>
    <cellStyle name="Percent 6 4 2" xfId="7700" xr:uid="{A54D361A-5C02-4DD8-BC1F-5EB5B17B36A4}"/>
    <cellStyle name="Percent 6 4 2 2" xfId="9340" xr:uid="{02F65C8C-86D9-4A87-8232-F5434CA51479}"/>
    <cellStyle name="Percent 6 4 3" xfId="8461" xr:uid="{4F1080F9-F13E-4D22-BCB8-B31A13B7984A}"/>
    <cellStyle name="Percent 6 5" xfId="6456" xr:uid="{6756F552-D108-4DB9-B5F0-AD8D0485DCF2}"/>
    <cellStyle name="Percent 6 5 2" xfId="7701" xr:uid="{91209632-361F-44B3-BBF6-E4B4D6BA618A}"/>
    <cellStyle name="Percent 6 5 2 2" xfId="9341" xr:uid="{CFA8931A-9403-4592-9474-0284348012C3}"/>
    <cellStyle name="Percent 6 5 3" xfId="8163" xr:uid="{4C64474C-EFD5-4FCD-AA4F-E2F7F77ABDA3}"/>
    <cellStyle name="Percent 6 6" xfId="7166" xr:uid="{1A5BC085-F456-4558-9FB4-1CDDEE6088C3}"/>
    <cellStyle name="Percent 6 6 2" xfId="8806" xr:uid="{8E1C34DB-F88A-4E31-BE07-B21B44AC6380}"/>
    <cellStyle name="Percent 6 7" xfId="8008" xr:uid="{DCE1C2BA-32C0-455C-8381-6C5FC3B276FB}"/>
    <cellStyle name="Percent 7" xfId="6253" xr:uid="{2D01E857-A4C7-4DA7-8796-F0EB0FB5D681}"/>
    <cellStyle name="Percent 7 2" xfId="6254" xr:uid="{8E5E6B56-F9AD-4390-A59C-CC729ABFAA26}"/>
    <cellStyle name="Percent 7 3" xfId="6819" xr:uid="{E6B24ACD-D540-4789-B375-EC9F14AA3FEA}"/>
    <cellStyle name="Percent 7 3 2" xfId="7702" xr:uid="{A758A0C3-BF6F-490E-A99A-8B98EB9F117F}"/>
    <cellStyle name="Percent 7 3 2 2" xfId="9342" xr:uid="{A625CA03-5E1E-49A3-9D15-1BAE66AC5559}"/>
    <cellStyle name="Percent 7 3 3" xfId="8462" xr:uid="{0E0FAAC0-7F0A-401F-8BAF-1C24F2382997}"/>
    <cellStyle name="Percent 7 4" xfId="6820" xr:uid="{B8C67094-0919-416C-8BB5-4F9C43692D54}"/>
    <cellStyle name="Percent 7 4 2" xfId="7703" xr:uid="{3B575B6A-48EE-4292-B870-3F74388169A2}"/>
    <cellStyle name="Percent 7 4 2 2" xfId="9343" xr:uid="{8E39C7F9-ECC4-441F-950B-2D30697C7DB2}"/>
    <cellStyle name="Percent 7 4 3" xfId="8463" xr:uid="{11601993-054D-4734-9AAC-7151BD4AEAB0}"/>
    <cellStyle name="Percent 7 5" xfId="6457" xr:uid="{F5EDECD4-085D-4FE2-9493-2EBCFA450C49}"/>
    <cellStyle name="Percent 7 5 2" xfId="7704" xr:uid="{83B8637A-6A1A-418B-A846-F4E7F1353734}"/>
    <cellStyle name="Percent 7 5 2 2" xfId="9344" xr:uid="{94AC13D2-1017-4466-971A-95A43DEEA2E4}"/>
    <cellStyle name="Percent 7 5 3" xfId="8164" xr:uid="{EF84B2F2-5CE1-47C3-AFEE-367BC7DA846C}"/>
    <cellStyle name="Percent 7 6" xfId="7167" xr:uid="{70618238-14FE-4771-8589-786359C45635}"/>
    <cellStyle name="Percent 7 6 2" xfId="8807" xr:uid="{ADF5CE55-5569-442B-B0C4-FA25544805DA}"/>
    <cellStyle name="Percent 7 7" xfId="8009" xr:uid="{C844E06A-E572-40F2-B675-62CC9548AB3F}"/>
    <cellStyle name="Percent 8" xfId="6255" xr:uid="{91EAF38A-1C26-4471-BDE1-F6A3D8A5F4B4}"/>
    <cellStyle name="Percent 9" xfId="6256" xr:uid="{651BB365-7CCC-4685-8B58-2F278EE4F475}"/>
    <cellStyle name="Percent 9 2" xfId="6257" xr:uid="{6B062746-3D4A-4E69-957F-FDF154E99F42}"/>
    <cellStyle name="Pie??m." xfId="6821" xr:uid="{C88D1F06-2284-4573-9860-E3885FE3AF25}"/>
    <cellStyle name="Procenti 2" xfId="6258" xr:uid="{B7A9420B-4B7F-45C5-9305-BDD77D32F179}"/>
    <cellStyle name="SAPBEXstdItem" xfId="6259" xr:uid="{09C49635-D868-4777-AD43-FFB45BDA58E5}"/>
    <cellStyle name="Style 1" xfId="6822" xr:uid="{FD5558EC-80D7-42C1-A815-F8318195B79B}"/>
    <cellStyle name="Title 10" xfId="6260" xr:uid="{E5A5617F-CB73-4376-9A7A-884DAB049122}"/>
    <cellStyle name="Title 11" xfId="6261" xr:uid="{FF4E4672-1453-40C7-ABC8-BBD2BC1DB76C}"/>
    <cellStyle name="Title 12" xfId="6262" xr:uid="{6DD6983F-C1ED-4273-9306-DEF30EDF323E}"/>
    <cellStyle name="Title 13" xfId="6263" xr:uid="{237C2A8F-C11C-44EC-88D1-8E6098109A02}"/>
    <cellStyle name="Title 14" xfId="6264" xr:uid="{9C1E3F4A-FA85-42FC-B268-E2D17926EF67}"/>
    <cellStyle name="Title 15" xfId="6265" xr:uid="{5709AD14-A101-474C-AA23-ED5B6170BA2A}"/>
    <cellStyle name="Title 16" xfId="6266" xr:uid="{24ACF1AB-5D84-487E-BCBF-04A70AF4AE1C}"/>
    <cellStyle name="Title 17" xfId="6267" xr:uid="{047F57EF-FACA-47D0-B212-3E46C3DC7BA5}"/>
    <cellStyle name="Title 18" xfId="6268" xr:uid="{06E2D5AD-19C6-472F-A76B-C8D1BAC5207F}"/>
    <cellStyle name="Title 18 2" xfId="6269" xr:uid="{3C1C8C34-7AF5-4CCE-B902-D98F9BE10715}"/>
    <cellStyle name="Title 19" xfId="6270" xr:uid="{F64337A5-AD1B-41A5-A7F1-03263F7F82DA}"/>
    <cellStyle name="Title 19 2" xfId="6271" xr:uid="{967BD9A4-A3AA-4310-80A6-8C89FBBA7954}"/>
    <cellStyle name="Title 2" xfId="6272" xr:uid="{23626165-7243-4CE4-AF27-DAAB7EA095C9}"/>
    <cellStyle name="Title 3" xfId="6273" xr:uid="{0108690C-B879-4C9A-BDAC-9E1736E323B5}"/>
    <cellStyle name="Title 4" xfId="6274" xr:uid="{F8CB8B11-050A-4082-AB97-653D8C4DE9C5}"/>
    <cellStyle name="Title 5" xfId="6275" xr:uid="{01009A17-905F-42EE-B867-3267D275D30F}"/>
    <cellStyle name="Title 6" xfId="6276" xr:uid="{AB25D5E2-DD85-4A8D-AD5C-203B2A0B39AA}"/>
    <cellStyle name="Title 7" xfId="6277" xr:uid="{748512B0-B78A-4DBF-9CAB-5F16CF3FBD6D}"/>
    <cellStyle name="Title 8" xfId="6278" xr:uid="{C4758510-5E0E-4E07-A120-91F533BE3069}"/>
    <cellStyle name="Title 9" xfId="6279" xr:uid="{2E28312D-E739-4079-9F7D-CBEB55068669}"/>
    <cellStyle name="Total 10" xfId="6280" xr:uid="{5B9E6D01-05CD-461E-970D-090D4386AF10}"/>
    <cellStyle name="Total 10 10" xfId="11224" xr:uid="{104F0ADA-C117-40F9-B3E9-B50DFA02B75A}"/>
    <cellStyle name="Total 10 11" xfId="13079" xr:uid="{D5757689-0A16-4F8B-9EF5-26AAA583EB57}"/>
    <cellStyle name="Total 10 12" xfId="9930" xr:uid="{A4D46D6D-5DCF-4EC1-9E75-1760987695F6}"/>
    <cellStyle name="Total 10 13" xfId="12705" xr:uid="{EE80267D-0F38-43C2-A403-22D5F60BB248}"/>
    <cellStyle name="Total 10 2" xfId="6281" xr:uid="{CAF38649-B814-4185-AC27-4CBB1CB5C61E}"/>
    <cellStyle name="Total 10 2 10" xfId="12043" xr:uid="{5DFFB43F-7FD1-4A06-88A8-DCEA3892BF91}"/>
    <cellStyle name="Total 10 2 11" xfId="10793" xr:uid="{B1BB5257-5B86-4E56-9287-068D53FF1E2A}"/>
    <cellStyle name="Total 10 2 12" xfId="11625" xr:uid="{CE2C3A2F-A8C1-4A73-8BD6-A7A19D8E6EE5}"/>
    <cellStyle name="Total 10 2 2" xfId="6905" xr:uid="{90B8FF69-DD19-44D1-8825-B5EC4D90C259}"/>
    <cellStyle name="Total 10 2 2 10" xfId="11127" xr:uid="{1FC5FCA4-CAA2-459A-BF40-9EB771D9AACD}"/>
    <cellStyle name="Total 10 2 2 11" xfId="13577" xr:uid="{0F334948-125B-41A5-B1D5-4EC125762DAA}"/>
    <cellStyle name="Total 10 2 2 2" xfId="7705" xr:uid="{37CBB1BE-0B17-4DB7-9FA2-C5BFA611EE72}"/>
    <cellStyle name="Total 10 2 2 2 10" xfId="18132" xr:uid="{A44DBA7D-E964-4877-BE72-4E3E8705B248}"/>
    <cellStyle name="Total 10 2 2 2 2" xfId="9345" xr:uid="{E34CE166-6C98-4E79-98B1-4F2AF09674A2}"/>
    <cellStyle name="Total 10 2 2 2 2 2" xfId="13766" xr:uid="{38E79BE3-A9A1-4FC6-AD16-5720D84D1909}"/>
    <cellStyle name="Total 10 2 2 2 2 3" xfId="14728" xr:uid="{3970CC7F-6892-402D-890F-8FC45E669D06}"/>
    <cellStyle name="Total 10 2 2 2 2 4" xfId="15680" xr:uid="{24AC01D7-B5FA-4CF1-8667-3FD530E8CD78}"/>
    <cellStyle name="Total 10 2 2 2 2 5" xfId="16558" xr:uid="{7A3DC181-CCA7-4CF9-AEEA-6D91BBC4DCFB}"/>
    <cellStyle name="Total 10 2 2 2 2 6" xfId="17423" xr:uid="{5CDEF1E5-CFA6-4057-8CC1-0A1DFB8CAD22}"/>
    <cellStyle name="Total 10 2 2 2 2 7" xfId="18199" xr:uid="{8A8C32FC-6FBE-4BDB-810F-E4816981422C}"/>
    <cellStyle name="Total 10 2 2 2 2 8" xfId="18956" xr:uid="{64B863AD-AE4E-412F-AD49-9D91D5C98227}"/>
    <cellStyle name="Total 10 2 2 2 3" xfId="9783" xr:uid="{19B6238F-EFE5-4426-9423-0181E6DA6952}"/>
    <cellStyle name="Total 10 2 2 2 3 2" xfId="14187" xr:uid="{A11A7D4D-035E-4A19-BA61-A2EC2A06E326}"/>
    <cellStyle name="Total 10 2 2 2 3 3" xfId="15147" xr:uid="{6C1BB515-BEE2-48E6-839B-B1801789838C}"/>
    <cellStyle name="Total 10 2 2 2 3 4" xfId="16099" xr:uid="{08685209-D156-460C-B1D3-6F8BF3BB6F7A}"/>
    <cellStyle name="Total 10 2 2 2 3 5" xfId="16973" xr:uid="{DCC30819-9EBC-4198-BF3C-FD0F58D74F8B}"/>
    <cellStyle name="Total 10 2 2 2 3 6" xfId="17838" xr:uid="{765624CD-0003-42A6-9AAF-DF726B1856D6}"/>
    <cellStyle name="Total 10 2 2 2 3 7" xfId="18614" xr:uid="{C1916A69-D41C-4091-8FBE-7F70B8F2BA2D}"/>
    <cellStyle name="Total 10 2 2 2 3 8" xfId="19371" xr:uid="{E1024AB6-4467-4CAB-BAA1-781951EFB317}"/>
    <cellStyle name="Total 10 2 2 2 4" xfId="12752" xr:uid="{97B8BE69-AD3D-4F6F-A7C0-BB4FE4725E36}"/>
    <cellStyle name="Total 10 2 2 2 5" xfId="13528" xr:uid="{553F9A20-1205-4D63-906E-42E367F29CAC}"/>
    <cellStyle name="Total 10 2 2 2 6" xfId="14532" xr:uid="{D9C845D2-35C0-4035-8B7C-4B78E16D5C8E}"/>
    <cellStyle name="Total 10 2 2 2 7" xfId="15490" xr:uid="{0CF7ABCE-AE19-4C66-AFA9-4E03ED1E611F}"/>
    <cellStyle name="Total 10 2 2 2 8" xfId="16415" xr:uid="{C65E7F55-C58C-49BB-8AA8-2B20EF711BA5}"/>
    <cellStyle name="Total 10 2 2 2 9" xfId="17286" xr:uid="{61C5F9ED-ED77-4B8E-875F-9544449F9AD3}"/>
    <cellStyle name="Total 10 2 2 3" xfId="8545" xr:uid="{5FA1AA6F-575E-49C3-8788-C18BE1116C95}"/>
    <cellStyle name="Total 10 2 2 3 2" xfId="13285" xr:uid="{5D26BAB9-B527-4404-88C7-4701D08D797B}"/>
    <cellStyle name="Total 10 2 2 3 3" xfId="14305" xr:uid="{70781E50-7E0F-4A58-BA31-A5532A51B6E2}"/>
    <cellStyle name="Total 10 2 2 3 4" xfId="15265" xr:uid="{F8D1614F-D6FA-4340-9A14-884B77B68C0F}"/>
    <cellStyle name="Total 10 2 2 3 5" xfId="16214" xr:uid="{7C83BEAF-EB86-444D-8751-0BCECD673696}"/>
    <cellStyle name="Total 10 2 2 3 6" xfId="17087" xr:uid="{87A10F71-72F2-431D-895D-9CB4B7E578AF}"/>
    <cellStyle name="Total 10 2 2 3 7" xfId="17952" xr:uid="{12EC5A4D-5A35-435B-86A7-B54FDB3F1A30}"/>
    <cellStyle name="Total 10 2 2 3 8" xfId="18728" xr:uid="{82FE1612-58EF-43ED-9355-3A4DA1A49258}"/>
    <cellStyle name="Total 10 2 2 4" xfId="9555" xr:uid="{83D9360D-8505-4A44-947C-50131B62CCE7}"/>
    <cellStyle name="Total 10 2 2 4 2" xfId="13959" xr:uid="{033F8E73-CF14-491C-BB66-8CA5826CD531}"/>
    <cellStyle name="Total 10 2 2 4 3" xfId="14919" xr:uid="{8F482602-7EC0-49B5-A8A9-874033775226}"/>
    <cellStyle name="Total 10 2 2 4 4" xfId="15871" xr:uid="{AF9A5F8C-5D6E-4822-837B-84D7549B8523}"/>
    <cellStyle name="Total 10 2 2 4 5" xfId="16745" xr:uid="{05C708CE-B148-42B3-9B47-AA72A67A3472}"/>
    <cellStyle name="Total 10 2 2 4 6" xfId="17610" xr:uid="{0DF09181-1C38-434C-94BB-BFA9D4D0ACF3}"/>
    <cellStyle name="Total 10 2 2 4 7" xfId="18386" xr:uid="{38FE51A1-2F57-4F08-875F-1864664EF854}"/>
    <cellStyle name="Total 10 2 2 4 8" xfId="19143" xr:uid="{44774F44-1031-42B8-B67A-412406058AB1}"/>
    <cellStyle name="Total 10 2 2 5" xfId="12256" xr:uid="{2EAE19BE-BAA0-4626-99B7-7EF8BE2A895C}"/>
    <cellStyle name="Total 10 2 2 6" xfId="10609" xr:uid="{C482FF4B-CE0A-402C-B2C1-8E4170DD5CBE}"/>
    <cellStyle name="Total 10 2 2 7" xfId="12086" xr:uid="{8065DEFE-BADF-4751-8371-CCDD3EE0694E}"/>
    <cellStyle name="Total 10 2 2 8" xfId="10764" xr:uid="{5D5A3379-07C0-4E8B-8AB3-1EDDAEC02A2D}"/>
    <cellStyle name="Total 10 2 2 9" xfId="11650" xr:uid="{E5084F6C-18AA-492F-91FB-927E06A58F42}"/>
    <cellStyle name="Total 10 2 3" xfId="7169" xr:uid="{D1BD8D2E-607B-4975-ABBC-ABF3874FED03}"/>
    <cellStyle name="Total 10 2 3 10" xfId="11630" xr:uid="{5D9F508D-F398-4BC2-865F-D2B166A81BAC}"/>
    <cellStyle name="Total 10 2 3 2" xfId="8809" xr:uid="{F8871F37-7CBA-4CDA-9F77-DE73EA3FE18D}"/>
    <cellStyle name="Total 10 2 3 2 2" xfId="13468" xr:uid="{4E655B87-3F2B-451F-9F9A-2A52736CF4DC}"/>
    <cellStyle name="Total 10 2 3 2 3" xfId="14474" xr:uid="{1F64B3DB-8516-4D09-BCFD-C8AD13F2E23A}"/>
    <cellStyle name="Total 10 2 3 2 4" xfId="15432" xr:uid="{A6A1038D-6F7E-4FD0-BFDB-A14DB6772579}"/>
    <cellStyle name="Total 10 2 3 2 5" xfId="16358" xr:uid="{9D3203F9-AE04-48A9-A1B3-0F7EFC3D127E}"/>
    <cellStyle name="Total 10 2 3 2 6" xfId="17229" xr:uid="{4D12B480-E5FE-4F08-88A8-5EF683A14D7E}"/>
    <cellStyle name="Total 10 2 3 2 7" xfId="18076" xr:uid="{B8D10357-36A9-4B3E-A2F9-FB900EFB920F}"/>
    <cellStyle name="Total 10 2 3 2 8" xfId="18843" xr:uid="{FD4A2835-4AE0-442D-A86F-8C62D8A290E8}"/>
    <cellStyle name="Total 10 2 3 3" xfId="9670" xr:uid="{D25CF679-4B19-406C-B434-AD207032C05C}"/>
    <cellStyle name="Total 10 2 3 3 2" xfId="14074" xr:uid="{6D258C4C-1953-43B1-A7EB-1CF225B55708}"/>
    <cellStyle name="Total 10 2 3 3 3" xfId="15034" xr:uid="{3BE6A7F1-B66C-437F-8CE5-531715718D77}"/>
    <cellStyle name="Total 10 2 3 3 4" xfId="15986" xr:uid="{F26005C9-FE41-4663-9AA8-0BA99E72CDB5}"/>
    <cellStyle name="Total 10 2 3 3 5" xfId="16860" xr:uid="{E20F2205-A8E9-4F75-ABCB-4354C8103748}"/>
    <cellStyle name="Total 10 2 3 3 6" xfId="17725" xr:uid="{EFD97808-88A8-4B12-9841-25B0D61D8378}"/>
    <cellStyle name="Total 10 2 3 3 7" xfId="18501" xr:uid="{03C715A9-9074-49AD-A35C-98BDD9E65A70}"/>
    <cellStyle name="Total 10 2 3 3 8" xfId="19258" xr:uid="{139FCB9D-C7CD-4CB3-935A-7035D4543EC3}"/>
    <cellStyle name="Total 10 2 3 4" xfId="12439" xr:uid="{917CAF84-16A5-487F-B0EA-A4F7E6325FE7}"/>
    <cellStyle name="Total 10 2 3 5" xfId="10440" xr:uid="{9AFBD3C7-313F-4220-A917-F9D333D2419B}"/>
    <cellStyle name="Total 10 2 3 6" xfId="11710" xr:uid="{7B2B99CB-CEA3-41B3-BCE9-8E04615ED84B}"/>
    <cellStyle name="Total 10 2 3 7" xfId="11076" xr:uid="{94BDFE79-AE2E-48C5-938A-AC7B1F9C6F18}"/>
    <cellStyle name="Total 10 2 3 8" xfId="12057" xr:uid="{B9C15B13-1F79-4C72-9030-2B3A2519736C}"/>
    <cellStyle name="Total 10 2 3 9" xfId="10786" xr:uid="{E0DFF36A-530B-49E6-819E-D0DFAF1AD937}"/>
    <cellStyle name="Total 10 2 4" xfId="8011" xr:uid="{E641E769-4C1D-4EB9-AEA8-B403E1FC45F4}"/>
    <cellStyle name="Total 10 2 4 2" xfId="12979" xr:uid="{C5539C9F-B6CE-4D0E-A513-75FD2FEEEF1D}"/>
    <cellStyle name="Total 10 2 4 3" xfId="10012" xr:uid="{A817E4CB-4811-4343-85AC-EF9B8A59B0E7}"/>
    <cellStyle name="Total 10 2 4 4" xfId="11809" xr:uid="{A9AE2416-8AC1-452A-A4C9-C6121D0A5B9F}"/>
    <cellStyle name="Total 10 2 4 5" xfId="10996" xr:uid="{D2487258-5004-4343-B165-25680D285E70}"/>
    <cellStyle name="Total 10 2 4 6" xfId="12065" xr:uid="{85C8FB0E-6C16-4050-8658-ACB50756C835}"/>
    <cellStyle name="Total 10 2 4 7" xfId="10781" xr:uid="{7B841DE1-D83F-44D6-83C1-7AEA18B08751}"/>
    <cellStyle name="Total 10 2 4 8" xfId="11633" xr:uid="{86C7DB42-01E2-4FD3-88F4-E86C7A7A1617}"/>
    <cellStyle name="Total 10 2 5" xfId="9442" xr:uid="{5080CBDA-B58B-457A-9F13-0EF9BA946A5C}"/>
    <cellStyle name="Total 10 2 5 2" xfId="13846" xr:uid="{8A59F8A5-B305-45E6-B1C8-A44E5458F4E7}"/>
    <cellStyle name="Total 10 2 5 3" xfId="14806" xr:uid="{79943DE3-8064-41F3-8D86-3958038EC9CA}"/>
    <cellStyle name="Total 10 2 5 4" xfId="15758" xr:uid="{CFF5A01F-CECC-435F-85D2-C8910106D69C}"/>
    <cellStyle name="Total 10 2 5 5" xfId="16632" xr:uid="{81F65401-36E4-4351-ADC7-FCFE2583FE4A}"/>
    <cellStyle name="Total 10 2 5 6" xfId="17497" xr:uid="{C3219D00-F052-4AC3-A2A5-CFBB9D1975B2}"/>
    <cellStyle name="Total 10 2 5 7" xfId="18273" xr:uid="{EF48F517-8CA7-4E55-AA08-C243A7642ABD}"/>
    <cellStyle name="Total 10 2 5 8" xfId="19030" xr:uid="{F0CEBC98-A593-4013-873D-183191F37B48}"/>
    <cellStyle name="Total 10 2 6" xfId="11905" xr:uid="{B1EF6748-42B9-448D-B34A-ABA50A65DA11}"/>
    <cellStyle name="Total 10 2 7" xfId="10912" xr:uid="{D1991B64-6A71-49EE-A608-8E2CE207963C}"/>
    <cellStyle name="Total 10 2 8" xfId="11516" xr:uid="{FEAAAF86-E411-4075-A377-55B22661E2FD}"/>
    <cellStyle name="Total 10 2 9" xfId="11223" xr:uid="{A53A335A-C3DA-4BF5-B100-3614AD3278C1}"/>
    <cellStyle name="Total 10 3" xfId="6904" xr:uid="{EAD352E5-3EC2-4880-8D45-DBE192321386}"/>
    <cellStyle name="Total 10 3 10" xfId="14342" xr:uid="{FDD5DFA5-143E-4D95-B816-28E3DBDB918D}"/>
    <cellStyle name="Total 10 3 11" xfId="15302" xr:uid="{1C17C95B-7C8B-4304-974C-B608473F4B44}"/>
    <cellStyle name="Total 10 3 2" xfId="7706" xr:uid="{89F60CE8-D928-4D81-88B1-1FD103B6796D}"/>
    <cellStyle name="Total 10 3 2 10" xfId="10697" xr:uid="{5980BE66-7B92-4FF8-AB0A-B18C783A2B9F}"/>
    <cellStyle name="Total 10 3 2 2" xfId="9346" xr:uid="{50CD7D79-E47E-469E-A965-97A1414FE3E6}"/>
    <cellStyle name="Total 10 3 2 2 2" xfId="13767" xr:uid="{5D12FF51-5842-43C6-BF32-87CA0D738FC6}"/>
    <cellStyle name="Total 10 3 2 2 3" xfId="14729" xr:uid="{E82068B4-C197-459D-B310-03BC6D989EB9}"/>
    <cellStyle name="Total 10 3 2 2 4" xfId="15681" xr:uid="{FA7E05EA-2749-44D6-85FD-09E2FD846CC1}"/>
    <cellStyle name="Total 10 3 2 2 5" xfId="16559" xr:uid="{EB2C7B1E-695F-404E-B983-8EDB7CF4FDC9}"/>
    <cellStyle name="Total 10 3 2 2 6" xfId="17424" xr:uid="{78D77233-928E-4EAD-82DA-B795BDC7288D}"/>
    <cellStyle name="Total 10 3 2 2 7" xfId="18200" xr:uid="{1BED98DC-D232-46E2-831E-2352A53D6CC7}"/>
    <cellStyle name="Total 10 3 2 2 8" xfId="18957" xr:uid="{295196B2-85A3-4908-84B7-02ABF99F43BF}"/>
    <cellStyle name="Total 10 3 2 3" xfId="9784" xr:uid="{12BDD292-3BA0-451B-A854-739D4F5B37D4}"/>
    <cellStyle name="Total 10 3 2 3 2" xfId="14188" xr:uid="{AAAD5D8D-6674-4A1D-97F0-1D64B682D30D}"/>
    <cellStyle name="Total 10 3 2 3 3" xfId="15148" xr:uid="{9D9ABC4E-9761-4EF5-9FC8-C07D67008FD1}"/>
    <cellStyle name="Total 10 3 2 3 4" xfId="16100" xr:uid="{A40B5071-9729-49FB-9A0D-00F8AC0DF9E3}"/>
    <cellStyle name="Total 10 3 2 3 5" xfId="16974" xr:uid="{A1006CDB-AEB0-47C1-8B03-176367EBAEB2}"/>
    <cellStyle name="Total 10 3 2 3 6" xfId="17839" xr:uid="{82B8C9B9-5E2C-4BB5-B4F3-D383F5B89011}"/>
    <cellStyle name="Total 10 3 2 3 7" xfId="18615" xr:uid="{9FF00F02-18E6-48A8-825A-3B6D40C672F4}"/>
    <cellStyle name="Total 10 3 2 3 8" xfId="19372" xr:uid="{2506CD59-7FF9-4AB0-ACC9-30407FE2FB84}"/>
    <cellStyle name="Total 10 3 2 4" xfId="12753" xr:uid="{C707DCD9-97F5-464D-A257-41AEDC9144B6}"/>
    <cellStyle name="Total 10 3 2 5" xfId="12500" xr:uid="{11960FBA-5850-4737-A7CB-1524E513F8C3}"/>
    <cellStyle name="Total 10 3 2 6" xfId="10381" xr:uid="{58082DB7-E74E-4A65-B539-C1E28E3C53F4}"/>
    <cellStyle name="Total 10 3 2 7" xfId="13045" xr:uid="{EEB8BAD7-D141-460A-830B-72FA98542552}"/>
    <cellStyle name="Total 10 3 2 8" xfId="9957" xr:uid="{277D2E1C-E320-4D2E-8D3C-2D15D8318C86}"/>
    <cellStyle name="Total 10 3 2 9" xfId="12163" xr:uid="{1FA6CB33-A1ED-483B-8377-57DD5FB52727}"/>
    <cellStyle name="Total 10 3 3" xfId="8544" xr:uid="{458B5CF6-AC35-43D6-A802-2F01F1AB2B84}"/>
    <cellStyle name="Total 10 3 3 2" xfId="13284" xr:uid="{4D955F8F-803A-46CB-B6C2-B520EE06A127}"/>
    <cellStyle name="Total 10 3 3 3" xfId="14304" xr:uid="{3019DD43-1E2C-410B-9BA3-D76725880552}"/>
    <cellStyle name="Total 10 3 3 4" xfId="15264" xr:uid="{62BCFCB1-6157-4251-A141-CDC1FB2645BF}"/>
    <cellStyle name="Total 10 3 3 5" xfId="16213" xr:uid="{C52B03DA-FAED-4309-8A41-E2B1DAA14173}"/>
    <cellStyle name="Total 10 3 3 6" xfId="17086" xr:uid="{2C7B5A3D-BBB2-45FD-A627-6883D56CC46D}"/>
    <cellStyle name="Total 10 3 3 7" xfId="17951" xr:uid="{DA8C6254-B2F5-4410-9EED-AC01D80D1F8A}"/>
    <cellStyle name="Total 10 3 3 8" xfId="18727" xr:uid="{3D980FCF-69B2-4242-BFC9-F9D37B094DF2}"/>
    <cellStyle name="Total 10 3 4" xfId="9554" xr:uid="{1892E0F7-BBB4-45EC-A3AD-A69240DCE81C}"/>
    <cellStyle name="Total 10 3 4 2" xfId="13958" xr:uid="{51D235F9-68AC-4D97-ACBE-59AC0DF72A38}"/>
    <cellStyle name="Total 10 3 4 3" xfId="14918" xr:uid="{86AF34A4-BA7E-41F2-A103-9F8D7F0B8933}"/>
    <cellStyle name="Total 10 3 4 4" xfId="15870" xr:uid="{7DF7856C-C9C6-4ED2-8C18-8AB283DEF7F7}"/>
    <cellStyle name="Total 10 3 4 5" xfId="16744" xr:uid="{03948F9C-4A1B-4EAD-8AAA-F92C07322DBB}"/>
    <cellStyle name="Total 10 3 4 6" xfId="17609" xr:uid="{1A5BE697-94EE-4ED7-A354-FCB7E22E725E}"/>
    <cellStyle name="Total 10 3 4 7" xfId="18385" xr:uid="{6FBF6CDA-F85F-4B3F-AE8C-2F6BC3D89317}"/>
    <cellStyle name="Total 10 3 4 8" xfId="19142" xr:uid="{4894F9DE-A74F-492C-ACF5-BFD473891CAE}"/>
    <cellStyle name="Total 10 3 5" xfId="12255" xr:uid="{E783679F-B402-401B-B510-D5941D15B973}"/>
    <cellStyle name="Total 10 3 6" xfId="10610" xr:uid="{C2493F0A-A6FE-4B3B-BC5B-9B13F87DB3D7}"/>
    <cellStyle name="Total 10 3 7" xfId="13117" xr:uid="{E11530A0-C1F9-4ACC-A720-7029B64A35AD}"/>
    <cellStyle name="Total 10 3 8" xfId="9909" xr:uid="{A50451D9-E34C-4EAA-A217-6100E5483E66}"/>
    <cellStyle name="Total 10 3 9" xfId="13326" xr:uid="{A372CBEC-B652-432B-A600-A0847B5895DC}"/>
    <cellStyle name="Total 10 4" xfId="7168" xr:uid="{DC69CC41-3C87-423F-A38D-0F8AE200AE87}"/>
    <cellStyle name="Total 10 4 10" xfId="11502" xr:uid="{9F382672-DCB4-41F6-A751-20F3D6B35B80}"/>
    <cellStyle name="Total 10 4 2" xfId="8808" xr:uid="{27C2FD39-4F04-4D64-8DCD-D951D51FFE59}"/>
    <cellStyle name="Total 10 4 2 2" xfId="13467" xr:uid="{AE1CD8CC-9A6D-4807-BAE6-A8E7A597976D}"/>
    <cellStyle name="Total 10 4 2 3" xfId="14473" xr:uid="{C20556AA-1A04-42CE-B86D-5BA936921411}"/>
    <cellStyle name="Total 10 4 2 4" xfId="15431" xr:uid="{BD5A9812-780B-4ABF-BDF2-E3985298D9D3}"/>
    <cellStyle name="Total 10 4 2 5" xfId="16357" xr:uid="{B42405CE-3DF0-4AD7-B888-66E543DC730D}"/>
    <cellStyle name="Total 10 4 2 6" xfId="17228" xr:uid="{F1450C1A-DE23-4BC1-B176-1AB4A6D55367}"/>
    <cellStyle name="Total 10 4 2 7" xfId="18075" xr:uid="{50D26190-4A38-4C2B-9D45-2EB5ADFD2C94}"/>
    <cellStyle name="Total 10 4 2 8" xfId="18842" xr:uid="{3D2CD216-CB75-4976-9D25-1B83E0F9C7ED}"/>
    <cellStyle name="Total 10 4 3" xfId="9669" xr:uid="{8AFCBDC7-8872-4693-8F5B-A879DE0D6A53}"/>
    <cellStyle name="Total 10 4 3 2" xfId="14073" xr:uid="{D5B7EED1-1361-41C0-90FD-5306634F0407}"/>
    <cellStyle name="Total 10 4 3 3" xfId="15033" xr:uid="{B6FC3139-3795-46BA-B894-B755768DEE12}"/>
    <cellStyle name="Total 10 4 3 4" xfId="15985" xr:uid="{191A6475-0193-4E98-875A-7B644FC04A08}"/>
    <cellStyle name="Total 10 4 3 5" xfId="16859" xr:uid="{60FDB09F-29CE-400B-9D03-0308B9C88C53}"/>
    <cellStyle name="Total 10 4 3 6" xfId="17724" xr:uid="{8EB6D308-A259-4FCE-A96F-898297770C6A}"/>
    <cellStyle name="Total 10 4 3 7" xfId="18500" xr:uid="{E68FAB5F-5B83-41B2-B6B5-DC1AFC580ACC}"/>
    <cellStyle name="Total 10 4 3 8" xfId="19257" xr:uid="{55B06D8B-9372-4D3D-9A96-81CBDEA0E2AB}"/>
    <cellStyle name="Total 10 4 4" xfId="12438" xr:uid="{B330369C-27B6-4767-BECC-5563CBCDA1C1}"/>
    <cellStyle name="Total 10 4 5" xfId="10441" xr:uid="{6844B3D5-3538-438B-A071-70E64CCB1975}"/>
    <cellStyle name="Total 10 4 6" xfId="13143" xr:uid="{77DC28CD-D8F5-416A-A2ED-8D6C00511342}"/>
    <cellStyle name="Total 10 4 7" xfId="9887" xr:uid="{5C19BB5D-83EF-4685-A336-34727C83DCEB}"/>
    <cellStyle name="Total 10 4 8" xfId="11883" xr:uid="{00D42EC4-5D0F-4A44-8822-1A5B03256AD5}"/>
    <cellStyle name="Total 10 4 9" xfId="10930" xr:uid="{96610F31-D580-4B3D-B9F3-815748727226}"/>
    <cellStyle name="Total 10 5" xfId="8010" xr:uid="{FE483C26-F061-4135-92B9-0D9A8A43D0AC}"/>
    <cellStyle name="Total 10 5 2" xfId="12978" xr:uid="{8C0B706F-D49B-45E5-B3D0-EDD94B3FE5A3}"/>
    <cellStyle name="Total 10 5 3" xfId="10013" xr:uid="{FB198702-ED03-461A-9661-88935D98EFB1}"/>
    <cellStyle name="Total 10 5 4" xfId="9826" xr:uid="{E86D321A-FFBD-4402-9A50-DFC804E1AC22}"/>
    <cellStyle name="Total 10 5 5" xfId="11941" xr:uid="{64D54655-3FF4-4912-A0E4-42B369DFDE31}"/>
    <cellStyle name="Total 10 5 6" xfId="10876" xr:uid="{8BBC6F58-4FA5-4C9F-8AE1-D743DD9A84F2}"/>
    <cellStyle name="Total 10 5 7" xfId="11547" xr:uid="{7142A856-842B-4F44-94F5-8EC8BEE7331B}"/>
    <cellStyle name="Total 10 5 8" xfId="11192" xr:uid="{4F430C83-E1AA-4993-90D6-DC6691A505D6}"/>
    <cellStyle name="Total 10 6" xfId="9441" xr:uid="{D12FFA89-D65D-4E4F-8199-A5578CA7F0A0}"/>
    <cellStyle name="Total 10 6 2" xfId="13845" xr:uid="{BC110395-F411-4F9E-92A3-FFB6F18F91F5}"/>
    <cellStyle name="Total 10 6 3" xfId="14805" xr:uid="{28EB04BB-0C4F-4A97-AAA3-4D57C283CB68}"/>
    <cellStyle name="Total 10 6 4" xfId="15757" xr:uid="{5D716DBF-1EC8-4148-8FBD-80C876ABB0D7}"/>
    <cellStyle name="Total 10 6 5" xfId="16631" xr:uid="{C2EC2EFC-02C3-4AEA-A6E9-23E1D631FFB8}"/>
    <cellStyle name="Total 10 6 6" xfId="17496" xr:uid="{E8C735EE-39A3-40AB-80DD-33619C5A9C7E}"/>
    <cellStyle name="Total 10 6 7" xfId="18272" xr:uid="{AB941EAF-6F71-4FC7-A5C9-DB19E0394B0A}"/>
    <cellStyle name="Total 10 6 8" xfId="19029" xr:uid="{F41BC613-B1C1-40A6-8B89-E7A3A6AB2841}"/>
    <cellStyle name="Total 10 7" xfId="11904" xr:uid="{6CDE7346-33EC-4398-8225-A05A62A3582A}"/>
    <cellStyle name="Total 10 8" xfId="10913" xr:uid="{E413998B-50D9-47EB-B8A2-BC571021973A}"/>
    <cellStyle name="Total 10 9" xfId="11515" xr:uid="{5CC6CD9A-216E-4730-93DC-5878EF4B837E}"/>
    <cellStyle name="Total 11" xfId="6282" xr:uid="{2BBD81EC-082F-474A-9351-5D2AFD3285A9}"/>
    <cellStyle name="Total 11 10" xfId="11222" xr:uid="{CE853C8A-7168-45C4-B6C3-CB19BC01559E}"/>
    <cellStyle name="Total 11 11" xfId="12532" xr:uid="{CE20662D-F086-4C38-9F65-907B810E1BCE}"/>
    <cellStyle name="Total 11 12" xfId="10351" xr:uid="{2AC361FA-B545-4352-95B0-6FB71E6DEE0A}"/>
    <cellStyle name="Total 11 13" xfId="13414" xr:uid="{68DB18C8-9065-48F5-A436-0A4C28145F2E}"/>
    <cellStyle name="Total 11 2" xfId="6283" xr:uid="{804A857F-4F0E-421F-82CB-5277D1E37213}"/>
    <cellStyle name="Total 11 2 10" xfId="13561" xr:uid="{9CCABB0C-479B-4031-B270-449C600BB775}"/>
    <cellStyle name="Total 11 2 11" xfId="14562" xr:uid="{A6661AA7-630B-4C42-A6A1-38F4ED8E3CAE}"/>
    <cellStyle name="Total 11 2 12" xfId="15520" xr:uid="{36BBC5C6-C3FB-4482-8658-D1CAB2A4BC82}"/>
    <cellStyle name="Total 11 2 2" xfId="6907" xr:uid="{41316358-ACAB-42DA-B1DF-6B62288A2BEB}"/>
    <cellStyle name="Total 11 2 2 10" xfId="16453" xr:uid="{867102A6-2B4A-4703-A193-850FA5E1C6CF}"/>
    <cellStyle name="Total 11 2 2 11" xfId="17324" xr:uid="{3CA2675F-12FF-4439-A7BD-A4A4E92BC621}"/>
    <cellStyle name="Total 11 2 2 2" xfId="7707" xr:uid="{0D14BAFF-0D8F-4853-9CBE-53381762CA32}"/>
    <cellStyle name="Total 11 2 2 2 10" xfId="11294" xr:uid="{17AC6C00-2F45-40A5-AD5A-9460BA9D0D62}"/>
    <cellStyle name="Total 11 2 2 2 2" xfId="9347" xr:uid="{CC563E75-D534-4CA5-8472-6F38ABE4BE06}"/>
    <cellStyle name="Total 11 2 2 2 2 2" xfId="13768" xr:uid="{0CB7079A-DF73-4AF7-AA97-18CE6D373352}"/>
    <cellStyle name="Total 11 2 2 2 2 3" xfId="14730" xr:uid="{BF3F3461-914B-49EF-929A-A59AA05772CF}"/>
    <cellStyle name="Total 11 2 2 2 2 4" xfId="15682" xr:uid="{8C59DCE2-6D29-4285-9F17-2BEEEA2131D9}"/>
    <cellStyle name="Total 11 2 2 2 2 5" xfId="16560" xr:uid="{7176981F-02AB-4CE9-BE03-B14FB8BC0A5B}"/>
    <cellStyle name="Total 11 2 2 2 2 6" xfId="17425" xr:uid="{E1253463-7AED-4DBB-84A9-213767685438}"/>
    <cellStyle name="Total 11 2 2 2 2 7" xfId="18201" xr:uid="{5CD0F87E-56C7-4878-95D9-ABC1113BAA4C}"/>
    <cellStyle name="Total 11 2 2 2 2 8" xfId="18958" xr:uid="{95C461E7-5461-443A-BE87-E3122A89FED3}"/>
    <cellStyle name="Total 11 2 2 2 3" xfId="9785" xr:uid="{1B4A1447-D304-4079-B00E-D60B9A005AA7}"/>
    <cellStyle name="Total 11 2 2 2 3 2" xfId="14189" xr:uid="{DF70A444-C27B-413B-92D8-7C1E051574B6}"/>
    <cellStyle name="Total 11 2 2 2 3 3" xfId="15149" xr:uid="{E05356AC-6042-4AAA-81D7-7DD10C7255F1}"/>
    <cellStyle name="Total 11 2 2 2 3 4" xfId="16101" xr:uid="{A8E18926-11A4-4E40-9D28-9D917A9884E9}"/>
    <cellStyle name="Total 11 2 2 2 3 5" xfId="16975" xr:uid="{727E0D6E-2C68-4DA5-9C89-890D95A6A59A}"/>
    <cellStyle name="Total 11 2 2 2 3 6" xfId="17840" xr:uid="{86CC3C0C-4903-48CA-93EC-B9EE92DF3177}"/>
    <cellStyle name="Total 11 2 2 2 3 7" xfId="18616" xr:uid="{C6F2C5BF-AA66-43E7-8069-D6B5CBD95BE6}"/>
    <cellStyle name="Total 11 2 2 2 3 8" xfId="19373" xr:uid="{271CD35E-678A-4BD6-A54C-9E5D665E722E}"/>
    <cellStyle name="Total 11 2 2 2 4" xfId="12754" xr:uid="{EABB048B-C624-4FF2-B6BA-FE060BE90FB1}"/>
    <cellStyle name="Total 11 2 2 2 5" xfId="12033" xr:uid="{5A2F1D5A-FA01-4775-B601-7BC85144129F}"/>
    <cellStyle name="Total 11 2 2 2 6" xfId="10801" xr:uid="{8A0764DE-6D7C-417A-AE70-C22CAA629C77}"/>
    <cellStyle name="Total 11 2 2 2 7" xfId="11617" xr:uid="{3999F05D-7E33-4E8E-8E7C-67DC81DCC200}"/>
    <cellStyle name="Total 11 2 2 2 8" xfId="11142" xr:uid="{A51D013C-C2C9-4640-B2DF-BCD8F88599BC}"/>
    <cellStyle name="Total 11 2 2 2 9" xfId="11433" xr:uid="{256E1EB0-3695-4A2F-8B42-B5930A08E7E1}"/>
    <cellStyle name="Total 11 2 2 3" xfId="8547" xr:uid="{AFC648FF-678D-44C6-96B3-E084A095660C}"/>
    <cellStyle name="Total 11 2 2 3 2" xfId="13287" xr:uid="{9FEAB297-D3F6-402D-85FA-A3AA22F52DE7}"/>
    <cellStyle name="Total 11 2 2 3 3" xfId="14307" xr:uid="{510F802E-BE31-466B-BC11-B0B88D41322D}"/>
    <cellStyle name="Total 11 2 2 3 4" xfId="15267" xr:uid="{6A8FE930-7CF7-4D0C-82A5-3C98D1CFCE3A}"/>
    <cellStyle name="Total 11 2 2 3 5" xfId="16216" xr:uid="{CA711CA8-2DCF-4B09-B8FC-2066E02DEB5E}"/>
    <cellStyle name="Total 11 2 2 3 6" xfId="17089" xr:uid="{D7CC5579-6741-491C-91E1-F791158BD628}"/>
    <cellStyle name="Total 11 2 2 3 7" xfId="17954" xr:uid="{416066A4-8320-45EA-B162-D488E32BA18F}"/>
    <cellStyle name="Total 11 2 2 3 8" xfId="18730" xr:uid="{123B020B-4A85-4FCB-9182-7C483BC466EE}"/>
    <cellStyle name="Total 11 2 2 4" xfId="9557" xr:uid="{4066C8B8-F407-4C5B-A5EB-005B170DC70F}"/>
    <cellStyle name="Total 11 2 2 4 2" xfId="13961" xr:uid="{E3934084-73BB-48C7-80C4-40D4C18D6FA5}"/>
    <cellStyle name="Total 11 2 2 4 3" xfId="14921" xr:uid="{6B1C86E3-6700-4A2D-B0A4-78E1258CE07F}"/>
    <cellStyle name="Total 11 2 2 4 4" xfId="15873" xr:uid="{CCFD0191-DDE8-4970-8C59-A5DE56168001}"/>
    <cellStyle name="Total 11 2 2 4 5" xfId="16747" xr:uid="{325DB8CE-8886-4AB5-BC66-C5C11E878D52}"/>
    <cellStyle name="Total 11 2 2 4 6" xfId="17612" xr:uid="{B0733E93-4DF2-42A0-B946-909C7D7EDC69}"/>
    <cellStyle name="Total 11 2 2 4 7" xfId="18388" xr:uid="{4BDDEA5E-9548-475B-825F-A6A35DF05331}"/>
    <cellStyle name="Total 11 2 2 4 8" xfId="19145" xr:uid="{54E8A8B8-4D49-4B74-8122-21E6763DD355}"/>
    <cellStyle name="Total 11 2 2 5" xfId="12258" xr:uid="{832D5A7C-415E-4A0B-9457-1461658DC05B}"/>
    <cellStyle name="Total 11 2 2 6" xfId="10607" xr:uid="{5ECEBCD0-9631-4781-A124-599B8D346484}"/>
    <cellStyle name="Total 11 2 2 7" xfId="13623" xr:uid="{5FCF3696-AD28-4D7D-AA73-2CF606E7AB81}"/>
    <cellStyle name="Total 11 2 2 8" xfId="14601" xr:uid="{837BFBD2-A1B8-41AC-968E-BD8E208AAE0D}"/>
    <cellStyle name="Total 11 2 2 9" xfId="15554" xr:uid="{6E18411E-ADD5-419F-98F1-0ECBD6C0FFC1}"/>
    <cellStyle name="Total 11 2 3" xfId="7171" xr:uid="{839B2BCE-97F5-411A-9F88-05EB028B63CB}"/>
    <cellStyle name="Total 11 2 3 10" xfId="15528" xr:uid="{F87E79D9-5516-478A-82D7-5821360FC000}"/>
    <cellStyle name="Total 11 2 3 2" xfId="8811" xr:uid="{66FB266A-33E6-4008-978D-745C6F1F3BEA}"/>
    <cellStyle name="Total 11 2 3 2 2" xfId="13470" xr:uid="{8B22F6FD-D277-43CA-AE93-38E7EF0B275F}"/>
    <cellStyle name="Total 11 2 3 2 3" xfId="14476" xr:uid="{9EB3E892-B3C8-499F-8D5F-8D5A7416D1CA}"/>
    <cellStyle name="Total 11 2 3 2 4" xfId="15434" xr:uid="{3B125E51-110C-41CC-8426-0B259369E3FA}"/>
    <cellStyle name="Total 11 2 3 2 5" xfId="16360" xr:uid="{D411A742-39D2-4701-ADF3-A70E7E101695}"/>
    <cellStyle name="Total 11 2 3 2 6" xfId="17231" xr:uid="{E115323F-0934-42E5-B165-58A264E47A80}"/>
    <cellStyle name="Total 11 2 3 2 7" xfId="18078" xr:uid="{AD4F41BE-C412-41DE-932A-C35334C1D00D}"/>
    <cellStyle name="Total 11 2 3 2 8" xfId="18845" xr:uid="{2F3FE918-D764-4AFB-AA29-9445080EE87E}"/>
    <cellStyle name="Total 11 2 3 3" xfId="9672" xr:uid="{50A5EB34-3D37-496F-8B07-DBA7152FC775}"/>
    <cellStyle name="Total 11 2 3 3 2" xfId="14076" xr:uid="{7C376770-C9DC-41EC-8646-C20E7A55530C}"/>
    <cellStyle name="Total 11 2 3 3 3" xfId="15036" xr:uid="{908D01D2-3142-4C2B-93F6-2FCEB90D1ABE}"/>
    <cellStyle name="Total 11 2 3 3 4" xfId="15988" xr:uid="{D487A318-4BD1-4B4F-8046-0433C847207B}"/>
    <cellStyle name="Total 11 2 3 3 5" xfId="16862" xr:uid="{7153E057-866E-4C9F-B26B-9BCE5CAE1D17}"/>
    <cellStyle name="Total 11 2 3 3 6" xfId="17727" xr:uid="{8A3DC85A-C500-4687-832B-F265DD450D24}"/>
    <cellStyle name="Total 11 2 3 3 7" xfId="18503" xr:uid="{E5C41F21-67D4-46DE-8B89-8B61DE6D1D4C}"/>
    <cellStyle name="Total 11 2 3 3 8" xfId="19260" xr:uid="{C92E940A-50C8-4837-8053-934CB5D4EE6F}"/>
    <cellStyle name="Total 11 2 3 4" xfId="12441" xr:uid="{1E35C11B-C5D2-45FA-8304-4D3EB0E7E6A1}"/>
    <cellStyle name="Total 11 2 3 5" xfId="10438" xr:uid="{BE049CC8-BE82-4A79-8753-599234E75600}"/>
    <cellStyle name="Total 11 2 3 6" xfId="11712" xr:uid="{4816482F-2253-488C-832E-E25F8B555332}"/>
    <cellStyle name="Total 11 2 3 7" xfId="11074" xr:uid="{90281878-128B-4D69-B0EE-DE0B718F9924}"/>
    <cellStyle name="Total 11 2 3 8" xfId="13583" xr:uid="{7DD8BC0E-75D8-4EF5-883B-0E8B6E45F379}"/>
    <cellStyle name="Total 11 2 3 9" xfId="14571" xr:uid="{00BC7DB8-4FE2-4F05-B80F-D23AC6BF5354}"/>
    <cellStyle name="Total 11 2 4" xfId="8013" xr:uid="{EA6D7DB5-ECB4-480E-81BF-E0EFCE42698D}"/>
    <cellStyle name="Total 11 2 4 2" xfId="12981" xr:uid="{78C4F1FB-E732-4189-886D-20E688629241}"/>
    <cellStyle name="Total 11 2 4 3" xfId="10010" xr:uid="{13D16E8F-A64E-4F1A-8ADA-24B22F305E8B}"/>
    <cellStyle name="Total 11 2 4 4" xfId="12693" xr:uid="{4DF84468-90EB-4E2D-BD13-58DE794946A6}"/>
    <cellStyle name="Total 11 2 4 5" xfId="10228" xr:uid="{F77DDB5E-A3E8-4981-920C-99C0A63901B5}"/>
    <cellStyle name="Total 11 2 4 6" xfId="12128" xr:uid="{3F199046-7FD8-49B5-85A0-AA8FDC0EC4AD}"/>
    <cellStyle name="Total 11 2 4 7" xfId="10727" xr:uid="{E0C2BEB2-7C58-4DE3-BA9A-5427EFFAC95D}"/>
    <cellStyle name="Total 11 2 4 8" xfId="12583" xr:uid="{289AD072-677C-44AB-BCAC-8F8619517A08}"/>
    <cellStyle name="Total 11 2 5" xfId="9444" xr:uid="{E8E64275-B239-41B0-89E5-0C3F56D53757}"/>
    <cellStyle name="Total 11 2 5 2" xfId="13848" xr:uid="{95D8B740-2BBB-4C8E-927F-73B001814EC0}"/>
    <cellStyle name="Total 11 2 5 3" xfId="14808" xr:uid="{43EF2A76-CDF4-4A42-AD67-F6F88666D332}"/>
    <cellStyle name="Total 11 2 5 4" xfId="15760" xr:uid="{15C1CEB0-E952-4FDC-9BF3-B9F63486240D}"/>
    <cellStyle name="Total 11 2 5 5" xfId="16634" xr:uid="{5385E436-7306-4C30-B1DC-7DF3410D2826}"/>
    <cellStyle name="Total 11 2 5 6" xfId="17499" xr:uid="{6C235BF8-4704-458C-878B-FC7D37267B0D}"/>
    <cellStyle name="Total 11 2 5 7" xfId="18275" xr:uid="{8ABEB5EA-EB17-40EE-A8B2-67E73BB9952E}"/>
    <cellStyle name="Total 11 2 5 8" xfId="19032" xr:uid="{383E9264-6936-4FA7-AA82-E6E8739B9927}"/>
    <cellStyle name="Total 11 2 6" xfId="11907" xr:uid="{C424D1CE-DF73-44CB-9840-12E431EE640D}"/>
    <cellStyle name="Total 11 2 7" xfId="10910" xr:uid="{08E8BD17-3C97-4640-B81A-1A19BE686C26}"/>
    <cellStyle name="Total 11 2 8" xfId="11518" xr:uid="{E3D70C49-40E7-4E47-B52E-1C3E009514E1}"/>
    <cellStyle name="Total 11 2 9" xfId="11221" xr:uid="{D4403368-B74D-4463-82AD-5DCC46380AB7}"/>
    <cellStyle name="Total 11 3" xfId="6906" xr:uid="{185D5C0F-4863-4D9B-8B51-E6ABFA3844D3}"/>
    <cellStyle name="Total 11 3 10" xfId="11038" xr:uid="{98945992-7BD1-432C-B24F-0DADAF3DEAEE}"/>
    <cellStyle name="Total 11 3 11" xfId="13590" xr:uid="{F3081DE9-BA66-4CD4-A942-043A5E877DDA}"/>
    <cellStyle name="Total 11 3 2" xfId="7708" xr:uid="{C394334B-F17E-487E-9A78-76181837E630}"/>
    <cellStyle name="Total 11 3 2 10" xfId="13573" xr:uid="{F794BF1E-A7F4-406A-9556-C6C262F46F5D}"/>
    <cellStyle name="Total 11 3 2 2" xfId="9348" xr:uid="{6835A7DA-2A35-42A4-A911-C89498BDEC85}"/>
    <cellStyle name="Total 11 3 2 2 2" xfId="13769" xr:uid="{5C763F3C-6131-4333-A6EB-0BD293072905}"/>
    <cellStyle name="Total 11 3 2 2 3" xfId="14731" xr:uid="{262DFFF8-B12F-4FB8-B113-38DBC5926178}"/>
    <cellStyle name="Total 11 3 2 2 4" xfId="15683" xr:uid="{56A24D8A-077B-4672-A4B3-F9D8D46D93B1}"/>
    <cellStyle name="Total 11 3 2 2 5" xfId="16561" xr:uid="{9A117A55-2FFE-4DA7-B943-4111E28669B7}"/>
    <cellStyle name="Total 11 3 2 2 6" xfId="17426" xr:uid="{AD99E44B-BA88-4760-88A8-5E6002E277FA}"/>
    <cellStyle name="Total 11 3 2 2 7" xfId="18202" xr:uid="{B29ABA95-E5EE-495F-8ABF-EF81BDE6FD6F}"/>
    <cellStyle name="Total 11 3 2 2 8" xfId="18959" xr:uid="{3C0E7CBC-7862-4EC9-8C0D-C7488B3F4B7E}"/>
    <cellStyle name="Total 11 3 2 3" xfId="9786" xr:uid="{18DEEEF0-1945-4311-8516-84FB19103280}"/>
    <cellStyle name="Total 11 3 2 3 2" xfId="14190" xr:uid="{ADACA9E7-3AB1-41AC-B1F8-0076A73778E0}"/>
    <cellStyle name="Total 11 3 2 3 3" xfId="15150" xr:uid="{B6618D66-891C-47BB-BBB2-1A4D8E27DFE5}"/>
    <cellStyle name="Total 11 3 2 3 4" xfId="16102" xr:uid="{CDCCFFAD-A028-4618-A27A-F937649804A5}"/>
    <cellStyle name="Total 11 3 2 3 5" xfId="16976" xr:uid="{E1C506ED-335B-47B2-A936-A1DAF725F0A3}"/>
    <cellStyle name="Total 11 3 2 3 6" xfId="17841" xr:uid="{2810B133-329D-4141-B269-C783F0A24E8D}"/>
    <cellStyle name="Total 11 3 2 3 7" xfId="18617" xr:uid="{98981215-FF50-4E15-8E26-910096B38D75}"/>
    <cellStyle name="Total 11 3 2 3 8" xfId="19374" xr:uid="{867B5ACC-42BC-42BE-8F39-5055617C5FD4}"/>
    <cellStyle name="Total 11 3 2 4" xfId="12755" xr:uid="{CD46686D-AEBA-45CE-803A-41B24FBC510B}"/>
    <cellStyle name="Total 11 3 2 5" xfId="10215" xr:uid="{1EB7690F-F4E0-44AD-9612-AE0A46783E0F}"/>
    <cellStyle name="Total 11 3 2 6" xfId="12024" xr:uid="{6D221DB7-B71D-4EF0-94A8-3AEB04B93FBE}"/>
    <cellStyle name="Total 11 3 2 7" xfId="10810" xr:uid="{B2FF68D4-28A9-4D2E-81F7-BF843931B5CF}"/>
    <cellStyle name="Total 11 3 2 8" xfId="11609" xr:uid="{215B5DB9-8933-41BC-8AA1-7FCC91EF3857}"/>
    <cellStyle name="Total 11 3 2 9" xfId="11150" xr:uid="{34CD7BD3-7CFC-4913-AD15-0B469F127E7A}"/>
    <cellStyle name="Total 11 3 3" xfId="8546" xr:uid="{2C7D5BFA-C3C8-46E3-957F-1885FB850323}"/>
    <cellStyle name="Total 11 3 3 2" xfId="13286" xr:uid="{2CE4C47F-81A3-4084-B26E-DFE6CA4ABABF}"/>
    <cellStyle name="Total 11 3 3 3" xfId="14306" xr:uid="{3F2C401C-9592-4D21-8EA2-7FE49047F448}"/>
    <cellStyle name="Total 11 3 3 4" xfId="15266" xr:uid="{1AD1EB60-4EFF-4AC0-BD58-264952B1D024}"/>
    <cellStyle name="Total 11 3 3 5" xfId="16215" xr:uid="{85CF3811-C963-44E2-AB62-3506F4581772}"/>
    <cellStyle name="Total 11 3 3 6" xfId="17088" xr:uid="{8D03A7B6-1287-498E-BEE5-378377325319}"/>
    <cellStyle name="Total 11 3 3 7" xfId="17953" xr:uid="{83A95B6E-71F7-4D8E-9CA7-2C16A9289E5B}"/>
    <cellStyle name="Total 11 3 3 8" xfId="18729" xr:uid="{1795481B-B61C-41F6-A075-58B3D683FE60}"/>
    <cellStyle name="Total 11 3 4" xfId="9556" xr:uid="{7FC33075-07A8-4870-9D7A-B03E37502AF1}"/>
    <cellStyle name="Total 11 3 4 2" xfId="13960" xr:uid="{F4FA9372-DCD3-4DF3-90EA-FF658FBF36E9}"/>
    <cellStyle name="Total 11 3 4 3" xfId="14920" xr:uid="{8A589663-9BE7-4A23-A11F-D165A587F95E}"/>
    <cellStyle name="Total 11 3 4 4" xfId="15872" xr:uid="{E75651B4-5BE0-48B8-9624-69D69D13364A}"/>
    <cellStyle name="Total 11 3 4 5" xfId="16746" xr:uid="{5F6D9651-4C49-4671-A701-9629F02AF318}"/>
    <cellStyle name="Total 11 3 4 6" xfId="17611" xr:uid="{E21E090E-19E8-4A43-BDEB-6DCB4FF4A594}"/>
    <cellStyle name="Total 11 3 4 7" xfId="18387" xr:uid="{527024B7-7068-4224-85C9-8E8ABB7B7C30}"/>
    <cellStyle name="Total 11 3 4 8" xfId="19144" xr:uid="{90755AB5-8381-4893-81F5-1E9E216D8771}"/>
    <cellStyle name="Total 11 3 5" xfId="12257" xr:uid="{B0429AF2-F1C6-4AD5-8A76-BF1BD1481659}"/>
    <cellStyle name="Total 11 3 6" xfId="10608" xr:uid="{DBA920E5-F9C3-43E3-91F1-21090C1A09CE}"/>
    <cellStyle name="Total 11 3 7" xfId="12601" xr:uid="{A059C40A-DB2A-4574-99D2-D476E10F6E59}"/>
    <cellStyle name="Total 11 3 8" xfId="10303" xr:uid="{3287B7B9-053A-4AFF-9D8A-514D46448E39}"/>
    <cellStyle name="Total 11 3 9" xfId="11759" xr:uid="{1B4E24EC-50C6-43CE-8C9F-BA675CAAD453}"/>
    <cellStyle name="Total 11 4" xfId="7170" xr:uid="{99936D4D-B984-449C-8485-C5F7B8B3D761}"/>
    <cellStyle name="Total 11 4 10" xfId="12122" xr:uid="{66FEDFE0-E379-4D31-A504-F9608B31551A}"/>
    <cellStyle name="Total 11 4 2" xfId="8810" xr:uid="{A52EC905-E417-48DE-87B0-E95BBEF2D4B0}"/>
    <cellStyle name="Total 11 4 2 2" xfId="13469" xr:uid="{63D83744-383F-4FE2-907F-723A8C5C4E9F}"/>
    <cellStyle name="Total 11 4 2 3" xfId="14475" xr:uid="{F7DED24C-2559-47E3-AEDE-1A062CE123EC}"/>
    <cellStyle name="Total 11 4 2 4" xfId="15433" xr:uid="{0759484F-D111-4359-841A-F1C0BEEF1943}"/>
    <cellStyle name="Total 11 4 2 5" xfId="16359" xr:uid="{6B2DC9C9-E227-4A9E-863C-43794AB89AD9}"/>
    <cellStyle name="Total 11 4 2 6" xfId="17230" xr:uid="{9293F2DD-9BCE-4A78-8F34-C2FDBBF34781}"/>
    <cellStyle name="Total 11 4 2 7" xfId="18077" xr:uid="{71446549-11F2-4108-ABA7-1F3EEEF0D41B}"/>
    <cellStyle name="Total 11 4 2 8" xfId="18844" xr:uid="{07175400-0045-4C81-8570-190E60A7F746}"/>
    <cellStyle name="Total 11 4 3" xfId="9671" xr:uid="{D43F0263-D85F-421F-9EB2-82D5DE10AADD}"/>
    <cellStyle name="Total 11 4 3 2" xfId="14075" xr:uid="{ECEDBEC8-A624-4346-A5B6-E0BAA28F02C3}"/>
    <cellStyle name="Total 11 4 3 3" xfId="15035" xr:uid="{18D4BF03-FD5E-4499-904E-5A87CF1E4193}"/>
    <cellStyle name="Total 11 4 3 4" xfId="15987" xr:uid="{CE5D5253-D132-46F2-B2CA-88799EF53970}"/>
    <cellStyle name="Total 11 4 3 5" xfId="16861" xr:uid="{E559B374-B595-4F02-AE12-EFDAAF6B423A}"/>
    <cellStyle name="Total 11 4 3 6" xfId="17726" xr:uid="{61655FB1-5D21-4EAD-9191-846DBC2D8D5B}"/>
    <cellStyle name="Total 11 4 3 7" xfId="18502" xr:uid="{DEBC5E6D-B619-483D-B720-7FF536663D5A}"/>
    <cellStyle name="Total 11 4 3 8" xfId="19259" xr:uid="{CAC5D630-99B0-412B-976A-337C32242DA9}"/>
    <cellStyle name="Total 11 4 4" xfId="12440" xr:uid="{9BCD6F4C-B84B-414D-954B-F0965909B721}"/>
    <cellStyle name="Total 11 4 5" xfId="10439" xr:uid="{1A1EF48F-544C-4A66-9A44-FC3EBA624C94}"/>
    <cellStyle name="Total 11 4 6" xfId="11711" xr:uid="{11F2F02A-1FFD-44C7-8BD7-C691349BFEC4}"/>
    <cellStyle name="Total 11 4 7" xfId="11075" xr:uid="{4A27A963-AD97-41CF-89D0-5C9091162D81}"/>
    <cellStyle name="Total 11 4 8" xfId="12558" xr:uid="{52076F90-9F78-421D-83E9-FA6C2ACBA062}"/>
    <cellStyle name="Total 11 4 9" xfId="10337" xr:uid="{D82E383D-10C9-4C1B-9372-16D0B360AB25}"/>
    <cellStyle name="Total 11 5" xfId="8012" xr:uid="{3C36D06A-DF55-4E14-95EE-0B745584BB68}"/>
    <cellStyle name="Total 11 5 2" xfId="12980" xr:uid="{2B8C98D1-B8EE-4EDD-B969-33DC373E3D84}"/>
    <cellStyle name="Total 11 5 3" xfId="10011" xr:uid="{15E6C3AB-9CE3-4CEC-92BF-8FEDB6C91684}"/>
    <cellStyle name="Total 11 5 4" xfId="12160" xr:uid="{EB1C68D0-9248-427C-9D06-33F5444B9ACE}"/>
    <cellStyle name="Total 11 5 5" xfId="10700" xr:uid="{63315377-A866-4B64-B57E-59230D3501FF}"/>
    <cellStyle name="Total 11 5 6" xfId="11669" xr:uid="{DF44AB99-F630-4A9C-AAD9-BE2C969FE27C}"/>
    <cellStyle name="Total 11 5 7" xfId="11111" xr:uid="{C51DD150-DE21-4586-90A9-B573DCBC0328}"/>
    <cellStyle name="Total 11 5 8" xfId="13579" xr:uid="{26173E84-4E25-4995-A5EF-132D413A7211}"/>
    <cellStyle name="Total 11 6" xfId="9443" xr:uid="{3430B481-8922-4083-81CE-A344F117751C}"/>
    <cellStyle name="Total 11 6 2" xfId="13847" xr:uid="{05671120-5B30-4B4D-A8C7-7231BBE6A15F}"/>
    <cellStyle name="Total 11 6 3" xfId="14807" xr:uid="{1B0A54CA-DC2A-4895-B10C-AA3574E20A80}"/>
    <cellStyle name="Total 11 6 4" xfId="15759" xr:uid="{DBEA2434-A367-41CA-AC52-4A824DA91E81}"/>
    <cellStyle name="Total 11 6 5" xfId="16633" xr:uid="{807CAA2D-7695-49F6-8388-B825C305C463}"/>
    <cellStyle name="Total 11 6 6" xfId="17498" xr:uid="{4F0FEBCD-5384-4170-AA65-1EEE5CB1D644}"/>
    <cellStyle name="Total 11 6 7" xfId="18274" xr:uid="{7ACF683E-3885-41E3-B3DD-AB90877E0C79}"/>
    <cellStyle name="Total 11 6 8" xfId="19031" xr:uid="{76EC8024-1B29-4516-938A-38E12F279FBA}"/>
    <cellStyle name="Total 11 7" xfId="11906" xr:uid="{A674D1F3-A9F6-4B46-BDFD-01A4B840EC2E}"/>
    <cellStyle name="Total 11 8" xfId="10911" xr:uid="{D50BDAB7-B507-4E9E-BA41-E57886E84A6F}"/>
    <cellStyle name="Total 11 9" xfId="11517" xr:uid="{48B030DE-E377-474C-9343-6511C00BA397}"/>
    <cellStyle name="Total 12" xfId="6284" xr:uid="{271B7000-FDC1-4DDC-A4CB-C82DAF554CCB}"/>
    <cellStyle name="Total 12 10" xfId="11220" xr:uid="{0A296F01-2151-4364-AF3C-DAABF50677B5}"/>
    <cellStyle name="Total 12 11" xfId="13080" xr:uid="{347D485C-BE69-4C83-827B-A96D71BB08B0}"/>
    <cellStyle name="Total 12 12" xfId="9929" xr:uid="{8B5D8120-36D1-4F9B-94C3-4846F39BF3F8}"/>
    <cellStyle name="Total 12 13" xfId="13722" xr:uid="{BCA3609D-02CF-4CD8-84A9-B3B1CA5C3E30}"/>
    <cellStyle name="Total 12 2" xfId="6285" xr:uid="{F5571898-900E-43E3-908B-23918C5E33D9}"/>
    <cellStyle name="Total 12 2 10" xfId="11960" xr:uid="{D52803A5-9C4C-4419-B870-1C7785897149}"/>
    <cellStyle name="Total 12 2 11" xfId="10862" xr:uid="{2B478F31-9614-4C33-A2D6-3B90D22A9D8A}"/>
    <cellStyle name="Total 12 2 12" xfId="11560" xr:uid="{CCF090B4-73D8-4E46-9CA3-611AC8EC3566}"/>
    <cellStyle name="Total 12 2 2" xfId="6909" xr:uid="{C7EE9928-CD8C-435E-809A-D0EBE004B502}"/>
    <cellStyle name="Total 12 2 2 10" xfId="11126" xr:uid="{C7FE2001-3E6D-436A-BAF6-DCFD8E40FCBB}"/>
    <cellStyle name="Total 12 2 2 11" xfId="13023" xr:uid="{96CE5FEF-BDE4-4564-BDD4-C43EC8B79322}"/>
    <cellStyle name="Total 12 2 2 2" xfId="7709" xr:uid="{B38D2550-B2EF-4654-9987-BC64D2373DA8}"/>
    <cellStyle name="Total 12 2 2 2 10" xfId="11205" xr:uid="{2037E7F8-D0F0-417C-AA0F-4F257ED190CC}"/>
    <cellStyle name="Total 12 2 2 2 2" xfId="9349" xr:uid="{2C12B2DE-D9B6-4B84-958C-0A5C5872FDD8}"/>
    <cellStyle name="Total 12 2 2 2 2 2" xfId="13770" xr:uid="{479EDA6C-CD2F-4779-ACAC-AC753A8341EC}"/>
    <cellStyle name="Total 12 2 2 2 2 3" xfId="14732" xr:uid="{D5534EF0-9050-4B62-AB40-B6B9E54EEA7F}"/>
    <cellStyle name="Total 12 2 2 2 2 4" xfId="15684" xr:uid="{1E770F6C-92E9-4ACC-B68D-6C6788CE5F87}"/>
    <cellStyle name="Total 12 2 2 2 2 5" xfId="16562" xr:uid="{7C062865-C3BA-4284-9661-FC1198E202D6}"/>
    <cellStyle name="Total 12 2 2 2 2 6" xfId="17427" xr:uid="{B0B6ADC7-CC2E-4554-A838-7BC621612F95}"/>
    <cellStyle name="Total 12 2 2 2 2 7" xfId="18203" xr:uid="{FF31C31E-8C97-4122-9F33-B6FF91ED4C32}"/>
    <cellStyle name="Total 12 2 2 2 2 8" xfId="18960" xr:uid="{D679D379-2D95-4061-9026-FAC0B0A9A159}"/>
    <cellStyle name="Total 12 2 2 2 3" xfId="9787" xr:uid="{A6A0A601-BA70-46E7-B66B-5C7FD582AD82}"/>
    <cellStyle name="Total 12 2 2 2 3 2" xfId="14191" xr:uid="{AF725527-0A01-4CCF-97A1-911039D1D941}"/>
    <cellStyle name="Total 12 2 2 2 3 3" xfId="15151" xr:uid="{B3F59EE5-8518-435D-BE16-07A9B119473B}"/>
    <cellStyle name="Total 12 2 2 2 3 4" xfId="16103" xr:uid="{D09FCC04-4140-401C-BD80-76BD21A1450F}"/>
    <cellStyle name="Total 12 2 2 2 3 5" xfId="16977" xr:uid="{3392D13B-5E6B-4C48-B5FA-5E2EC7B299D6}"/>
    <cellStyle name="Total 12 2 2 2 3 6" xfId="17842" xr:uid="{41A663B0-86A5-4B1F-B13E-A9AD2FDFF8D2}"/>
    <cellStyle name="Total 12 2 2 2 3 7" xfId="18618" xr:uid="{D37B6F2E-5362-44D3-89BF-366B6D12031A}"/>
    <cellStyle name="Total 12 2 2 2 3 8" xfId="19375" xr:uid="{6B8FE1D9-8411-451F-B2CC-3884F91186AE}"/>
    <cellStyle name="Total 12 2 2 2 4" xfId="12756" xr:uid="{DBC0A4BD-8249-47A7-8BD0-3B78028EF4FD}"/>
    <cellStyle name="Total 12 2 2 2 5" xfId="10214" xr:uid="{3D5F52CB-DD47-4CEB-9810-202A2B087E96}"/>
    <cellStyle name="Total 12 2 2 2 6" xfId="9832" xr:uid="{AA46D570-EC25-4B7A-9DC2-620F82EDA967}"/>
    <cellStyle name="Total 12 2 2 2 7" xfId="11923" xr:uid="{C6532AAB-BD0C-4443-B3B3-48EC05399B33}"/>
    <cellStyle name="Total 12 2 2 2 8" xfId="10894" xr:uid="{A3949D8C-6B4D-4447-A13C-56598B3A023E}"/>
    <cellStyle name="Total 12 2 2 2 9" xfId="11534" xr:uid="{8FC5839F-37B6-4976-B6F4-8A79FA352AB5}"/>
    <cellStyle name="Total 12 2 2 3" xfId="8549" xr:uid="{7A085384-3159-42FB-9827-B48E46C5D239}"/>
    <cellStyle name="Total 12 2 2 3 2" xfId="13289" xr:uid="{7C0CBD81-8A4A-4C67-ADB1-C920B9151C67}"/>
    <cellStyle name="Total 12 2 2 3 3" xfId="14309" xr:uid="{B9DED702-F1A9-43DB-889C-BC76800608E1}"/>
    <cellStyle name="Total 12 2 2 3 4" xfId="15269" xr:uid="{B19EEBAC-16A9-4D11-820E-963085E16C1E}"/>
    <cellStyle name="Total 12 2 2 3 5" xfId="16218" xr:uid="{545814FB-71BB-4584-86B3-3ACB994F0814}"/>
    <cellStyle name="Total 12 2 2 3 6" xfId="17091" xr:uid="{3CEDE0A6-DB62-446F-ABA6-3219F8ECB156}"/>
    <cellStyle name="Total 12 2 2 3 7" xfId="17956" xr:uid="{0906E074-8B9C-4E11-A40A-91BA95FA48E0}"/>
    <cellStyle name="Total 12 2 2 3 8" xfId="18732" xr:uid="{368932CF-3D3A-4D48-A293-B843E0EC268A}"/>
    <cellStyle name="Total 12 2 2 4" xfId="9559" xr:uid="{B41120E4-F54F-4237-9491-A742CBB53FF6}"/>
    <cellStyle name="Total 12 2 2 4 2" xfId="13963" xr:uid="{7DF7AF64-56A6-46DF-8923-64A7E4E2025C}"/>
    <cellStyle name="Total 12 2 2 4 3" xfId="14923" xr:uid="{045A0AEB-47A3-495C-881A-E1E709608055}"/>
    <cellStyle name="Total 12 2 2 4 4" xfId="15875" xr:uid="{30494480-386D-485B-9B3E-4A828674B733}"/>
    <cellStyle name="Total 12 2 2 4 5" xfId="16749" xr:uid="{D1CB4E25-028F-4A0E-A501-EEE17933562F}"/>
    <cellStyle name="Total 12 2 2 4 6" xfId="17614" xr:uid="{DE96D048-9FB3-4230-AB66-160D5D0E7B61}"/>
    <cellStyle name="Total 12 2 2 4 7" xfId="18390" xr:uid="{7371377D-E077-421F-B67C-F135D2FC5A4B}"/>
    <cellStyle name="Total 12 2 2 4 8" xfId="19147" xr:uid="{EF19E7A8-30E0-4EC1-BE76-12C866AAA809}"/>
    <cellStyle name="Total 12 2 2 5" xfId="12260" xr:uid="{8D84C703-4739-41EE-A282-C815B4EB7F7D}"/>
    <cellStyle name="Total 12 2 2 6" xfId="10605" xr:uid="{25135A40-49C6-4BE2-AC77-D226E0006D9F}"/>
    <cellStyle name="Total 12 2 2 7" xfId="12087" xr:uid="{B8FBF37E-85A8-48C5-9C80-DFA530AC5D48}"/>
    <cellStyle name="Total 12 2 2 8" xfId="10763" xr:uid="{EC1E2470-AABC-46A5-AA8E-80E0E1FF1922}"/>
    <cellStyle name="Total 12 2 2 9" xfId="11651" xr:uid="{A66C8E9D-D23B-49BB-869B-689FFDC97AFF}"/>
    <cellStyle name="Total 12 2 3" xfId="7173" xr:uid="{90983091-3CB5-4E42-91F7-984D19B6083F}"/>
    <cellStyle name="Total 12 2 3 10" xfId="11563" xr:uid="{C2021E22-1E9B-4C36-88F7-EEC1E5479BFA}"/>
    <cellStyle name="Total 12 2 3 2" xfId="8813" xr:uid="{2E653971-C1D0-40E6-AD46-014977FA919F}"/>
    <cellStyle name="Total 12 2 3 2 2" xfId="13472" xr:uid="{C69BCB94-9CB3-4FCE-B10B-BD0267B51382}"/>
    <cellStyle name="Total 12 2 3 2 3" xfId="14478" xr:uid="{6CCB9C3F-65A5-4463-B42C-34872B513835}"/>
    <cellStyle name="Total 12 2 3 2 4" xfId="15436" xr:uid="{6B709782-13C6-4331-B79E-BA24531EE0E1}"/>
    <cellStyle name="Total 12 2 3 2 5" xfId="16362" xr:uid="{374A8A99-0464-4953-961A-EA9B564E6AC4}"/>
    <cellStyle name="Total 12 2 3 2 6" xfId="17233" xr:uid="{35182643-83FB-4B8F-BEE3-E8CA26D42D18}"/>
    <cellStyle name="Total 12 2 3 2 7" xfId="18080" xr:uid="{24EA0D5A-49D7-4D28-A973-E4F1B17F8536}"/>
    <cellStyle name="Total 12 2 3 2 8" xfId="18847" xr:uid="{5D9457C3-7467-45FE-B474-42A27EEBFF35}"/>
    <cellStyle name="Total 12 2 3 3" xfId="9674" xr:uid="{5017B002-B4B7-42B3-9EAA-EA0206564C57}"/>
    <cellStyle name="Total 12 2 3 3 2" xfId="14078" xr:uid="{EA83D70A-2B6F-41B8-8DBA-24BFAB8969C8}"/>
    <cellStyle name="Total 12 2 3 3 3" xfId="15038" xr:uid="{62A0BE9B-FCA2-446F-8AEE-085E13B81B34}"/>
    <cellStyle name="Total 12 2 3 3 4" xfId="15990" xr:uid="{4B35FAA1-4B73-4056-9006-9FFE501E0870}"/>
    <cellStyle name="Total 12 2 3 3 5" xfId="16864" xr:uid="{9EDE4BBC-B99A-4BA2-89DE-0116C5EFBEB8}"/>
    <cellStyle name="Total 12 2 3 3 6" xfId="17729" xr:uid="{AA879F2F-A5E3-4880-939F-5B5E1201C5FE}"/>
    <cellStyle name="Total 12 2 3 3 7" xfId="18505" xr:uid="{8843B1AE-6394-4E97-B56C-84CAD2438D21}"/>
    <cellStyle name="Total 12 2 3 3 8" xfId="19262" xr:uid="{D3BFC2D8-21CB-4EDF-9DE5-A378EB991794}"/>
    <cellStyle name="Total 12 2 3 4" xfId="12443" xr:uid="{C7C7215B-D00F-440B-8AF9-976BFBFF19CC}"/>
    <cellStyle name="Total 12 2 3 5" xfId="10436" xr:uid="{982B9F63-6A80-4475-939A-3E318DA59F0C}"/>
    <cellStyle name="Total 12 2 3 6" xfId="11714" xr:uid="{ADABFFD4-AF69-435E-9173-5309DFA07DDC}"/>
    <cellStyle name="Total 12 2 3 7" xfId="11072" xr:uid="{A0F9ABD2-16F6-4F6D-A0C4-FCA89DF14508}"/>
    <cellStyle name="Total 12 2 3 8" xfId="11966" xr:uid="{EC453D72-7EA6-4FB7-B137-378FB1EBE111}"/>
    <cellStyle name="Total 12 2 3 9" xfId="10859" xr:uid="{FF93C0BA-1812-4E30-8570-177561B298F5}"/>
    <cellStyle name="Total 12 2 4" xfId="8015" xr:uid="{EA74D26E-9BA4-4443-92CC-93580A7EAE22}"/>
    <cellStyle name="Total 12 2 4 2" xfId="12983" xr:uid="{D32377C8-256A-4B8D-A7E2-37E21F530A9C}"/>
    <cellStyle name="Total 12 2 4 3" xfId="10008" xr:uid="{09BA5901-FB4E-4FFF-8274-5B969D26E39D}"/>
    <cellStyle name="Total 12 2 4 4" xfId="13189" xr:uid="{0B9551BB-38EF-449B-9358-1C60AB179FD6}"/>
    <cellStyle name="Total 12 2 4 5" xfId="9849" xr:uid="{35C8EF74-F3FD-41F5-A12C-942F7032414B}"/>
    <cellStyle name="Total 12 2 4 6" xfId="12751" xr:uid="{5AE0D343-8402-4270-A45B-25738854FE5E}"/>
    <cellStyle name="Total 12 2 4 7" xfId="13352" xr:uid="{A4E10B68-417F-4F34-B174-3A61798615C6}"/>
    <cellStyle name="Total 12 2 4 8" xfId="14366" xr:uid="{519F50B9-ECD2-424A-99A2-758430ADE056}"/>
    <cellStyle name="Total 12 2 5" xfId="9446" xr:uid="{ACA688D9-A499-4E7D-A5BB-7160C1F9B9CA}"/>
    <cellStyle name="Total 12 2 5 2" xfId="13850" xr:uid="{D2849088-07BD-4DD8-B0FF-EFB5B79E387A}"/>
    <cellStyle name="Total 12 2 5 3" xfId="14810" xr:uid="{DD99C28C-4B86-4384-BD15-5C00F432B503}"/>
    <cellStyle name="Total 12 2 5 4" xfId="15762" xr:uid="{82DC767D-59A2-46C1-B5A3-7A399BB3E090}"/>
    <cellStyle name="Total 12 2 5 5" xfId="16636" xr:uid="{B7DC667D-ED91-4BD3-81BB-C0BD999BD744}"/>
    <cellStyle name="Total 12 2 5 6" xfId="17501" xr:uid="{9B44F99D-1FAC-4E0E-B5A0-C7BC89612F88}"/>
    <cellStyle name="Total 12 2 5 7" xfId="18277" xr:uid="{D6664BE4-D3B3-4756-9012-AC36DAEB12E9}"/>
    <cellStyle name="Total 12 2 5 8" xfId="19034" xr:uid="{41FA146C-2F2D-4D16-B67F-D385B5AB1809}"/>
    <cellStyle name="Total 12 2 6" xfId="11909" xr:uid="{9A6ABBF8-BEBE-418C-A027-E87C1A613595}"/>
    <cellStyle name="Total 12 2 7" xfId="10908" xr:uid="{0C152093-B2E4-449B-930C-48C411FF17B6}"/>
    <cellStyle name="Total 12 2 8" xfId="11520" xr:uid="{DBF6928A-177A-42AD-92AA-60D0B416CD99}"/>
    <cellStyle name="Total 12 2 9" xfId="11219" xr:uid="{C0C68834-90EB-467C-94D3-9D4D5591C68A}"/>
    <cellStyle name="Total 12 3" xfId="6908" xr:uid="{542CBF08-F214-4DEB-9FBF-4DC24413BBFC}"/>
    <cellStyle name="Total 12 3 10" xfId="14762" xr:uid="{C00B4E52-3C68-468B-9A82-90DB0FC7F1FE}"/>
    <cellStyle name="Total 12 3 11" xfId="15714" xr:uid="{DDC7A47E-21FD-4BDA-99C4-44C048D85764}"/>
    <cellStyle name="Total 12 3 2" xfId="7710" xr:uid="{8E83A5B4-5A46-4B99-8F01-E3A663EF954F}"/>
    <cellStyle name="Total 12 3 2 10" xfId="10332" xr:uid="{81DCEC01-7D9D-471D-9E68-F5DDD27FA020}"/>
    <cellStyle name="Total 12 3 2 2" xfId="9350" xr:uid="{7D519C58-C56E-4763-A69D-A0B202BEF814}"/>
    <cellStyle name="Total 12 3 2 2 2" xfId="13771" xr:uid="{8D23DF4C-2698-4A2C-8A05-83787F0A440B}"/>
    <cellStyle name="Total 12 3 2 2 3" xfId="14733" xr:uid="{45A6125E-1C72-4BE1-82C7-4F2C00B52488}"/>
    <cellStyle name="Total 12 3 2 2 4" xfId="15685" xr:uid="{87F3771E-A292-43A1-8C17-00579601067A}"/>
    <cellStyle name="Total 12 3 2 2 5" xfId="16563" xr:uid="{E7E26F92-8BDF-478E-B455-A6B83ABDC4D6}"/>
    <cellStyle name="Total 12 3 2 2 6" xfId="17428" xr:uid="{6EA40D7E-E45B-471F-B975-EBF0F8D61DEF}"/>
    <cellStyle name="Total 12 3 2 2 7" xfId="18204" xr:uid="{2F0DA75D-B4E9-46EA-973A-87860EE30376}"/>
    <cellStyle name="Total 12 3 2 2 8" xfId="18961" xr:uid="{7D5FA1D8-A810-4B74-A182-8F2631F4E1F2}"/>
    <cellStyle name="Total 12 3 2 3" xfId="9788" xr:uid="{1B983F65-16D5-48B5-AFFD-826AB996F8FB}"/>
    <cellStyle name="Total 12 3 2 3 2" xfId="14192" xr:uid="{EC57E07D-0D87-412D-A3F3-C65B07174256}"/>
    <cellStyle name="Total 12 3 2 3 3" xfId="15152" xr:uid="{A2DE69DB-0BEB-49D0-B3F7-161F6B493D75}"/>
    <cellStyle name="Total 12 3 2 3 4" xfId="16104" xr:uid="{AE433DB5-803E-4C5C-879E-003C01CD86DD}"/>
    <cellStyle name="Total 12 3 2 3 5" xfId="16978" xr:uid="{ED262B75-EC7F-42EB-969A-191765587D43}"/>
    <cellStyle name="Total 12 3 2 3 6" xfId="17843" xr:uid="{2F4B36E6-537A-46B5-8B84-5693835A885D}"/>
    <cellStyle name="Total 12 3 2 3 7" xfId="18619" xr:uid="{64B954B4-4280-4FF8-AC9E-2F819851D3D2}"/>
    <cellStyle name="Total 12 3 2 3 8" xfId="19376" xr:uid="{C9283FBA-80DC-442C-939A-959E8D6DF894}"/>
    <cellStyle name="Total 12 3 2 4" xfId="12757" xr:uid="{06FD52E5-F06C-4176-8D5D-679815565853}"/>
    <cellStyle name="Total 12 3 2 5" xfId="12791" xr:uid="{7E8D57E2-5136-439E-A558-490EF1A4E083}"/>
    <cellStyle name="Total 12 3 2 6" xfId="10179" xr:uid="{0A69EFFA-7846-4683-BFE3-AD22C20FB3BB}"/>
    <cellStyle name="Total 12 3 2 7" xfId="11780" xr:uid="{4037CF77-6272-4444-97C7-644E69962257}"/>
    <cellStyle name="Total 12 3 2 8" xfId="11024" xr:uid="{43333D08-42B0-4240-BD91-130440AB2E2A}"/>
    <cellStyle name="Total 12 3 2 9" xfId="12567" xr:uid="{47C0FF59-FEBE-4188-BDEF-D70CDC64AE00}"/>
    <cellStyle name="Total 12 3 3" xfId="8548" xr:uid="{0A309B2F-0DCB-4962-AA35-B20995263616}"/>
    <cellStyle name="Total 12 3 3 2" xfId="13288" xr:uid="{EF55804A-DD63-4D95-9E1B-280184186AE9}"/>
    <cellStyle name="Total 12 3 3 3" xfId="14308" xr:uid="{08BF7BBE-2C49-40A3-8681-826E1ECCC6CF}"/>
    <cellStyle name="Total 12 3 3 4" xfId="15268" xr:uid="{D90F12FD-710C-4AE3-BD05-5B757CAB5A64}"/>
    <cellStyle name="Total 12 3 3 5" xfId="16217" xr:uid="{71B29B37-8A79-4F9B-9BF3-72CFD48C1CCD}"/>
    <cellStyle name="Total 12 3 3 6" xfId="17090" xr:uid="{18BEDE14-DFB3-4D09-B206-7FC32F5ECA44}"/>
    <cellStyle name="Total 12 3 3 7" xfId="17955" xr:uid="{585755D5-2550-4F41-8E2B-029CF679E441}"/>
    <cellStyle name="Total 12 3 3 8" xfId="18731" xr:uid="{8E3DEFD6-345F-4EB0-8E28-1B6147A4C31C}"/>
    <cellStyle name="Total 12 3 4" xfId="9558" xr:uid="{88E84E77-8673-4417-A422-FC38DDAD4DF0}"/>
    <cellStyle name="Total 12 3 4 2" xfId="13962" xr:uid="{F2D11BD7-D33B-4906-85F7-7994B3466B53}"/>
    <cellStyle name="Total 12 3 4 3" xfId="14922" xr:uid="{B0C24267-37DE-4355-BFB8-C67AD504D4B7}"/>
    <cellStyle name="Total 12 3 4 4" xfId="15874" xr:uid="{68A04D3B-1F44-4CB4-893D-BB67B0BD6B8F}"/>
    <cellStyle name="Total 12 3 4 5" xfId="16748" xr:uid="{A11F39EF-2A8B-4693-8CBB-3026CC6C4985}"/>
    <cellStyle name="Total 12 3 4 6" xfId="17613" xr:uid="{C427D39A-72CC-4214-9D0E-0BE5DAB91CDE}"/>
    <cellStyle name="Total 12 3 4 7" xfId="18389" xr:uid="{58AD3D52-35D2-4036-96AD-88A3F2B865A2}"/>
    <cellStyle name="Total 12 3 4 8" xfId="19146" xr:uid="{77ACFCD6-BEFC-4620-AEBB-88A048CB6779}"/>
    <cellStyle name="Total 12 3 5" xfId="12259" xr:uid="{B0CDCB3F-4A37-4C8D-9E87-16AF93A18F3A}"/>
    <cellStyle name="Total 12 3 6" xfId="10606" xr:uid="{6B3C4AF2-C1DE-4254-A8A5-CD4A48268D5C}"/>
    <cellStyle name="Total 12 3 7" xfId="13119" xr:uid="{47DA9CA0-68E3-4251-8B96-E49A01524050}"/>
    <cellStyle name="Total 12 3 8" xfId="9907" xr:uid="{63967EC1-180B-436A-BC13-85A3655CCDE9}"/>
    <cellStyle name="Total 12 3 9" xfId="13800" xr:uid="{E7AE97D2-9EA6-472B-90C7-43907BC4FCFF}"/>
    <cellStyle name="Total 12 4" xfId="7172" xr:uid="{42A6235A-DDBA-42FE-9F56-010C7B344EB7}"/>
    <cellStyle name="Total 12 4 10" xfId="12788" xr:uid="{3973B9C9-02DE-48CD-B908-3792866582A2}"/>
    <cellStyle name="Total 12 4 2" xfId="8812" xr:uid="{3CE3DF47-A627-4CC6-B774-555069504E64}"/>
    <cellStyle name="Total 12 4 2 2" xfId="13471" xr:uid="{E240A163-7B79-4B05-842A-7A83CB769520}"/>
    <cellStyle name="Total 12 4 2 3" xfId="14477" xr:uid="{C7941FD7-D148-43B3-8BE2-8FE629D5AA8F}"/>
    <cellStyle name="Total 12 4 2 4" xfId="15435" xr:uid="{6B49900F-47EE-4F8D-86FB-3FF43E17AC45}"/>
    <cellStyle name="Total 12 4 2 5" xfId="16361" xr:uid="{AC381B75-4932-41E3-A0D0-24F51FE52C02}"/>
    <cellStyle name="Total 12 4 2 6" xfId="17232" xr:uid="{72A44AC2-535E-4C9F-B87A-BACB4CF3E501}"/>
    <cellStyle name="Total 12 4 2 7" xfId="18079" xr:uid="{38E8FB88-C73E-4D09-986E-0D15E912FCF4}"/>
    <cellStyle name="Total 12 4 2 8" xfId="18846" xr:uid="{1E89042E-2CEC-47FD-8E7F-FD910F61EA90}"/>
    <cellStyle name="Total 12 4 3" xfId="9673" xr:uid="{583DFCE3-D8AC-475B-9B63-7A77F023D491}"/>
    <cellStyle name="Total 12 4 3 2" xfId="14077" xr:uid="{95F5D5C2-DAAD-467B-BC99-F34F7A494386}"/>
    <cellStyle name="Total 12 4 3 3" xfId="15037" xr:uid="{BF8560FA-863C-43B6-9A02-838C4F11B5F0}"/>
    <cellStyle name="Total 12 4 3 4" xfId="15989" xr:uid="{548634F8-42F5-43E0-B776-AC214CB74FB0}"/>
    <cellStyle name="Total 12 4 3 5" xfId="16863" xr:uid="{BAC58457-1F62-435C-84BE-2B9F0D92FA90}"/>
    <cellStyle name="Total 12 4 3 6" xfId="17728" xr:uid="{FD221635-96E2-4C43-95EF-7A6BFC50D29D}"/>
    <cellStyle name="Total 12 4 3 7" xfId="18504" xr:uid="{9B32644B-5E3C-4FE6-8215-BD4BE6F05C7E}"/>
    <cellStyle name="Total 12 4 3 8" xfId="19261" xr:uid="{1F3ABD89-F852-4FF7-B660-176CE590A84C}"/>
    <cellStyle name="Total 12 4 4" xfId="12442" xr:uid="{4CE3DCCF-57F9-473E-A154-821F13999EB2}"/>
    <cellStyle name="Total 12 4 5" xfId="10437" xr:uid="{9C2E375A-971E-4833-AAB3-F617249ADF97}"/>
    <cellStyle name="Total 12 4 6" xfId="11713" xr:uid="{66705FA0-D155-40B6-8D70-F9D814656332}"/>
    <cellStyle name="Total 12 4 7" xfId="11073" xr:uid="{1E88806A-AFE0-4F1D-91B9-B73F985BB41A}"/>
    <cellStyle name="Total 12 4 8" xfId="13093" xr:uid="{245BD37D-166E-40B2-8FFE-A3ADD1C2A73F}"/>
    <cellStyle name="Total 12 4 9" xfId="9925" xr:uid="{367E0780-141B-4CE9-8E65-900B4139C879}"/>
    <cellStyle name="Total 12 5" xfId="8014" xr:uid="{ECB95E0B-FA69-4AAD-903C-54ECE63FDEEC}"/>
    <cellStyle name="Total 12 5 2" xfId="12982" xr:uid="{3E9FAD1A-76C4-4029-B118-86FAAB0179AF}"/>
    <cellStyle name="Total 12 5 3" xfId="10009" xr:uid="{713400B3-F1B5-40A2-A533-B91AFFCE55D3}"/>
    <cellStyle name="Total 12 5 4" xfId="13714" xr:uid="{B142F33A-E088-4ECF-AECF-E13C63972237}"/>
    <cellStyle name="Total 12 5 5" xfId="14678" xr:uid="{2C3F9AF8-D67E-4F9A-9F12-61848A70A1EB}"/>
    <cellStyle name="Total 12 5 6" xfId="15630" xr:uid="{9F62349C-4115-4CC9-BC6A-E74CD7AEA543}"/>
    <cellStyle name="Total 12 5 7" xfId="16512" xr:uid="{81235000-28E6-4563-9FF6-E034B3C50305}"/>
    <cellStyle name="Total 12 5 8" xfId="17380" xr:uid="{26CE85DB-FF04-4D1C-AE2E-CA8B88EA7257}"/>
    <cellStyle name="Total 12 6" xfId="9445" xr:uid="{99FB0D21-A16C-4523-9DC3-6C600C45D620}"/>
    <cellStyle name="Total 12 6 2" xfId="13849" xr:uid="{90A581F7-5FFD-41A9-B562-0E436CDC5FC4}"/>
    <cellStyle name="Total 12 6 3" xfId="14809" xr:uid="{5F3A42C6-35D9-4EEF-8B1C-C182E13679E5}"/>
    <cellStyle name="Total 12 6 4" xfId="15761" xr:uid="{D2E53F69-2878-4954-BB79-84645EB35843}"/>
    <cellStyle name="Total 12 6 5" xfId="16635" xr:uid="{33A9D554-0519-4B8B-9830-7D6891EFA3F1}"/>
    <cellStyle name="Total 12 6 6" xfId="17500" xr:uid="{51818A4A-F4FD-44B3-AA9D-A18AD1501C9B}"/>
    <cellStyle name="Total 12 6 7" xfId="18276" xr:uid="{6AF98B3B-24FE-4398-B1CE-D0950C2BC28F}"/>
    <cellStyle name="Total 12 6 8" xfId="19033" xr:uid="{2F3D9DD1-6E4B-4A75-BD23-300B01B20B9A}"/>
    <cellStyle name="Total 12 7" xfId="11908" xr:uid="{D0195B8A-0C83-49B4-81B7-B4690AE1CDAF}"/>
    <cellStyle name="Total 12 8" xfId="10909" xr:uid="{96277EC4-2160-4808-A8B8-F3E672802B71}"/>
    <cellStyle name="Total 12 9" xfId="11519" xr:uid="{18F60611-3640-487C-93B6-5EBD8842A07B}"/>
    <cellStyle name="Total 13" xfId="6286" xr:uid="{237C6B12-AD2C-4AED-91AA-6BED4B473D69}"/>
    <cellStyle name="Total 13 10" xfId="11218" xr:uid="{C3486F35-0C1A-4903-AF8F-F8FF4159570E}"/>
    <cellStyle name="Total 13 11" xfId="12533" xr:uid="{D45714D0-3E2B-42B3-AD92-12FB82333C28}"/>
    <cellStyle name="Total 13 12" xfId="10350" xr:uid="{EC03843E-5AE4-4AE2-8B3E-209756A8DD2C}"/>
    <cellStyle name="Total 13 13" xfId="12925" xr:uid="{D6FBF98E-597B-498D-AB85-93E8BE4E3C1A}"/>
    <cellStyle name="Total 13 2" xfId="6287" xr:uid="{FF17D7A6-FC78-4188-AAF7-E68DD559A099}"/>
    <cellStyle name="Total 13 2 10" xfId="13562" xr:uid="{7827D7E7-DFB0-4DCD-BFE4-C79F16DCE236}"/>
    <cellStyle name="Total 13 2 11" xfId="14563" xr:uid="{1C80BAF3-B76B-472E-BE89-4D0B195764B1}"/>
    <cellStyle name="Total 13 2 12" xfId="15521" xr:uid="{B51D1E9B-5D65-4DF5-9E12-A4151BCDB299}"/>
    <cellStyle name="Total 13 2 2" xfId="6911" xr:uid="{BA565F09-426D-4FC1-8B89-C397F530AC73}"/>
    <cellStyle name="Total 13 2 2 10" xfId="16454" xr:uid="{10978A58-2C1C-4E86-A008-3684EEF773A6}"/>
    <cellStyle name="Total 13 2 2 11" xfId="17325" xr:uid="{137184CD-9528-4E48-9E69-E805467A8DDE}"/>
    <cellStyle name="Total 13 2 2 2" xfId="7711" xr:uid="{33D0291D-859D-44F4-860F-E859E4C0EDBB}"/>
    <cellStyle name="Total 13 2 2 2 10" xfId="17985" xr:uid="{02587929-FD53-40D5-ACB1-7EA7578905FD}"/>
    <cellStyle name="Total 13 2 2 2 2" xfId="9351" xr:uid="{BB9A8A37-C6AC-4CA2-8FB5-3383D879DDCD}"/>
    <cellStyle name="Total 13 2 2 2 2 2" xfId="13772" xr:uid="{F4060589-B6D7-4286-B54A-229D9554644A}"/>
    <cellStyle name="Total 13 2 2 2 2 3" xfId="14734" xr:uid="{12C8F36B-46A1-4683-AD08-6C16A2447CD4}"/>
    <cellStyle name="Total 13 2 2 2 2 4" xfId="15686" xr:uid="{1E67244F-4E41-4AE1-A547-547E986CEAAC}"/>
    <cellStyle name="Total 13 2 2 2 2 5" xfId="16564" xr:uid="{BB6E9149-5834-4518-8DD0-E59597E0E992}"/>
    <cellStyle name="Total 13 2 2 2 2 6" xfId="17429" xr:uid="{90C5B506-8C8E-43FE-9DAC-12970C058A8A}"/>
    <cellStyle name="Total 13 2 2 2 2 7" xfId="18205" xr:uid="{CB4B603A-FAA5-4D62-9A9B-815131D44608}"/>
    <cellStyle name="Total 13 2 2 2 2 8" xfId="18962" xr:uid="{00E1B799-261F-4A93-A502-F25CCF2D0F8B}"/>
    <cellStyle name="Total 13 2 2 2 3" xfId="9789" xr:uid="{435B5A36-22A8-4615-BCF0-CB4B740D5816}"/>
    <cellStyle name="Total 13 2 2 2 3 2" xfId="14193" xr:uid="{DE93C4E1-45D6-42B5-9F8E-74BABBE4297C}"/>
    <cellStyle name="Total 13 2 2 2 3 3" xfId="15153" xr:uid="{6F2766BB-AA1E-40C5-9B0D-269972623B75}"/>
    <cellStyle name="Total 13 2 2 2 3 4" xfId="16105" xr:uid="{AC9A8F3E-9AE6-4D4B-A5F6-CEF49253F780}"/>
    <cellStyle name="Total 13 2 2 2 3 5" xfId="16979" xr:uid="{F104CF16-361A-415E-99EC-8C578CDF98DD}"/>
    <cellStyle name="Total 13 2 2 2 3 6" xfId="17844" xr:uid="{A5EFD6BB-9A52-4E7E-BC9D-42D0CCDDF441}"/>
    <cellStyle name="Total 13 2 2 2 3 7" xfId="18620" xr:uid="{02E6F5D2-B535-4A83-8AC2-A4504559F94D}"/>
    <cellStyle name="Total 13 2 2 2 3 8" xfId="19377" xr:uid="{41663568-D357-43E0-971D-A687494067AC}"/>
    <cellStyle name="Total 13 2 2 2 4" xfId="12758" xr:uid="{540E4C99-11DE-474D-B95D-CBFBC5E51E76}"/>
    <cellStyle name="Total 13 2 2 2 5" xfId="13328" xr:uid="{A577D8E5-3210-43D5-9729-8E183F152333}"/>
    <cellStyle name="Total 13 2 2 2 6" xfId="14343" xr:uid="{17288C5D-24B2-4454-B3F5-3C40668A2C3B}"/>
    <cellStyle name="Total 13 2 2 2 7" xfId="15303" xr:uid="{3A1D17A9-1CE6-46C9-AE44-D1CC51E1D992}"/>
    <cellStyle name="Total 13 2 2 2 8" xfId="16247" xr:uid="{3A4ED7C8-BF2D-445A-B015-0F64D14F0980}"/>
    <cellStyle name="Total 13 2 2 2 9" xfId="17120" xr:uid="{31A764BA-3223-4CF4-8DD7-97EE1F8AFA56}"/>
    <cellStyle name="Total 13 2 2 3" xfId="8551" xr:uid="{097AEF46-DB5B-46D5-99D7-E91534ED737F}"/>
    <cellStyle name="Total 13 2 2 3 2" xfId="13291" xr:uid="{0A419E8A-4E2B-41EE-9ADE-905A3ED65472}"/>
    <cellStyle name="Total 13 2 2 3 3" xfId="14311" xr:uid="{4BD1F1A4-76B8-4578-92F3-287209334B9B}"/>
    <cellStyle name="Total 13 2 2 3 4" xfId="15271" xr:uid="{BB5625C3-A6FA-4E2C-B605-7586FD561926}"/>
    <cellStyle name="Total 13 2 2 3 5" xfId="16220" xr:uid="{8808F570-DDFC-4437-83D0-081CCCA6259D}"/>
    <cellStyle name="Total 13 2 2 3 6" xfId="17093" xr:uid="{1088869E-30C3-4201-9264-FF3C1DCB5793}"/>
    <cellStyle name="Total 13 2 2 3 7" xfId="17958" xr:uid="{42161704-E70C-40B1-A746-2FC9374ACDA3}"/>
    <cellStyle name="Total 13 2 2 3 8" xfId="18734" xr:uid="{6C4BF419-2155-4309-9C9D-9CED4CB1FD2A}"/>
    <cellStyle name="Total 13 2 2 4" xfId="9561" xr:uid="{E0160B70-D386-4EA7-A55E-17E1C13CA60A}"/>
    <cellStyle name="Total 13 2 2 4 2" xfId="13965" xr:uid="{C9F56BAD-D7CB-4995-8847-FCEB50A99365}"/>
    <cellStyle name="Total 13 2 2 4 3" xfId="14925" xr:uid="{DB6A8055-8100-4AE2-A2BC-ED0D714FF84B}"/>
    <cellStyle name="Total 13 2 2 4 4" xfId="15877" xr:uid="{4A59B44C-4CBA-42DB-9C30-45518D9960A2}"/>
    <cellStyle name="Total 13 2 2 4 5" xfId="16751" xr:uid="{9E117D9F-A474-43FE-B3BD-6AEBEB5FD1F4}"/>
    <cellStyle name="Total 13 2 2 4 6" xfId="17616" xr:uid="{48A5110E-8DFA-4112-9599-6DCB28A0B694}"/>
    <cellStyle name="Total 13 2 2 4 7" xfId="18392" xr:uid="{0870C259-C2E3-4190-9758-CDB066C8735D}"/>
    <cellStyle name="Total 13 2 2 4 8" xfId="19149" xr:uid="{043DE311-A3DF-41BB-BA3C-C80300E75B42}"/>
    <cellStyle name="Total 13 2 2 5" xfId="12262" xr:uid="{DA2C7964-73AB-4A3B-BB4D-C4F1F5263118}"/>
    <cellStyle name="Total 13 2 2 6" xfId="10603" xr:uid="{49F94245-0846-4D19-BA41-EFFF9BA8C334}"/>
    <cellStyle name="Total 13 2 2 7" xfId="13624" xr:uid="{47499B89-386C-46C3-8B20-47920E0DA8EB}"/>
    <cellStyle name="Total 13 2 2 8" xfId="14602" xr:uid="{2A10DCFA-BDCF-456E-9560-6E52E2EB177E}"/>
    <cellStyle name="Total 13 2 2 9" xfId="15555" xr:uid="{67667908-CAE5-4C38-B59C-A08DCBC2D521}"/>
    <cellStyle name="Total 13 2 3" xfId="7175" xr:uid="{2EA90020-C595-4D4A-85C3-131C01729E9C}"/>
    <cellStyle name="Total 13 2 3 10" xfId="15529" xr:uid="{0BA636AC-94C4-4127-ADC7-12B3F962CE64}"/>
    <cellStyle name="Total 13 2 3 2" xfId="8815" xr:uid="{F2E4FBAE-2B44-47CA-AC65-4D62D13EC219}"/>
    <cellStyle name="Total 13 2 3 2 2" xfId="13474" xr:uid="{BD8E16E6-C0A5-470E-AC3F-6B997D06C0BE}"/>
    <cellStyle name="Total 13 2 3 2 3" xfId="14480" xr:uid="{F2F1E677-044B-4540-845A-5E1C15017FC0}"/>
    <cellStyle name="Total 13 2 3 2 4" xfId="15438" xr:uid="{894243A7-DDAB-4171-890A-C215FF795552}"/>
    <cellStyle name="Total 13 2 3 2 5" xfId="16364" xr:uid="{A7A6C2A2-9D30-4446-858C-184F13215CB3}"/>
    <cellStyle name="Total 13 2 3 2 6" xfId="17235" xr:uid="{5A708C1D-4812-49EE-8EF2-CA3C1A1979AF}"/>
    <cellStyle name="Total 13 2 3 2 7" xfId="18082" xr:uid="{D0F9DFE5-A3D5-4D06-BCD7-944D05D67C69}"/>
    <cellStyle name="Total 13 2 3 2 8" xfId="18849" xr:uid="{F4B734BA-7304-4B64-86C8-458854867DAA}"/>
    <cellStyle name="Total 13 2 3 3" xfId="9676" xr:uid="{A5F94E76-75DC-47C5-8615-076687343F5B}"/>
    <cellStyle name="Total 13 2 3 3 2" xfId="14080" xr:uid="{261468AA-3808-4BC0-876F-0027BA4467F2}"/>
    <cellStyle name="Total 13 2 3 3 3" xfId="15040" xr:uid="{EA02206F-856D-4C58-BB95-E7A1D5E37605}"/>
    <cellStyle name="Total 13 2 3 3 4" xfId="15992" xr:uid="{4162C19E-5740-4D5C-BB97-054496E31BE7}"/>
    <cellStyle name="Total 13 2 3 3 5" xfId="16866" xr:uid="{DED3190C-0EB6-4E16-873B-146F0BC20C21}"/>
    <cellStyle name="Total 13 2 3 3 6" xfId="17731" xr:uid="{B63AE8C1-FFCF-4BE4-B2ED-978544F5148A}"/>
    <cellStyle name="Total 13 2 3 3 7" xfId="18507" xr:uid="{D9354B29-5DB7-48B8-931D-AC6FA124D92F}"/>
    <cellStyle name="Total 13 2 3 3 8" xfId="19264" xr:uid="{B5699521-FCFF-435D-AE32-9FA4C2D5663B}"/>
    <cellStyle name="Total 13 2 3 4" xfId="12445" xr:uid="{0DBEF6BE-7DAA-466C-95F9-88E195D84A11}"/>
    <cellStyle name="Total 13 2 3 5" xfId="10434" xr:uid="{F83CD66C-0D7C-4F16-BD37-5E4017992DE7}"/>
    <cellStyle name="Total 13 2 3 6" xfId="11716" xr:uid="{98BD168C-9894-429C-A78B-59390C59D1DA}"/>
    <cellStyle name="Total 13 2 3 7" xfId="11070" xr:uid="{CA34DC7A-7EB6-4D87-BC8F-C09C044C4EF8}"/>
    <cellStyle name="Total 13 2 3 8" xfId="13584" xr:uid="{0289D2CA-C1A0-492C-894C-845BF0FD43DE}"/>
    <cellStyle name="Total 13 2 3 9" xfId="14572" xr:uid="{E6248633-DE89-44ED-8163-AC39C21EF700}"/>
    <cellStyle name="Total 13 2 4" xfId="8017" xr:uid="{74038B2C-219B-42E7-AC5B-1C97A9DC2ECD}"/>
    <cellStyle name="Total 13 2 4 2" xfId="12985" xr:uid="{433EF01D-49CB-45A7-8369-9F2310DFF9FF}"/>
    <cellStyle name="Total 13 2 4 3" xfId="10006" xr:uid="{C3C52563-A013-4A6D-A722-273BEF1BDCBD}"/>
    <cellStyle name="Total 13 2 4 4" xfId="12694" xr:uid="{1565E515-FDF6-4E89-B2D1-D63A14E3F87E}"/>
    <cellStyle name="Total 13 2 4 5" xfId="10227" xr:uid="{530A1636-02DE-40B3-A54C-1800DB0B1CF7}"/>
    <cellStyle name="Total 13 2 4 6" xfId="12661" xr:uid="{28490AB7-206A-4234-BE92-ADFF0B8BD90E}"/>
    <cellStyle name="Total 13 2 4 7" xfId="10256" xr:uid="{2E7D1839-A6AE-4149-9229-BAD7E8C2B6B8}"/>
    <cellStyle name="Total 13 2 4 8" xfId="11769" xr:uid="{5E944F75-51F9-419A-8E4D-C17F208DA1D7}"/>
    <cellStyle name="Total 13 2 5" xfId="9448" xr:uid="{7F41E2BA-3AA0-45F7-B45D-153EDE358575}"/>
    <cellStyle name="Total 13 2 5 2" xfId="13852" xr:uid="{635E5AFD-CE21-4B1D-A65D-25113BA9CC86}"/>
    <cellStyle name="Total 13 2 5 3" xfId="14812" xr:uid="{475D2B2A-4E6F-4DF6-9A30-DCF28AA5643F}"/>
    <cellStyle name="Total 13 2 5 4" xfId="15764" xr:uid="{FC6174A9-73ED-44CD-B7D8-7DB5FA7FDA2F}"/>
    <cellStyle name="Total 13 2 5 5" xfId="16638" xr:uid="{A7089C41-EF70-4DA5-8E8E-1481A136F2C7}"/>
    <cellStyle name="Total 13 2 5 6" xfId="17503" xr:uid="{53171C0F-92DA-41FE-A54B-B7413FEE7A0D}"/>
    <cellStyle name="Total 13 2 5 7" xfId="18279" xr:uid="{7EC28203-4001-41C0-A53C-B6C0C4F2092D}"/>
    <cellStyle name="Total 13 2 5 8" xfId="19036" xr:uid="{ABC03D0D-2236-4E54-9CAC-5323367F39AF}"/>
    <cellStyle name="Total 13 2 6" xfId="11911" xr:uid="{7B12350D-43E9-408C-8597-E971B8D9D30A}"/>
    <cellStyle name="Total 13 2 7" xfId="10906" xr:uid="{82F49FB3-3B55-4FF5-B0FD-CBF53A873C49}"/>
    <cellStyle name="Total 13 2 8" xfId="11522" xr:uid="{293E0B14-1AFA-4185-AFB4-AB157E64DCF2}"/>
    <cellStyle name="Total 13 2 9" xfId="11217" xr:uid="{A18D8E44-0567-47DF-92BF-2AE3D4BC36B9}"/>
    <cellStyle name="Total 13 3" xfId="6910" xr:uid="{03246DCC-F4AB-43A6-9A8E-01E27E9AB3D0}"/>
    <cellStyle name="Total 13 3 10" xfId="11037" xr:uid="{9595E276-9CE9-4F24-A545-485AD8F08C41}"/>
    <cellStyle name="Total 13 3 11" xfId="13096" xr:uid="{49ACA3A9-E982-420A-9031-6DCCF0DF1B83}"/>
    <cellStyle name="Total 13 3 2" xfId="7712" xr:uid="{8EBEE12E-603D-445B-A39A-9751D37C0FFB}"/>
    <cellStyle name="Total 13 3 2 10" xfId="15180" xr:uid="{E6B6F37A-3307-4C4F-A666-6F3FCF064EA4}"/>
    <cellStyle name="Total 13 3 2 2" xfId="9352" xr:uid="{0491AA5F-50C3-4D98-B92C-54D04C8AF276}"/>
    <cellStyle name="Total 13 3 2 2 2" xfId="13773" xr:uid="{28499DBA-3C48-473D-B99F-EF25C291AE63}"/>
    <cellStyle name="Total 13 3 2 2 3" xfId="14735" xr:uid="{10C24127-EF46-4889-BC08-0DCEF145BC1C}"/>
    <cellStyle name="Total 13 3 2 2 4" xfId="15687" xr:uid="{25207F8E-74C7-41DD-BFE2-78F91804EB99}"/>
    <cellStyle name="Total 13 3 2 2 5" xfId="16565" xr:uid="{4AEA5FC2-897E-4719-8464-ABF78DD3A646}"/>
    <cellStyle name="Total 13 3 2 2 6" xfId="17430" xr:uid="{38F54F06-686F-4A1D-ADFE-4D4AAC164CD6}"/>
    <cellStyle name="Total 13 3 2 2 7" xfId="18206" xr:uid="{B4CFC23C-189F-4712-947B-56B567334278}"/>
    <cellStyle name="Total 13 3 2 2 8" xfId="18963" xr:uid="{F723491C-212C-4D76-971D-8876158598C2}"/>
    <cellStyle name="Total 13 3 2 3" xfId="9790" xr:uid="{D6E9913E-3F96-44AE-8829-6FC6A72BCD34}"/>
    <cellStyle name="Total 13 3 2 3 2" xfId="14194" xr:uid="{29A22963-94A4-43DB-8782-3DF4659E63DC}"/>
    <cellStyle name="Total 13 3 2 3 3" xfId="15154" xr:uid="{F74F9B58-B6E3-4956-8D93-14244266214B}"/>
    <cellStyle name="Total 13 3 2 3 4" xfId="16106" xr:uid="{AF6DEDF7-EF14-46E6-B848-8B5BD218340B}"/>
    <cellStyle name="Total 13 3 2 3 5" xfId="16980" xr:uid="{160D074A-7FAB-45F6-9C12-978034E25003}"/>
    <cellStyle name="Total 13 3 2 3 6" xfId="17845" xr:uid="{36F82274-70EA-4221-AD3A-8287DBE3B392}"/>
    <cellStyle name="Total 13 3 2 3 7" xfId="18621" xr:uid="{938D49F2-0230-4220-A129-AC9095B30DDC}"/>
    <cellStyle name="Total 13 3 2 3 8" xfId="19378" xr:uid="{17D3B01D-499F-4873-ACC7-6C0550C4D055}"/>
    <cellStyle name="Total 13 3 2 4" xfId="12759" xr:uid="{550E965F-7544-4396-B6FD-AC51EA480C2F}"/>
    <cellStyle name="Total 13 3 2 5" xfId="12299" xr:uid="{2AEFCC92-72D9-411A-85C3-D9C21B880CA0}"/>
    <cellStyle name="Total 13 3 2 6" xfId="10570" xr:uid="{2CFCF5C9-3E23-4E8C-B288-67C19FCDEB68}"/>
    <cellStyle name="Total 13 3 2 7" xfId="13124" xr:uid="{D20A8057-29D1-4F5C-9602-EEFD3F9F9144}"/>
    <cellStyle name="Total 13 3 2 8" xfId="9903" xr:uid="{3B50CCEB-D468-4F5A-8560-6BE47277C979}"/>
    <cellStyle name="Total 13 3 2 9" xfId="14220" xr:uid="{34B61E21-F7BB-4C1E-8C23-C825026D4F96}"/>
    <cellStyle name="Total 13 3 3" xfId="8550" xr:uid="{3C68325B-923D-44B1-8B49-23246EA7DA78}"/>
    <cellStyle name="Total 13 3 3 2" xfId="13290" xr:uid="{93EE9E0A-37F5-4F25-84D4-116BAF270164}"/>
    <cellStyle name="Total 13 3 3 3" xfId="14310" xr:uid="{B88C345C-403C-4BC7-B127-8C94AB0E1CF8}"/>
    <cellStyle name="Total 13 3 3 4" xfId="15270" xr:uid="{37DCD6E9-DDD5-4CF0-A2EE-801CC4999695}"/>
    <cellStyle name="Total 13 3 3 5" xfId="16219" xr:uid="{447D44B9-E8EC-44AD-8C51-69DB9E8F2F62}"/>
    <cellStyle name="Total 13 3 3 6" xfId="17092" xr:uid="{E7D4D011-4FF0-410D-A8C3-79108839B479}"/>
    <cellStyle name="Total 13 3 3 7" xfId="17957" xr:uid="{5F76D9C1-0AED-4342-8344-8422300159B7}"/>
    <cellStyle name="Total 13 3 3 8" xfId="18733" xr:uid="{F703EE10-B00E-4A49-A27B-60406A99D942}"/>
    <cellStyle name="Total 13 3 4" xfId="9560" xr:uid="{880F4C6E-2289-49A5-866F-1DEF8BF5F875}"/>
    <cellStyle name="Total 13 3 4 2" xfId="13964" xr:uid="{D5822473-856C-450A-B440-EF6346CFFE44}"/>
    <cellStyle name="Total 13 3 4 3" xfId="14924" xr:uid="{3B29AE53-1939-4645-9F7B-1310C077B5D1}"/>
    <cellStyle name="Total 13 3 4 4" xfId="15876" xr:uid="{8E6C34A7-4D9E-4BD5-A859-848A1A2AF5C7}"/>
    <cellStyle name="Total 13 3 4 5" xfId="16750" xr:uid="{A5FBEAFC-F7D5-41F6-9972-5554D24A94B3}"/>
    <cellStyle name="Total 13 3 4 6" xfId="17615" xr:uid="{D6EBE8F1-7109-41D9-8685-37A7AE4F6D70}"/>
    <cellStyle name="Total 13 3 4 7" xfId="18391" xr:uid="{823825A1-876E-48AC-8218-3A43F2FAE4D2}"/>
    <cellStyle name="Total 13 3 4 8" xfId="19148" xr:uid="{5BCF46DF-DB64-4A02-A6FB-A440F4F012E6}"/>
    <cellStyle name="Total 13 3 5" xfId="12261" xr:uid="{62C9ADA1-DDAB-462E-BDF0-56892A995D1F}"/>
    <cellStyle name="Total 13 3 6" xfId="10604" xr:uid="{70DA019E-A6ED-452E-AA5C-1F17D2A1B1A6}"/>
    <cellStyle name="Total 13 3 7" xfId="12602" xr:uid="{D74C9EEC-9733-43C5-BA79-68F34FB68D5A}"/>
    <cellStyle name="Total 13 3 8" xfId="10302" xr:uid="{24ECE8D2-B9A6-439C-A624-C6832A55CDFB}"/>
    <cellStyle name="Total 13 3 9" xfId="11760" xr:uid="{B21B1C28-E895-4396-A48B-65E4BA3E4902}"/>
    <cellStyle name="Total 13 4" xfId="7174" xr:uid="{66BFE5BA-DD30-4EE6-A113-927CA0076A0F}"/>
    <cellStyle name="Total 13 4 10" xfId="12647" xr:uid="{25442CDF-F8DF-421F-B304-DD4A3B162903}"/>
    <cellStyle name="Total 13 4 2" xfId="8814" xr:uid="{1ABB3722-BDC2-49FB-9D9D-98C5EA837C3C}"/>
    <cellStyle name="Total 13 4 2 2" xfId="13473" xr:uid="{799E35E1-7361-4FF0-B7F6-D180E365993C}"/>
    <cellStyle name="Total 13 4 2 3" xfId="14479" xr:uid="{BEC8BF4A-9E21-48DC-8C92-440791125F14}"/>
    <cellStyle name="Total 13 4 2 4" xfId="15437" xr:uid="{A2DE728C-AE6F-4CE1-A0FD-3FA2C86A6709}"/>
    <cellStyle name="Total 13 4 2 5" xfId="16363" xr:uid="{D288BA97-B258-4EE1-9E92-1C4AB364FC3A}"/>
    <cellStyle name="Total 13 4 2 6" xfId="17234" xr:uid="{187C6DB2-4E19-4C23-A348-6C4363F54314}"/>
    <cellStyle name="Total 13 4 2 7" xfId="18081" xr:uid="{578D9F63-0481-4007-A8FA-8719B4B0A68F}"/>
    <cellStyle name="Total 13 4 2 8" xfId="18848" xr:uid="{0C60DD73-DB45-4E12-9EB1-CF93FE0007B1}"/>
    <cellStyle name="Total 13 4 3" xfId="9675" xr:uid="{A237BB6A-E746-44C5-B441-E1B1201A54D2}"/>
    <cellStyle name="Total 13 4 3 2" xfId="14079" xr:uid="{E921D4B0-0565-49D1-94B7-4303ACBE7982}"/>
    <cellStyle name="Total 13 4 3 3" xfId="15039" xr:uid="{39FDD2BF-34E7-4654-B16F-E55D71BF8DEE}"/>
    <cellStyle name="Total 13 4 3 4" xfId="15991" xr:uid="{1D7199F8-DE76-4F4E-8563-6483500EB5B8}"/>
    <cellStyle name="Total 13 4 3 5" xfId="16865" xr:uid="{923DD4F5-4822-410F-8DC2-509FF05A5983}"/>
    <cellStyle name="Total 13 4 3 6" xfId="17730" xr:uid="{7854572B-6C41-4931-A1E3-1B535ED9F45B}"/>
    <cellStyle name="Total 13 4 3 7" xfId="18506" xr:uid="{CA4267E2-446C-4D77-8248-F26724D12BDE}"/>
    <cellStyle name="Total 13 4 3 8" xfId="19263" xr:uid="{33AF243D-6325-4F16-93F3-32E7D2EE5BEA}"/>
    <cellStyle name="Total 13 4 4" xfId="12444" xr:uid="{F106A020-3C2B-4519-8E7D-4F6B3D76DDA2}"/>
    <cellStyle name="Total 13 4 5" xfId="10435" xr:uid="{D8A413A1-1573-4EA8-ABF7-1B37074DE059}"/>
    <cellStyle name="Total 13 4 6" xfId="11715" xr:uid="{E0BE2B27-27FE-4B91-AAF3-340B5E8B19C0}"/>
    <cellStyle name="Total 13 4 7" xfId="11071" xr:uid="{53F7BE3D-33DD-4124-80CA-E2587D8FB86E}"/>
    <cellStyle name="Total 13 4 8" xfId="12559" xr:uid="{23F41017-75F1-4F54-8FDF-673204A48577}"/>
    <cellStyle name="Total 13 4 9" xfId="10336" xr:uid="{C6A2557A-FFE3-4750-BFAA-CD622A613C42}"/>
    <cellStyle name="Total 13 5" xfId="8016" xr:uid="{52C88937-2292-46AE-B657-01F2312B0185}"/>
    <cellStyle name="Total 13 5 2" xfId="12984" xr:uid="{6488BE46-E997-4B35-A2F3-5A327020394D}"/>
    <cellStyle name="Total 13 5 3" xfId="10007" xr:uid="{660C166F-72D4-4481-A82A-B4BB4AF50415}"/>
    <cellStyle name="Total 13 5 4" xfId="12161" xr:uid="{8DFDD312-B8D2-4F20-BA4A-60BF4788AF07}"/>
    <cellStyle name="Total 13 5 5" xfId="10699" xr:uid="{EDC14AF2-A052-4233-85EE-BEE1BCD4CCC1}"/>
    <cellStyle name="Total 13 5 6" xfId="11670" xr:uid="{4921E5FF-1BEC-4271-A1F3-739CDA2F5C83}"/>
    <cellStyle name="Total 13 5 7" xfId="11110" xr:uid="{AB2FDE8B-B363-4880-A827-7070309BA0FA}"/>
    <cellStyle name="Total 13 5 8" xfId="13090" xr:uid="{5375C212-DB53-4B89-8B6C-04F89A4C4599}"/>
    <cellStyle name="Total 13 6" xfId="9447" xr:uid="{630A2BC4-A877-453D-B7CE-DE3B5C4C89AC}"/>
    <cellStyle name="Total 13 6 2" xfId="13851" xr:uid="{3254DBD8-E0CE-4CC3-8BA5-51912573A849}"/>
    <cellStyle name="Total 13 6 3" xfId="14811" xr:uid="{3A7C32FE-9949-4B49-A971-D12A6D65DA8B}"/>
    <cellStyle name="Total 13 6 4" xfId="15763" xr:uid="{0FFEAADA-DF9C-4038-886A-B6ED370742E1}"/>
    <cellStyle name="Total 13 6 5" xfId="16637" xr:uid="{94AA1818-D636-4FC8-8347-8FA9DFEB23B3}"/>
    <cellStyle name="Total 13 6 6" xfId="17502" xr:uid="{85E3705A-F1E4-4684-A921-134134CFDBE7}"/>
    <cellStyle name="Total 13 6 7" xfId="18278" xr:uid="{B444E139-BFEE-445C-BF6E-91A183B6CD33}"/>
    <cellStyle name="Total 13 6 8" xfId="19035" xr:uid="{12757AD4-6483-42B2-B53C-8CFBB118DE2E}"/>
    <cellStyle name="Total 13 7" xfId="11910" xr:uid="{DD22B55F-A18F-43CC-8470-6F8C033E8AF2}"/>
    <cellStyle name="Total 13 8" xfId="10907" xr:uid="{CBE360C2-5865-41D6-98D1-D1A101EA1301}"/>
    <cellStyle name="Total 13 9" xfId="11521" xr:uid="{1247CC9B-94D0-4509-9424-AF7574CAF122}"/>
    <cellStyle name="Total 14" xfId="6288" xr:uid="{8D8D1BA1-7AF5-4474-974F-4B8AFA70ECDC}"/>
    <cellStyle name="Total 14 10" xfId="11216" xr:uid="{1333F2B4-D143-4E05-89F1-3BD9D6AB2700}"/>
    <cellStyle name="Total 14 11" xfId="13020" xr:uid="{7758424D-E4A1-4535-9A20-EE05D7BFCB4F}"/>
    <cellStyle name="Total 14 12" xfId="9974" xr:uid="{3CBE05D8-391F-4EDE-9DAC-B84EFA5AAA7C}"/>
    <cellStyle name="Total 14 13" xfId="11831" xr:uid="{3CD421E6-7F41-46F2-9285-5AC9152393A0}"/>
    <cellStyle name="Total 14 2" xfId="6289" xr:uid="{295511B6-7839-4DA9-91FC-60473F1AF0AA}"/>
    <cellStyle name="Total 14 2 10" xfId="11952" xr:uid="{842AC162-E971-4A45-AD4B-E3B239D5BF53}"/>
    <cellStyle name="Total 14 2 11" xfId="10867" xr:uid="{72821C58-EF8B-4D86-A8B9-48E58586F0E6}"/>
    <cellStyle name="Total 14 2 12" xfId="11555" xr:uid="{5099FE21-A59F-432F-B7AE-8B596A88FEC7}"/>
    <cellStyle name="Total 14 2 2" xfId="6913" xr:uid="{6E03D5BF-1419-4629-AC88-2B7CF569765D}"/>
    <cellStyle name="Total 14 2 2 10" xfId="11180" xr:uid="{B4A078EA-BBDF-4261-9E90-D2F809170756}"/>
    <cellStyle name="Total 14 2 2 11" xfId="12353" xr:uid="{65EF44A5-2728-46FE-AEB5-0258E72B9047}"/>
    <cellStyle name="Total 14 2 2 2" xfId="7713" xr:uid="{04A01792-A10E-43D8-9426-AA6FBF49F772}"/>
    <cellStyle name="Total 14 2 2 2 10" xfId="16515" xr:uid="{9ADF82F1-2AEB-42AC-A0B2-C4B286704AF3}"/>
    <cellStyle name="Total 14 2 2 2 2" xfId="9353" xr:uid="{9CE31957-00A9-4731-B287-26B796EFCAAC}"/>
    <cellStyle name="Total 14 2 2 2 2 2" xfId="13774" xr:uid="{643DF1EA-F1B6-4594-9EA0-E87C92BCDCE6}"/>
    <cellStyle name="Total 14 2 2 2 2 3" xfId="14736" xr:uid="{315A61A7-8B75-46CF-9BD7-81B8FE3C7685}"/>
    <cellStyle name="Total 14 2 2 2 2 4" xfId="15688" xr:uid="{3D24BB5C-C333-4E4E-8272-317FD4B7C648}"/>
    <cellStyle name="Total 14 2 2 2 2 5" xfId="16566" xr:uid="{BFF1972A-6EDF-41C8-8B53-190350DD8B58}"/>
    <cellStyle name="Total 14 2 2 2 2 6" xfId="17431" xr:uid="{5AD0D09A-F439-4E2E-A0D0-088449D17B0F}"/>
    <cellStyle name="Total 14 2 2 2 2 7" xfId="18207" xr:uid="{9E602679-A923-4321-AAC6-43CC6AFB3244}"/>
    <cellStyle name="Total 14 2 2 2 2 8" xfId="18964" xr:uid="{15845167-593C-4D93-9560-9361688846D3}"/>
    <cellStyle name="Total 14 2 2 2 3" xfId="9791" xr:uid="{51FEEF05-8373-485F-9567-AA93AF31ACF3}"/>
    <cellStyle name="Total 14 2 2 2 3 2" xfId="14195" xr:uid="{AB885834-1CBE-4181-BFA9-7B11A5FFC6CE}"/>
    <cellStyle name="Total 14 2 2 2 3 3" xfId="15155" xr:uid="{DFB83500-372D-4FC2-90E0-4084FA75F98D}"/>
    <cellStyle name="Total 14 2 2 2 3 4" xfId="16107" xr:uid="{C17D4800-535A-49E1-8C2C-527FFDE26250}"/>
    <cellStyle name="Total 14 2 2 2 3 5" xfId="16981" xr:uid="{29A2CA3A-FF0C-4D3C-8E7E-B56A5C508D75}"/>
    <cellStyle name="Total 14 2 2 2 3 6" xfId="17846" xr:uid="{0F9545CA-C1E5-448D-824B-1168131591FC}"/>
    <cellStyle name="Total 14 2 2 2 3 7" xfId="18622" xr:uid="{EE358935-2E99-49E5-8A91-83B29EC26728}"/>
    <cellStyle name="Total 14 2 2 2 3 8" xfId="19379" xr:uid="{F8FDC39D-94E0-4FE1-AF86-332F52EB344B}"/>
    <cellStyle name="Total 14 2 2 2 4" xfId="12760" xr:uid="{3C1275AF-FCA8-4D35-81FA-F4B4C6E9FC2F}"/>
    <cellStyle name="Total 14 2 2 2 5" xfId="13065" xr:uid="{F7497F80-7827-4656-89FF-C94526C3A915}"/>
    <cellStyle name="Total 14 2 2 2 6" xfId="9941" xr:uid="{CE1BFA3B-A082-4E74-AD14-B93D5E1F1D86}"/>
    <cellStyle name="Total 14 2 2 2 7" xfId="13720" xr:uid="{6EED4560-A4DA-4CEC-9F03-14D491AC97C3}"/>
    <cellStyle name="Total 14 2 2 2 8" xfId="14683" xr:uid="{59FD587C-B1F6-41D6-9B30-2A28A2BD0DD0}"/>
    <cellStyle name="Total 14 2 2 2 9" xfId="15635" xr:uid="{81E09604-910A-4EA9-AF0C-8F51EA25F765}"/>
    <cellStyle name="Total 14 2 2 3" xfId="8553" xr:uid="{F00F328B-49DA-4E7D-B750-F008A218881E}"/>
    <cellStyle name="Total 14 2 2 3 2" xfId="13293" xr:uid="{04547EA9-1602-4ED2-8531-95840F77D104}"/>
    <cellStyle name="Total 14 2 2 3 3" xfId="14313" xr:uid="{ED06FAC2-03D5-4EF6-9CE1-67888A580E7E}"/>
    <cellStyle name="Total 14 2 2 3 4" xfId="15273" xr:uid="{FF49F22D-09ED-487F-8B5F-95B727AC3B8F}"/>
    <cellStyle name="Total 14 2 2 3 5" xfId="16222" xr:uid="{EDEA289C-8C18-477D-9C0D-75D5A48CAFC2}"/>
    <cellStyle name="Total 14 2 2 3 6" xfId="17095" xr:uid="{9421C435-2642-4016-BD3C-1E77462F1737}"/>
    <cellStyle name="Total 14 2 2 3 7" xfId="17960" xr:uid="{32886F21-F05B-423D-A7EA-B96A93BC603E}"/>
    <cellStyle name="Total 14 2 2 3 8" xfId="18736" xr:uid="{C7E816B4-94E5-44B3-A2B3-17963D0FD861}"/>
    <cellStyle name="Total 14 2 2 4" xfId="9563" xr:uid="{BFC202B1-A9D8-46C4-A5AF-F3440FD02C71}"/>
    <cellStyle name="Total 14 2 2 4 2" xfId="13967" xr:uid="{6D17162E-4911-4C55-9543-638BA394B5EA}"/>
    <cellStyle name="Total 14 2 2 4 3" xfId="14927" xr:uid="{30B849B1-784D-4B63-B16C-9CE6D4158166}"/>
    <cellStyle name="Total 14 2 2 4 4" xfId="15879" xr:uid="{E40A1780-705C-4E32-9C50-6A3AD60E5A5C}"/>
    <cellStyle name="Total 14 2 2 4 5" xfId="16753" xr:uid="{A0666FC1-669E-47B2-AA90-08E5CD9853AD}"/>
    <cellStyle name="Total 14 2 2 4 6" xfId="17618" xr:uid="{5595E7FC-6BBF-4DCD-A360-63F448AE1A93}"/>
    <cellStyle name="Total 14 2 2 4 7" xfId="18394" xr:uid="{FD24B6EE-C794-4662-9389-8A9E5DFC8261}"/>
    <cellStyle name="Total 14 2 2 4 8" xfId="19151" xr:uid="{1B303B9F-F634-44D4-8D36-79D347BBCA60}"/>
    <cellStyle name="Total 14 2 2 5" xfId="12264" xr:uid="{F9151E9B-F241-4723-A427-9E980CDF8820}"/>
    <cellStyle name="Total 14 2 2 6" xfId="10601" xr:uid="{54820E12-AF15-4BAA-9E52-A3FD7328BAD1}"/>
    <cellStyle name="Total 14 2 2 7" xfId="11980" xr:uid="{A926EB0D-6603-4C87-B55D-956991B9BAFD}"/>
    <cellStyle name="Total 14 2 2 8" xfId="10848" xr:uid="{E10A54FD-16F6-4996-A872-249657288D47}"/>
    <cellStyle name="Total 14 2 2 9" xfId="11574" xr:uid="{7D6988F8-CA7D-4682-B69E-245C019251B5}"/>
    <cellStyle name="Total 14 2 3" xfId="7177" xr:uid="{C426A6DC-8285-4239-AF93-AE4DD2CF5D38}"/>
    <cellStyle name="Total 14 2 3 10" xfId="11983" xr:uid="{D706098E-D1B8-4F76-847A-3A002AA902E0}"/>
    <cellStyle name="Total 14 2 3 2" xfId="8817" xr:uid="{EDDC81F0-4A25-4A63-96C1-CAECA6447764}"/>
    <cellStyle name="Total 14 2 3 2 2" xfId="13476" xr:uid="{15F9BF70-64DA-4C78-8C22-6BE9FE518ACC}"/>
    <cellStyle name="Total 14 2 3 2 3" xfId="14482" xr:uid="{C758297D-F7CD-44F7-80A4-3F4D822788C6}"/>
    <cellStyle name="Total 14 2 3 2 4" xfId="15440" xr:uid="{B7305EF1-AEB9-4D21-80C0-5CE471921CB3}"/>
    <cellStyle name="Total 14 2 3 2 5" xfId="16366" xr:uid="{25258A25-3F4D-4C3B-B5C1-F2ECA311991D}"/>
    <cellStyle name="Total 14 2 3 2 6" xfId="17237" xr:uid="{BB37498A-8959-4B31-BE6F-F1CEE73AB2A0}"/>
    <cellStyle name="Total 14 2 3 2 7" xfId="18084" xr:uid="{87921FF4-2CEE-4217-BF11-DA62E3C2869B}"/>
    <cellStyle name="Total 14 2 3 2 8" xfId="18851" xr:uid="{75C7595D-F401-4A95-A6EA-13300130BFEB}"/>
    <cellStyle name="Total 14 2 3 3" xfId="9678" xr:uid="{3A8E9BB6-FEE5-4ECC-94CF-BD992CDD6001}"/>
    <cellStyle name="Total 14 2 3 3 2" xfId="14082" xr:uid="{F3D9AD71-AA43-4EC9-88A6-34BBC8838E6B}"/>
    <cellStyle name="Total 14 2 3 3 3" xfId="15042" xr:uid="{6C4FF7FF-3BFE-4395-903E-0567987AF175}"/>
    <cellStyle name="Total 14 2 3 3 4" xfId="15994" xr:uid="{B04B99AC-D114-46A0-A3CE-EFE3C521F82E}"/>
    <cellStyle name="Total 14 2 3 3 5" xfId="16868" xr:uid="{7D8EA042-7A16-4050-8E69-E727294563E9}"/>
    <cellStyle name="Total 14 2 3 3 6" xfId="17733" xr:uid="{183A2FAA-FC3F-4479-AEDA-FE38A746ADCB}"/>
    <cellStyle name="Total 14 2 3 3 7" xfId="18509" xr:uid="{CD46EABE-25A2-45E3-81A0-2A970F458870}"/>
    <cellStyle name="Total 14 2 3 3 8" xfId="19266" xr:uid="{28676C88-1DB4-4B0C-AFC8-18D8341F88A8}"/>
    <cellStyle name="Total 14 2 3 4" xfId="12447" xr:uid="{0304FBC8-22FB-4753-AC76-F596CB866D65}"/>
    <cellStyle name="Total 14 2 3 5" xfId="10432" xr:uid="{2B1CD617-3337-4600-B427-628CED67D3AB}"/>
    <cellStyle name="Total 14 2 3 6" xfId="11718" xr:uid="{3A4C9496-5A6D-4734-93B5-7FDEEF23828A}"/>
    <cellStyle name="Total 14 2 3 7" xfId="11068" xr:uid="{7216F5F2-1761-4BA1-A5EC-229A1C6526BC}"/>
    <cellStyle name="Total 14 2 3 8" xfId="12357" xr:uid="{490DF4BF-2038-4DAD-BECC-A6964EA7E116}"/>
    <cellStyle name="Total 14 2 3 9" xfId="10515" xr:uid="{B13906F5-44B3-491B-A65A-B2F5EA389F6F}"/>
    <cellStyle name="Total 14 2 4" xfId="8019" xr:uid="{4AEC7CBF-2552-40FD-B9DA-AC602889C2D6}"/>
    <cellStyle name="Total 14 2 4 2" xfId="12987" xr:uid="{AEF04FEC-7F15-4DFB-9639-8B2513478FD9}"/>
    <cellStyle name="Total 14 2 4 3" xfId="10004" xr:uid="{8400F27A-CFA3-4F25-9832-4305D460B446}"/>
    <cellStyle name="Total 14 2 4 4" xfId="13190" xr:uid="{F3B653E0-8D91-4BD1-8C67-03A54E82B2F7}"/>
    <cellStyle name="Total 14 2 4 5" xfId="9848" xr:uid="{BBAD9D84-7861-4850-B092-452720268568}"/>
    <cellStyle name="Total 14 2 4 6" xfId="13765" xr:uid="{B58E77BD-C2EC-492F-99CC-566E7A8099CC}"/>
    <cellStyle name="Total 14 2 4 7" xfId="14727" xr:uid="{82D8903D-CA48-449F-8D1A-8C7078ADE237}"/>
    <cellStyle name="Total 14 2 4 8" xfId="15679" xr:uid="{737A8DEC-7E30-4EC8-93E6-D6A83A3E2353}"/>
    <cellStyle name="Total 14 2 5" xfId="9450" xr:uid="{6CA51CED-D4B2-476C-9D3A-F1D1422FC85F}"/>
    <cellStyle name="Total 14 2 5 2" xfId="13854" xr:uid="{ED4272CA-01B3-437E-A8DE-1019975139C1}"/>
    <cellStyle name="Total 14 2 5 3" xfId="14814" xr:uid="{BAA9A748-B9A8-400C-9E27-92BE7D7DB489}"/>
    <cellStyle name="Total 14 2 5 4" xfId="15766" xr:uid="{E9EB9FAA-2FBD-4DE3-A204-4536DA18363F}"/>
    <cellStyle name="Total 14 2 5 5" xfId="16640" xr:uid="{C727F92C-D09A-4A65-9BF3-900D5764AC22}"/>
    <cellStyle name="Total 14 2 5 6" xfId="17505" xr:uid="{17D8F8A4-2273-4429-8E22-DCFD50F78A34}"/>
    <cellStyle name="Total 14 2 5 7" xfId="18281" xr:uid="{5B81EC8B-AD9C-46A8-9102-A1041FE50676}"/>
    <cellStyle name="Total 14 2 5 8" xfId="19038" xr:uid="{D86A17EE-2E4F-48C4-BF13-DC589CD04BEB}"/>
    <cellStyle name="Total 14 2 6" xfId="11913" xr:uid="{8B803135-7CC0-4EE8-901B-A8036D1A0F00}"/>
    <cellStyle name="Total 14 2 7" xfId="10904" xr:uid="{83120D49-D11E-4441-8CA1-171355A7306A}"/>
    <cellStyle name="Total 14 2 8" xfId="11524" xr:uid="{69AEBEBD-D115-4C27-97FE-DB38D1BF5DC1}"/>
    <cellStyle name="Total 14 2 9" xfId="11215" xr:uid="{2AA5416C-5F03-4EBE-8134-2A2D492DC856}"/>
    <cellStyle name="Total 14 3" xfId="6912" xr:uid="{D937AF27-033E-4B7C-9F1F-E2150825C9BA}"/>
    <cellStyle name="Total 14 3 10" xfId="14338" xr:uid="{B3D3A27A-E387-4457-B13E-B9D2B9D17213}"/>
    <cellStyle name="Total 14 3 11" xfId="15298" xr:uid="{E10E8BF1-35F3-4BFE-9D27-948A764C95DA}"/>
    <cellStyle name="Total 14 3 2" xfId="7714" xr:uid="{A25BBB0C-F2C4-4690-9B2D-80477950129E}"/>
    <cellStyle name="Total 14 3 2 10" xfId="18109" xr:uid="{7A935698-63E6-4738-AFB3-DE7E7ABEB434}"/>
    <cellStyle name="Total 14 3 2 2" xfId="9354" xr:uid="{77BDC937-8F62-4A99-8A1F-1930662108B3}"/>
    <cellStyle name="Total 14 3 2 2 2" xfId="13775" xr:uid="{591FDAEA-DD39-4797-ACE8-2D4D7B0A2E96}"/>
    <cellStyle name="Total 14 3 2 2 3" xfId="14737" xr:uid="{EC75CE37-787D-4628-8962-53A3134920FC}"/>
    <cellStyle name="Total 14 3 2 2 4" xfId="15689" xr:uid="{49B12EB3-4AC4-48B9-A52B-E855F81950B3}"/>
    <cellStyle name="Total 14 3 2 2 5" xfId="16567" xr:uid="{B755F588-09B4-4B22-A44B-26F1533313BE}"/>
    <cellStyle name="Total 14 3 2 2 6" xfId="17432" xr:uid="{AB69B088-D753-4B87-A881-3111EE040B50}"/>
    <cellStyle name="Total 14 3 2 2 7" xfId="18208" xr:uid="{035D6D27-1416-4041-BB5F-3F4A83CEEB24}"/>
    <cellStyle name="Total 14 3 2 2 8" xfId="18965" xr:uid="{D782778F-DCB5-4575-AFF1-A0A17DD6B5C9}"/>
    <cellStyle name="Total 14 3 2 3" xfId="9792" xr:uid="{850417B4-D9AA-4F18-9D02-43219417014B}"/>
    <cellStyle name="Total 14 3 2 3 2" xfId="14196" xr:uid="{245197FF-58D7-4D53-983C-811AFA0ADDFA}"/>
    <cellStyle name="Total 14 3 2 3 3" xfId="15156" xr:uid="{702F0B48-D170-4A51-8AA6-24E1AF3A05D5}"/>
    <cellStyle name="Total 14 3 2 3 4" xfId="16108" xr:uid="{B219F296-09E3-43A4-B99F-C8EE6BF8AD62}"/>
    <cellStyle name="Total 14 3 2 3 5" xfId="16982" xr:uid="{9C2D0E20-995C-44EB-8392-412E6C175E48}"/>
    <cellStyle name="Total 14 3 2 3 6" xfId="17847" xr:uid="{E1D38023-4F91-4674-B8ED-B7A92294DE48}"/>
    <cellStyle name="Total 14 3 2 3 7" xfId="18623" xr:uid="{6EFF0412-0FD7-4BC3-BC39-DC72E6C9D958}"/>
    <cellStyle name="Total 14 3 2 3 8" xfId="19380" xr:uid="{AAEC5B34-1AD5-44E2-9B22-7100BE69F900}"/>
    <cellStyle name="Total 14 3 2 4" xfId="12761" xr:uid="{F23E3657-0943-4B63-AEEE-4526E19AB155}"/>
    <cellStyle name="Total 14 3 2 5" xfId="13501" xr:uid="{4D95F395-1B64-4440-887F-B53EE00D3B47}"/>
    <cellStyle name="Total 14 3 2 6" xfId="14507" xr:uid="{AFD80544-A7BB-4B76-854F-37834EC19ADF}"/>
    <cellStyle name="Total 14 3 2 7" xfId="15465" xr:uid="{41334230-A25D-44C9-8396-02350CCDB804}"/>
    <cellStyle name="Total 14 3 2 8" xfId="16391" xr:uid="{9B342EEC-8D50-4D16-8F04-FA5D768B89DF}"/>
    <cellStyle name="Total 14 3 2 9" xfId="17262" xr:uid="{86A5D3AB-164F-450E-91A0-7B771B66C021}"/>
    <cellStyle name="Total 14 3 3" xfId="8552" xr:uid="{E2224C93-1969-45AF-B5E6-3529D5D88D70}"/>
    <cellStyle name="Total 14 3 3 2" xfId="13292" xr:uid="{22839234-5551-4F9F-A08C-5BC9F75D20F3}"/>
    <cellStyle name="Total 14 3 3 3" xfId="14312" xr:uid="{DAED39E1-EFF1-4D31-95B1-7806D80CE38D}"/>
    <cellStyle name="Total 14 3 3 4" xfId="15272" xr:uid="{8860D432-9D23-430E-BD69-D83738AA13DE}"/>
    <cellStyle name="Total 14 3 3 5" xfId="16221" xr:uid="{118BE460-30EC-406C-AC3F-C71B5648B010}"/>
    <cellStyle name="Total 14 3 3 6" xfId="17094" xr:uid="{CD6A6216-5A19-4B46-8CC7-0049915E8B46}"/>
    <cellStyle name="Total 14 3 3 7" xfId="17959" xr:uid="{BD95BCC4-4E19-497C-8EA4-9666096CC5CE}"/>
    <cellStyle name="Total 14 3 3 8" xfId="18735" xr:uid="{D05C05E2-5409-4111-89C5-40D7B09C22A8}"/>
    <cellStyle name="Total 14 3 4" xfId="9562" xr:uid="{564A3F56-F8C9-4CB9-BE45-705A5A5753AC}"/>
    <cellStyle name="Total 14 3 4 2" xfId="13966" xr:uid="{7F30A631-BD9D-4FEC-B133-BC28F272B67F}"/>
    <cellStyle name="Total 14 3 4 3" xfId="14926" xr:uid="{8BE6B72D-DD1D-4149-8999-AF67E890913E}"/>
    <cellStyle name="Total 14 3 4 4" xfId="15878" xr:uid="{41934C9A-E9D8-4716-97EB-D174D6FB8B68}"/>
    <cellStyle name="Total 14 3 4 5" xfId="16752" xr:uid="{7E191BC0-E3E7-41B1-B952-3CF923C951C6}"/>
    <cellStyle name="Total 14 3 4 6" xfId="17617" xr:uid="{7BF103A0-5EDA-4357-8EC7-8AFD3212EEF5}"/>
    <cellStyle name="Total 14 3 4 7" xfId="18393" xr:uid="{6D036CA4-9FCF-4F01-A94F-E917A3AFD4CC}"/>
    <cellStyle name="Total 14 3 4 8" xfId="19150" xr:uid="{6AB45EC3-EA1C-4C99-B858-2FD3B3A4BD63}"/>
    <cellStyle name="Total 14 3 5" xfId="12263" xr:uid="{D5FA7C32-386E-45A3-A0FA-28E03740F62E}"/>
    <cellStyle name="Total 14 3 6" xfId="10602" xr:uid="{28D4F469-C955-44FF-BCC7-94A8F5519B67}"/>
    <cellStyle name="Total 14 3 7" xfId="13120" xr:uid="{585DEB18-8B27-40AB-AA16-FE1ECC99D878}"/>
    <cellStyle name="Total 14 3 8" xfId="9906" xr:uid="{53900646-5F7A-422A-86D9-A7960942B9EA}"/>
    <cellStyle name="Total 14 3 9" xfId="13322" xr:uid="{C49CFA64-B882-45CC-A86A-5E7EB9BC4B75}"/>
    <cellStyle name="Total 14 4" xfId="7176" xr:uid="{E8233032-DEA0-4F3E-8905-CCFB2A85B90F}"/>
    <cellStyle name="Total 14 4 10" xfId="12394" xr:uid="{28F5D320-CA14-4238-A3C8-B6B8F3BAB0E5}"/>
    <cellStyle name="Total 14 4 2" xfId="8816" xr:uid="{B55107F6-6DC0-4A28-AF38-B6410E1CB280}"/>
    <cellStyle name="Total 14 4 2 2" xfId="13475" xr:uid="{91CF4E71-4232-4435-85A4-A0726B88AE6F}"/>
    <cellStyle name="Total 14 4 2 3" xfId="14481" xr:uid="{48EE2F7D-CA7D-4CEF-89EF-DB0CE979473D}"/>
    <cellStyle name="Total 14 4 2 4" xfId="15439" xr:uid="{B676F33B-DD0F-4D49-8A0D-58342836A1AF}"/>
    <cellStyle name="Total 14 4 2 5" xfId="16365" xr:uid="{0785F22E-4CC3-4AF7-9C5F-D9292D7FEABE}"/>
    <cellStyle name="Total 14 4 2 6" xfId="17236" xr:uid="{4CEBABE0-BBCC-4893-8CA5-6AC13CFDB40C}"/>
    <cellStyle name="Total 14 4 2 7" xfId="18083" xr:uid="{3A51C719-DD24-49F2-AC14-77D94F0176FC}"/>
    <cellStyle name="Total 14 4 2 8" xfId="18850" xr:uid="{58FBFB58-2CB8-4946-86B5-CB5E5548BF1D}"/>
    <cellStyle name="Total 14 4 3" xfId="9677" xr:uid="{87B044EB-5D96-46B8-9898-C70958991D5A}"/>
    <cellStyle name="Total 14 4 3 2" xfId="14081" xr:uid="{E410BA57-5BB5-4C68-81AB-9A6EB592C150}"/>
    <cellStyle name="Total 14 4 3 3" xfId="15041" xr:uid="{151F690A-C732-4A47-8D24-C7C8D4C850BE}"/>
    <cellStyle name="Total 14 4 3 4" xfId="15993" xr:uid="{D8E7346E-6509-450D-8D89-AE8EB5268C85}"/>
    <cellStyle name="Total 14 4 3 5" xfId="16867" xr:uid="{8E8D13A8-F212-4BA5-8FF6-3B32125EBCF0}"/>
    <cellStyle name="Total 14 4 3 6" xfId="17732" xr:uid="{29BDBD06-CEB1-4CB5-923C-BB6307507E3F}"/>
    <cellStyle name="Total 14 4 3 7" xfId="18508" xr:uid="{0BEE2A9C-76D6-48AC-B750-79F60048A494}"/>
    <cellStyle name="Total 14 4 3 8" xfId="19265" xr:uid="{5D54728F-A2FD-4108-A344-BC35F0A068D0}"/>
    <cellStyle name="Total 14 4 4" xfId="12446" xr:uid="{991A1C73-7AA6-4008-BE17-0983273BF074}"/>
    <cellStyle name="Total 14 4 5" xfId="10433" xr:uid="{EEF99CCE-128F-4FE8-A2B4-0E5E37109599}"/>
    <cellStyle name="Total 14 4 6" xfId="11717" xr:uid="{7E48AB89-EC60-43AB-A29E-FC61E445F0CB}"/>
    <cellStyle name="Total 14 4 7" xfId="11069" xr:uid="{7F4591F3-1129-4E35-9883-2E1EC55B45FE}"/>
    <cellStyle name="Total 14 4 8" xfId="13026" xr:uid="{0BA737B1-BE35-4714-9ECE-3E3F921B25C8}"/>
    <cellStyle name="Total 14 4 9" xfId="9971" xr:uid="{C138525C-4B76-41AD-9B07-A980A105455A}"/>
    <cellStyle name="Total 14 5" xfId="8018" xr:uid="{F408EAF6-6570-4043-8EF2-0671444368B7}"/>
    <cellStyle name="Total 14 5 2" xfId="12986" xr:uid="{5ABE9B29-FE7B-4DC4-9927-B3656386587D}"/>
    <cellStyle name="Total 14 5 3" xfId="10005" xr:uid="{E51B7881-19F0-4D3D-A798-3D2246E906D7}"/>
    <cellStyle name="Total 14 5 4" xfId="13715" xr:uid="{1F0BBE30-98D1-4607-B265-6DD6563147AA}"/>
    <cellStyle name="Total 14 5 5" xfId="14679" xr:uid="{BB53B08F-DD1A-41D8-B42C-740A18B7311A}"/>
    <cellStyle name="Total 14 5 6" xfId="15631" xr:uid="{AC7236F1-B441-465A-A8CF-4BBE42458D43}"/>
    <cellStyle name="Total 14 5 7" xfId="16513" xr:uid="{45F8D3AE-5269-4030-AAEE-557995DF5428}"/>
    <cellStyle name="Total 14 5 8" xfId="17381" xr:uid="{23E38921-A8F6-4B74-8006-D49A7AB78B8C}"/>
    <cellStyle name="Total 14 6" xfId="9449" xr:uid="{A7BE9482-95CC-48EC-B53F-F43161A5C593}"/>
    <cellStyle name="Total 14 6 2" xfId="13853" xr:uid="{FEF106DC-7541-4767-B745-14F2D1596016}"/>
    <cellStyle name="Total 14 6 3" xfId="14813" xr:uid="{6B63C719-C933-4E38-A1D2-A48979FED69C}"/>
    <cellStyle name="Total 14 6 4" xfId="15765" xr:uid="{196D78A7-8612-47E4-8C2B-7D2200F9CCB4}"/>
    <cellStyle name="Total 14 6 5" xfId="16639" xr:uid="{C1C6DC22-02BD-43DF-9C6B-75AE9ACFA7F6}"/>
    <cellStyle name="Total 14 6 6" xfId="17504" xr:uid="{01258FF3-CCB3-418D-B189-2CFD7DBD6686}"/>
    <cellStyle name="Total 14 6 7" xfId="18280" xr:uid="{F7305E5A-82A8-4F42-8855-D5D66551075D}"/>
    <cellStyle name="Total 14 6 8" xfId="19037" xr:uid="{C490363C-585A-4056-A51E-513E1BA0C416}"/>
    <cellStyle name="Total 14 7" xfId="11912" xr:uid="{BF87A74E-6769-4078-8DDB-BF0CBCF8E90B}"/>
    <cellStyle name="Total 14 8" xfId="10905" xr:uid="{B560D6E6-B5E3-40A0-B6B3-FF8D59BC3862}"/>
    <cellStyle name="Total 14 9" xfId="11523" xr:uid="{F1C1211E-E603-4EDF-B9A0-8197DCCC416A}"/>
    <cellStyle name="Total 15" xfId="6290" xr:uid="{14183F45-5701-4CF6-A92E-A79FDA010E94}"/>
    <cellStyle name="Total 15 10" xfId="11214" xr:uid="{C1E790EC-4F45-4517-A5C3-EADDE3B3E8C1}"/>
    <cellStyle name="Total 15 11" xfId="12534" xr:uid="{FDBDAF74-C4D3-48EB-B4F4-FEFFE07D3D31}"/>
    <cellStyle name="Total 15 12" xfId="10349" xr:uid="{CB6EAD8F-E487-46E6-B4A7-17D0386ABE21}"/>
    <cellStyle name="Total 15 13" xfId="11735" xr:uid="{BF25E9DE-B3E1-4CB1-BAB7-AA2D03DBCCF2}"/>
    <cellStyle name="Total 15 2" xfId="6291" xr:uid="{73DEFD88-EF9F-422F-9DB3-81A3DA3A314A}"/>
    <cellStyle name="Total 15 2 10" xfId="13563" xr:uid="{41EB4386-5B86-4002-910F-04A298F9C011}"/>
    <cellStyle name="Total 15 2 11" xfId="14564" xr:uid="{BEC21D78-D731-4914-B578-23949BBFFCD9}"/>
    <cellStyle name="Total 15 2 12" xfId="15522" xr:uid="{18EDBFCF-9AE4-4AF1-9F75-52C9DF220347}"/>
    <cellStyle name="Total 15 2 2" xfId="6915" xr:uid="{C7CEF1FF-04BA-4851-9971-01DFD1A4DC14}"/>
    <cellStyle name="Total 15 2 2 10" xfId="16455" xr:uid="{275606B3-ED27-43E4-8077-EC76D158BBAE}"/>
    <cellStyle name="Total 15 2 2 11" xfId="17326" xr:uid="{8E2FF66F-5416-46AC-91D1-ED17093FADD8}"/>
    <cellStyle name="Total 15 2 2 2" xfId="7715" xr:uid="{0E0EA442-8387-4F31-B704-B5AEF18B2F38}"/>
    <cellStyle name="Total 15 2 2 2 10" xfId="10334" xr:uid="{B73D61C5-8A0E-490A-B53B-8D4F7737133C}"/>
    <cellStyle name="Total 15 2 2 2 2" xfId="9355" xr:uid="{76E21AA0-8600-426D-89EA-013A658F9EF6}"/>
    <cellStyle name="Total 15 2 2 2 2 2" xfId="13776" xr:uid="{24C419D1-D332-41E9-A352-ED6CE9A6F2D3}"/>
    <cellStyle name="Total 15 2 2 2 2 3" xfId="14738" xr:uid="{28F7BACE-8D8E-41F7-A457-56FC98418C58}"/>
    <cellStyle name="Total 15 2 2 2 2 4" xfId="15690" xr:uid="{725AEA39-7169-44E2-A2A5-B35D9A2724A0}"/>
    <cellStyle name="Total 15 2 2 2 2 5" xfId="16568" xr:uid="{AC9BBCD2-FCB6-49FF-9AB0-DFD26157B32E}"/>
    <cellStyle name="Total 15 2 2 2 2 6" xfId="17433" xr:uid="{62F81DE9-4707-47B6-8DD8-1E50C43289A4}"/>
    <cellStyle name="Total 15 2 2 2 2 7" xfId="18209" xr:uid="{B997855D-2EA3-4B23-B797-6FD33E2A99F0}"/>
    <cellStyle name="Total 15 2 2 2 2 8" xfId="18966" xr:uid="{362DC9A2-A67D-4CB4-9F1D-240B6214E5B9}"/>
    <cellStyle name="Total 15 2 2 2 3" xfId="9793" xr:uid="{39AC8903-1638-4362-9A2F-25B0CF523D00}"/>
    <cellStyle name="Total 15 2 2 2 3 2" xfId="14197" xr:uid="{422F4284-D354-4164-AD74-6201E5351C7B}"/>
    <cellStyle name="Total 15 2 2 2 3 3" xfId="15157" xr:uid="{CCFC6F45-CFC1-4445-96CC-A3BC48FE734D}"/>
    <cellStyle name="Total 15 2 2 2 3 4" xfId="16109" xr:uid="{7A04AD63-97A4-4514-8B98-5F39ED491367}"/>
    <cellStyle name="Total 15 2 2 2 3 5" xfId="16983" xr:uid="{766D29AA-0DBD-437D-8FB6-F4600190415A}"/>
    <cellStyle name="Total 15 2 2 2 3 6" xfId="17848" xr:uid="{790C7B0D-E5C8-4C0B-AAB9-2E22A93C8A61}"/>
    <cellStyle name="Total 15 2 2 2 3 7" xfId="18624" xr:uid="{0394C12B-85D5-480E-9524-76EE60483DAE}"/>
    <cellStyle name="Total 15 2 2 2 3 8" xfId="19381" xr:uid="{0F63A1B1-DA35-422B-9553-2856551FD3DC}"/>
    <cellStyle name="Total 15 2 2 2 4" xfId="12762" xr:uid="{EA362A5D-FC1A-42AB-8938-D0D1D02D8867}"/>
    <cellStyle name="Total 15 2 2 2 5" xfId="12472" xr:uid="{BA0E0956-62D3-46B1-AF84-EA9EA651A937}"/>
    <cellStyle name="Total 15 2 2 2 6" xfId="10407" xr:uid="{5EE8E9E9-83B7-4654-82B0-89EDA92DEDC9}"/>
    <cellStyle name="Total 15 2 2 2 7" xfId="11727" xr:uid="{D81423DE-DBA8-4C4F-A267-73CD27ED1FB8}"/>
    <cellStyle name="Total 15 2 2 2 8" xfId="11059" xr:uid="{FD351594-0CAF-4934-ADEA-D9C132BD36C0}"/>
    <cellStyle name="Total 15 2 2 2 9" xfId="12561" xr:uid="{1B1DEAD0-62BA-4794-9624-1DA62F2F78B2}"/>
    <cellStyle name="Total 15 2 2 3" xfId="8555" xr:uid="{F6D44D5E-C268-4A3A-A549-47CBDCC21B3A}"/>
    <cellStyle name="Total 15 2 2 3 2" xfId="13295" xr:uid="{4F2AA09B-5866-40D2-B39A-B91BE05A94E2}"/>
    <cellStyle name="Total 15 2 2 3 3" xfId="14315" xr:uid="{A795F744-C869-42B6-A542-3E0DE750E6D1}"/>
    <cellStyle name="Total 15 2 2 3 4" xfId="15275" xr:uid="{A73799E3-C9EB-40EA-B40B-C7485E26D76D}"/>
    <cellStyle name="Total 15 2 2 3 5" xfId="16224" xr:uid="{97A9E329-0A80-4E75-84DF-79EEC52D0300}"/>
    <cellStyle name="Total 15 2 2 3 6" xfId="17097" xr:uid="{93888BB5-8567-4F11-9F1F-AA2360A69536}"/>
    <cellStyle name="Total 15 2 2 3 7" xfId="17962" xr:uid="{B92195AF-11D7-48F2-AD15-3B24891F850F}"/>
    <cellStyle name="Total 15 2 2 3 8" xfId="18738" xr:uid="{26E0DAEB-45C0-4076-9178-D57BB6F1EB04}"/>
    <cellStyle name="Total 15 2 2 4" xfId="9565" xr:uid="{55B00B2D-65AB-4CC0-AC07-6F7790C65FA9}"/>
    <cellStyle name="Total 15 2 2 4 2" xfId="13969" xr:uid="{91155ECD-9C98-44A6-87F5-4E07F5D89B00}"/>
    <cellStyle name="Total 15 2 2 4 3" xfId="14929" xr:uid="{CA0539DA-F136-4D10-92D7-6B6764A8E0B0}"/>
    <cellStyle name="Total 15 2 2 4 4" xfId="15881" xr:uid="{13570896-7C68-4A80-B9A7-44053FE0F8A4}"/>
    <cellStyle name="Total 15 2 2 4 5" xfId="16755" xr:uid="{A1355A11-6F31-4034-A92C-5266DF843962}"/>
    <cellStyle name="Total 15 2 2 4 6" xfId="17620" xr:uid="{D4CE5839-E455-484A-9971-F1BE330E70F2}"/>
    <cellStyle name="Total 15 2 2 4 7" xfId="18396" xr:uid="{3ABB4F90-3E1A-4FAD-93EA-0339F3E0595D}"/>
    <cellStyle name="Total 15 2 2 4 8" xfId="19153" xr:uid="{5BD1217C-E8A9-4774-820B-8E7EB7B79A7F}"/>
    <cellStyle name="Total 15 2 2 5" xfId="12266" xr:uid="{DE4C3B99-EE74-471A-8E3A-95DD85B24142}"/>
    <cellStyle name="Total 15 2 2 6" xfId="10599" xr:uid="{66F3FDEE-156F-417D-B22A-3EB99F54EDDE}"/>
    <cellStyle name="Total 15 2 2 7" xfId="13625" xr:uid="{BA0F9B08-E116-43B4-882E-F00F2E91749F}"/>
    <cellStyle name="Total 15 2 2 8" xfId="14603" xr:uid="{1B29AE22-544B-4361-B9EC-74E1F9F39773}"/>
    <cellStyle name="Total 15 2 2 9" xfId="15556" xr:uid="{7B8CFD85-9701-4BF8-8DF2-B5420F7F00F8}"/>
    <cellStyle name="Total 15 2 3" xfId="7179" xr:uid="{F2844EBF-A2C2-440A-B77C-B432E43DDB01}"/>
    <cellStyle name="Total 15 2 3 10" xfId="11190" xr:uid="{B9084F05-0BA6-47B6-AA22-7EDF4A97ACFA}"/>
    <cellStyle name="Total 15 2 3 2" xfId="8819" xr:uid="{8524BBDB-B3AE-4ED1-A62F-161AB2C83F4B}"/>
    <cellStyle name="Total 15 2 3 2 2" xfId="13478" xr:uid="{FB2258F5-8942-4521-8323-6F0AC769EA0D}"/>
    <cellStyle name="Total 15 2 3 2 3" xfId="14484" xr:uid="{090825E1-20ED-4C44-B3E2-D62AF5B5BBA4}"/>
    <cellStyle name="Total 15 2 3 2 4" xfId="15442" xr:uid="{A01713A8-917E-4260-989A-D4C07C33BB25}"/>
    <cellStyle name="Total 15 2 3 2 5" xfId="16368" xr:uid="{F414A6DC-664F-4087-A3BB-ECD10D862440}"/>
    <cellStyle name="Total 15 2 3 2 6" xfId="17239" xr:uid="{727D1804-0AAB-49F3-9C59-0475E9353C31}"/>
    <cellStyle name="Total 15 2 3 2 7" xfId="18086" xr:uid="{3523EECF-7D30-4191-8064-37183423A0E4}"/>
    <cellStyle name="Total 15 2 3 2 8" xfId="18853" xr:uid="{00509EA4-E138-4676-923F-E57A233C460F}"/>
    <cellStyle name="Total 15 2 3 3" xfId="9680" xr:uid="{5A33FB35-9087-4DBB-BE50-64D92C558134}"/>
    <cellStyle name="Total 15 2 3 3 2" xfId="14084" xr:uid="{5716E652-57D0-439F-B1A7-5EA8086BE204}"/>
    <cellStyle name="Total 15 2 3 3 3" xfId="15044" xr:uid="{05312EF6-8DFA-45DE-B5C8-6774B23EEA7D}"/>
    <cellStyle name="Total 15 2 3 3 4" xfId="15996" xr:uid="{4C5ECEE0-FE85-4F38-B98D-83F8B68F24CF}"/>
    <cellStyle name="Total 15 2 3 3 5" xfId="16870" xr:uid="{306E8398-26EC-44EB-B76F-BB44F61548D1}"/>
    <cellStyle name="Total 15 2 3 3 6" xfId="17735" xr:uid="{5B1D734F-260C-4CD2-B833-B77A4AF56D6D}"/>
    <cellStyle name="Total 15 2 3 3 7" xfId="18511" xr:uid="{D7F16D8B-D1F5-4F7E-B22D-F4485B53B515}"/>
    <cellStyle name="Total 15 2 3 3 8" xfId="19268" xr:uid="{988D501B-DF39-411F-8A75-D3E763976FE8}"/>
    <cellStyle name="Total 15 2 3 4" xfId="12449" xr:uid="{7B656C2F-F747-41F6-9C77-EEADABC49A0E}"/>
    <cellStyle name="Total 15 2 3 5" xfId="10430" xr:uid="{C3D08421-E29F-4016-96CE-7EEFF3325243}"/>
    <cellStyle name="Total 15 2 3 6" xfId="9824" xr:uid="{04D31899-E3A4-48AE-85D6-C6DB369A7DA8}"/>
    <cellStyle name="Total 15 2 3 7" xfId="11943" xr:uid="{1D34735B-7A8B-4354-B870-06C16B90AA63}"/>
    <cellStyle name="Total 15 2 3 8" xfId="10874" xr:uid="{1E576992-65FE-4D32-92E2-6F74BF9AC6AD}"/>
    <cellStyle name="Total 15 2 3 9" xfId="11549" xr:uid="{78D9F29A-E292-49DB-BF5D-80353100FF87}"/>
    <cellStyle name="Total 15 2 4" xfId="8021" xr:uid="{A43BB60C-C1C3-4E10-9DA8-1DE920CBB4EC}"/>
    <cellStyle name="Total 15 2 4 2" xfId="12989" xr:uid="{893A5B69-5641-4D83-B78E-F58A03D91C43}"/>
    <cellStyle name="Total 15 2 4 3" xfId="12011" xr:uid="{DCC8542B-8A71-4896-AA6A-9C452B973B09}"/>
    <cellStyle name="Total 15 2 4 4" xfId="10822" xr:uid="{2DDBB390-0865-4917-84CF-EF76B428716D}"/>
    <cellStyle name="Total 15 2 4 5" xfId="11599" xr:uid="{11B8E09E-23CE-4F62-9D7F-303522C9C397}"/>
    <cellStyle name="Total 15 2 4 6" xfId="11160" xr:uid="{95F2E353-C477-4761-9B54-4E8AF1A87E47}"/>
    <cellStyle name="Total 15 2 4 7" xfId="12047" xr:uid="{B1A32F79-5689-49F1-A8A7-5E79992C1B26}"/>
    <cellStyle name="Total 15 2 4 8" xfId="10790" xr:uid="{A4EDEC10-AD11-4A59-B38D-DD51A833B475}"/>
    <cellStyle name="Total 15 2 5" xfId="9452" xr:uid="{13A90D81-9C8D-4197-B87D-C91FB4533522}"/>
    <cellStyle name="Total 15 2 5 2" xfId="13856" xr:uid="{05049724-4CCA-4AC2-9C2D-E10DE2D092A6}"/>
    <cellStyle name="Total 15 2 5 3" xfId="14816" xr:uid="{0BE101E3-936E-43B4-B7DA-92023318F3BF}"/>
    <cellStyle name="Total 15 2 5 4" xfId="15768" xr:uid="{CE8045AA-D695-48AB-8D78-8391C26FD241}"/>
    <cellStyle name="Total 15 2 5 5" xfId="16642" xr:uid="{6AF645E1-AA05-4D9B-A4D0-87DADC8A26CF}"/>
    <cellStyle name="Total 15 2 5 6" xfId="17507" xr:uid="{15F38034-87EE-46D0-B6E4-BD8B0A0B1B1A}"/>
    <cellStyle name="Total 15 2 5 7" xfId="18283" xr:uid="{863E4BFD-D471-40CE-9E41-50F3323A0494}"/>
    <cellStyle name="Total 15 2 5 8" xfId="19040" xr:uid="{82000A2F-F277-423A-9C4F-0EAD9DBD3AB5}"/>
    <cellStyle name="Total 15 2 6" xfId="11915" xr:uid="{92F9038F-80A2-45E7-B4FD-FD67F5E28215}"/>
    <cellStyle name="Total 15 2 7" xfId="10902" xr:uid="{CC2B7788-B4E1-48E9-88E4-76B1720A9C90}"/>
    <cellStyle name="Total 15 2 8" xfId="11526" xr:uid="{38C4817B-FD59-494A-B5F4-7F06B4DA6997}"/>
    <cellStyle name="Total 15 2 9" xfId="11213" xr:uid="{3A40E907-CE4C-49CE-A2EC-79E7DA63B9DE}"/>
    <cellStyle name="Total 15 3" xfId="6914" xr:uid="{E747FBA7-D123-440B-8262-E399043FD1DB}"/>
    <cellStyle name="Total 15 3 10" xfId="11036" xr:uid="{0628A2EE-D8C6-45F6-8BE7-F799CBF17C8E}"/>
    <cellStyle name="Total 15 3 11" xfId="12061" xr:uid="{CFC19D40-E9B9-4DC3-BF91-3B0E797A080B}"/>
    <cellStyle name="Total 15 3 2" xfId="7716" xr:uid="{C1C419A3-5743-481A-B48F-7D14243734D9}"/>
    <cellStyle name="Total 15 3 2 10" xfId="11295" xr:uid="{F51509EF-CAA1-46F4-B35C-D10E48F34860}"/>
    <cellStyle name="Total 15 3 2 2" xfId="9356" xr:uid="{CD8D378B-BB3C-42A2-8AA4-80D7EF88F4A2}"/>
    <cellStyle name="Total 15 3 2 2 2" xfId="13777" xr:uid="{538058E3-E8F4-45CC-9058-2BA4B3C295E9}"/>
    <cellStyle name="Total 15 3 2 2 3" xfId="14739" xr:uid="{1FF09A5C-78D4-41A2-AAA3-7D1E142FAFBC}"/>
    <cellStyle name="Total 15 3 2 2 4" xfId="15691" xr:uid="{918E8140-9C29-40B3-B930-8622D7ABE51D}"/>
    <cellStyle name="Total 15 3 2 2 5" xfId="16569" xr:uid="{430484E7-2943-43F7-BA4B-0649106DFC62}"/>
    <cellStyle name="Total 15 3 2 2 6" xfId="17434" xr:uid="{5BB21A1A-9E57-4C17-ADC1-7CC344623098}"/>
    <cellStyle name="Total 15 3 2 2 7" xfId="18210" xr:uid="{9445AD2B-06C9-4DE5-9DD9-83D907DACE14}"/>
    <cellStyle name="Total 15 3 2 2 8" xfId="18967" xr:uid="{4A7E0DBA-9705-4477-A735-E762556C8166}"/>
    <cellStyle name="Total 15 3 2 3" xfId="9794" xr:uid="{F348AD88-A9F2-4FF1-80F3-3845A3DB1048}"/>
    <cellStyle name="Total 15 3 2 3 2" xfId="14198" xr:uid="{5B338AD6-81A9-4612-90D9-4E56BD227329}"/>
    <cellStyle name="Total 15 3 2 3 3" xfId="15158" xr:uid="{699C72E0-4C1A-4D0A-936A-803336848FCC}"/>
    <cellStyle name="Total 15 3 2 3 4" xfId="16110" xr:uid="{E4B1CA1D-1E7C-46BB-8EC6-8DB87F0CDC1C}"/>
    <cellStyle name="Total 15 3 2 3 5" xfId="16984" xr:uid="{6EBA521C-82E0-4A86-82F8-52C9AF3367D5}"/>
    <cellStyle name="Total 15 3 2 3 6" xfId="17849" xr:uid="{7BE71872-6C82-44BC-B200-1B26E6E267F9}"/>
    <cellStyle name="Total 15 3 2 3 7" xfId="18625" xr:uid="{183090DA-56D4-4EC7-A8E0-6CAD5360DA5C}"/>
    <cellStyle name="Total 15 3 2 3 8" xfId="19382" xr:uid="{05C42E8D-456D-44C6-91C3-9706293D31D6}"/>
    <cellStyle name="Total 15 3 2 4" xfId="12763" xr:uid="{12E1D7F1-943C-480D-9580-F3D16BE9F973}"/>
    <cellStyle name="Total 15 3 2 5" xfId="12019" xr:uid="{83607ECA-5A90-45D3-B220-F761D4B4129B}"/>
    <cellStyle name="Total 15 3 2 6" xfId="10814" xr:uid="{2364692C-D8C1-4251-AE5A-FF6432CC222E}"/>
    <cellStyle name="Total 15 3 2 7" xfId="11606" xr:uid="{81435D4C-FEB0-45A6-87A4-D2C9D4D92302}"/>
    <cellStyle name="Total 15 3 2 8" xfId="11153" xr:uid="{EA67D2FF-3693-453C-B886-573528520D0E}"/>
    <cellStyle name="Total 15 3 2 9" xfId="11432" xr:uid="{63D9E8AE-B623-4EA3-8875-BF121D37253D}"/>
    <cellStyle name="Total 15 3 3" xfId="8554" xr:uid="{2A11A32E-BD2F-4B02-AAEE-1EDDE96F97A3}"/>
    <cellStyle name="Total 15 3 3 2" xfId="13294" xr:uid="{EC1BE17D-8247-4F6F-91C5-192DEFB10FFC}"/>
    <cellStyle name="Total 15 3 3 3" xfId="14314" xr:uid="{B9F5191E-B039-4D1E-BCF2-B40B34E21F79}"/>
    <cellStyle name="Total 15 3 3 4" xfId="15274" xr:uid="{ACF9D602-BB32-4FF1-B47A-0EB5549D819C}"/>
    <cellStyle name="Total 15 3 3 5" xfId="16223" xr:uid="{6FE1F0E4-64EC-4EDA-8849-4E63D0425CE5}"/>
    <cellStyle name="Total 15 3 3 6" xfId="17096" xr:uid="{3E6F811F-3DED-405D-B171-4F03E179CB15}"/>
    <cellStyle name="Total 15 3 3 7" xfId="17961" xr:uid="{15209C77-A005-4A50-8F01-5535D812CFAD}"/>
    <cellStyle name="Total 15 3 3 8" xfId="18737" xr:uid="{D01870A3-03E6-4C9A-8140-00238B655693}"/>
    <cellStyle name="Total 15 3 4" xfId="9564" xr:uid="{4349FC78-8844-4F0D-ADD2-50828CF870B1}"/>
    <cellStyle name="Total 15 3 4 2" xfId="13968" xr:uid="{852960B5-D663-4B5F-823E-19A1ED45AFEC}"/>
    <cellStyle name="Total 15 3 4 3" xfId="14928" xr:uid="{71558E2D-3268-47E9-963A-DBBBB7C7BF36}"/>
    <cellStyle name="Total 15 3 4 4" xfId="15880" xr:uid="{B57594A9-0817-43C1-8301-5B4AE6A1CA4A}"/>
    <cellStyle name="Total 15 3 4 5" xfId="16754" xr:uid="{FB773CF0-6569-4F96-99D6-A2F78F8140E6}"/>
    <cellStyle name="Total 15 3 4 6" xfId="17619" xr:uid="{D8B06F15-EADC-468D-83C6-BFE020DA8A7E}"/>
    <cellStyle name="Total 15 3 4 7" xfId="18395" xr:uid="{7E0FDBF7-69B8-445B-8F48-46D0E72BD9E1}"/>
    <cellStyle name="Total 15 3 4 8" xfId="19152" xr:uid="{0DD7700A-D3B5-4BFA-B474-8E8298A2B673}"/>
    <cellStyle name="Total 15 3 5" xfId="12265" xr:uid="{8D691D15-C7B7-46DD-AC3C-0F50518C72B4}"/>
    <cellStyle name="Total 15 3 6" xfId="10600" xr:uid="{23BEFAF1-E529-472B-9F66-845C0F7FB5E7}"/>
    <cellStyle name="Total 15 3 7" xfId="12603" xr:uid="{E8A47F2F-BAAE-4989-BE31-87F1F367712A}"/>
    <cellStyle name="Total 15 3 8" xfId="10301" xr:uid="{A2C9B972-1EA9-4261-B949-3A9DEEC574BB}"/>
    <cellStyle name="Total 15 3 9" xfId="11761" xr:uid="{4071D134-4BB3-4C6C-8407-3D430BCD36F8}"/>
    <cellStyle name="Total 15 4" xfId="7178" xr:uid="{B1286D28-76A7-47BB-B1ED-CC47DDCA6BE8}"/>
    <cellStyle name="Total 15 4 10" xfId="15356" xr:uid="{FAFB329C-9DA6-4310-9FD0-7E234DAAE76F}"/>
    <cellStyle name="Total 15 4 2" xfId="8818" xr:uid="{81051505-8EE0-44B5-9538-9342AB5D1FFC}"/>
    <cellStyle name="Total 15 4 2 2" xfId="13477" xr:uid="{7C34B2C8-D250-4604-BB39-976DF7647CA3}"/>
    <cellStyle name="Total 15 4 2 3" xfId="14483" xr:uid="{16456FE0-4ACC-495E-AD71-2707BCF32D26}"/>
    <cellStyle name="Total 15 4 2 4" xfId="15441" xr:uid="{BAEB26CA-5AA7-4412-994A-027D5B15E242}"/>
    <cellStyle name="Total 15 4 2 5" xfId="16367" xr:uid="{F1F98C38-689E-46D4-BCB7-136BD186B86C}"/>
    <cellStyle name="Total 15 4 2 6" xfId="17238" xr:uid="{36E0049D-8791-4507-BCF2-3AF63210C3A2}"/>
    <cellStyle name="Total 15 4 2 7" xfId="18085" xr:uid="{4E7A8827-3DFF-4708-AB83-14089F814ED1}"/>
    <cellStyle name="Total 15 4 2 8" xfId="18852" xr:uid="{000BB956-F1DA-44B1-BF6C-78423FC2847E}"/>
    <cellStyle name="Total 15 4 3" xfId="9679" xr:uid="{D5054965-FC3A-4DCA-8523-93CE0F87E223}"/>
    <cellStyle name="Total 15 4 3 2" xfId="14083" xr:uid="{D832AB87-75A8-4FD2-9E78-4FD2C36EDA45}"/>
    <cellStyle name="Total 15 4 3 3" xfId="15043" xr:uid="{FFF1A478-54FB-47B3-ADA6-5902E479701B}"/>
    <cellStyle name="Total 15 4 3 4" xfId="15995" xr:uid="{84613C15-799D-41E6-BB5D-ABA98C63627D}"/>
    <cellStyle name="Total 15 4 3 5" xfId="16869" xr:uid="{3F513483-5063-458E-8C49-A037E4F3AD70}"/>
    <cellStyle name="Total 15 4 3 6" xfId="17734" xr:uid="{AAF87FA2-2697-4484-A4B4-69B7B70BDFC6}"/>
    <cellStyle name="Total 15 4 3 7" xfId="18510" xr:uid="{C8B548EF-5000-4F25-9ACF-1540C501EC4C}"/>
    <cellStyle name="Total 15 4 3 8" xfId="19267" xr:uid="{4CC6987C-9B41-441B-8746-10ADB68998F1}"/>
    <cellStyle name="Total 15 4 4" xfId="12448" xr:uid="{101D4E85-94E5-457C-BC4F-B35D774952CA}"/>
    <cellStyle name="Total 15 4 5" xfId="10431" xr:uid="{A6E2B845-122A-4920-89EF-A50361BED56C}"/>
    <cellStyle name="Total 15 4 6" xfId="11719" xr:uid="{C1DBA60B-ED32-4A2D-B3E5-8B9C4CDD3675}"/>
    <cellStyle name="Total 15 4 7" xfId="11067" xr:uid="{EBE026A6-B92A-43C9-9F88-A414D9425B2A}"/>
    <cellStyle name="Total 15 4 8" xfId="13387" xr:uid="{BE05646A-0746-4B70-BBE9-915E3943AEFA}"/>
    <cellStyle name="Total 15 4 9" xfId="14398" xr:uid="{4B496137-6D04-4EBA-8B78-240552856AE3}"/>
    <cellStyle name="Total 15 5" xfId="8020" xr:uid="{FA9100E8-A342-4288-BF05-D6D8821FFC9C}"/>
    <cellStyle name="Total 15 5 2" xfId="12988" xr:uid="{C84F8923-5048-4B52-9897-A8F901A07D0F}"/>
    <cellStyle name="Total 15 5 3" xfId="10003" xr:uid="{11F7F440-B386-4F4E-B4C4-C3FE7704B1AE}"/>
    <cellStyle name="Total 15 5 4" xfId="11998" xr:uid="{701648CA-8761-4D95-9B52-E1BB373CE798}"/>
    <cellStyle name="Total 15 5 5" xfId="10832" xr:uid="{C51B5D91-966C-4589-A2A2-5E924CAF16D2}"/>
    <cellStyle name="Total 15 5 6" xfId="11590" xr:uid="{6331D13C-E3E5-40DE-BFC0-22DD7BE75E70}"/>
    <cellStyle name="Total 15 5 7" xfId="11167" xr:uid="{91D28D28-4683-471E-BD06-444F1C03E2FE}"/>
    <cellStyle name="Total 15 5 8" xfId="11430" xr:uid="{E7DC8D4B-E878-419A-A270-72DEB8B3A082}"/>
    <cellStyle name="Total 15 6" xfId="9451" xr:uid="{984535D0-572A-4591-818C-2F2049A42CCD}"/>
    <cellStyle name="Total 15 6 2" xfId="13855" xr:uid="{559AF2AA-90C8-41F9-A358-2234ADA1954C}"/>
    <cellStyle name="Total 15 6 3" xfId="14815" xr:uid="{8A8C1A7D-C062-403B-A665-76DDE497C7C7}"/>
    <cellStyle name="Total 15 6 4" xfId="15767" xr:uid="{A51E9457-6DC6-4870-8356-65E6FC674CD1}"/>
    <cellStyle name="Total 15 6 5" xfId="16641" xr:uid="{5770210A-BB1F-4661-9506-59A4CBEC61EA}"/>
    <cellStyle name="Total 15 6 6" xfId="17506" xr:uid="{7AA83C8D-661B-4CDA-BE0A-01A7C110FCF2}"/>
    <cellStyle name="Total 15 6 7" xfId="18282" xr:uid="{CE14B2FA-2D05-4F06-AECD-0BCB6CAC7A82}"/>
    <cellStyle name="Total 15 6 8" xfId="19039" xr:uid="{54DF0A57-8AC4-4426-925A-9CC06C6C9192}"/>
    <cellStyle name="Total 15 7" xfId="11914" xr:uid="{199D6852-E97C-4575-84A4-39F3D7421926}"/>
    <cellStyle name="Total 15 8" xfId="10903" xr:uid="{39C44C4E-2475-4E43-8AC3-F3C7C7F76146}"/>
    <cellStyle name="Total 15 9" xfId="11525" xr:uid="{F8C140A7-E41B-45E3-A4FB-A712F7A61F26}"/>
    <cellStyle name="Total 16" xfId="6292" xr:uid="{309344EA-AAB6-4628-B52B-70349C1FE659}"/>
    <cellStyle name="Total 16 10" xfId="13015" xr:uid="{5A23DEC7-9BA2-4A51-A7AF-A50F8CB67590}"/>
    <cellStyle name="Total 16 11" xfId="9978" xr:uid="{229EC0F1-EE9B-4A73-8BF5-6D449F3FABF5}"/>
    <cellStyle name="Total 16 12" xfId="11827" xr:uid="{7F8782B1-C3F9-446B-A847-1D82A4831374}"/>
    <cellStyle name="Total 16 2" xfId="6916" xr:uid="{450D4020-E9EA-48C9-B72A-90D7BBB36766}"/>
    <cellStyle name="Total 16 2 10" xfId="11598" xr:uid="{A9A86CAF-2423-412B-8E67-F056A7C9D4B4}"/>
    <cellStyle name="Total 16 2 11" xfId="11161" xr:uid="{DF98A6EB-B0FD-4755-B5D6-8040F863D820}"/>
    <cellStyle name="Total 16 2 2" xfId="7717" xr:uid="{A2F801D5-FE82-4B29-835A-38208CF1EDC2}"/>
    <cellStyle name="Total 16 2 2 10" xfId="14576" xr:uid="{3441CEE7-94FF-493C-8C84-9403E8ADCFE9}"/>
    <cellStyle name="Total 16 2 2 2" xfId="9357" xr:uid="{640624CE-217F-4AE3-AD6E-3116E3543353}"/>
    <cellStyle name="Total 16 2 2 2 2" xfId="13778" xr:uid="{6D883DE1-CE92-41D8-AF25-2DE59C978AF0}"/>
    <cellStyle name="Total 16 2 2 2 3" xfId="14740" xr:uid="{DAB3627C-1492-4BA0-A2AA-590BE0C6902D}"/>
    <cellStyle name="Total 16 2 2 2 4" xfId="15692" xr:uid="{0CAD3E81-742C-461D-A0A5-0D695A66AEEF}"/>
    <cellStyle name="Total 16 2 2 2 5" xfId="16570" xr:uid="{BBB893E4-C037-4666-9B14-1FBBF7F32007}"/>
    <cellStyle name="Total 16 2 2 2 6" xfId="17435" xr:uid="{E579922A-1706-4DD6-B9A9-59E768D8CCD4}"/>
    <cellStyle name="Total 16 2 2 2 7" xfId="18211" xr:uid="{FEA3053B-B369-463E-92BF-AC37FE6A34BC}"/>
    <cellStyle name="Total 16 2 2 2 8" xfId="18968" xr:uid="{32F749AF-45D5-41B2-9D40-CCC805CE76A6}"/>
    <cellStyle name="Total 16 2 2 3" xfId="9795" xr:uid="{237BFCA6-B849-446A-BF80-9768A4528FF6}"/>
    <cellStyle name="Total 16 2 2 3 2" xfId="14199" xr:uid="{9C053846-7725-4207-94B4-25C683D25A10}"/>
    <cellStyle name="Total 16 2 2 3 3" xfId="15159" xr:uid="{97DDBC26-68E5-4031-886C-8CBCBE84ED15}"/>
    <cellStyle name="Total 16 2 2 3 4" xfId="16111" xr:uid="{A2CD2394-83E6-43C6-8694-8F1D8425D7D2}"/>
    <cellStyle name="Total 16 2 2 3 5" xfId="16985" xr:uid="{C8F05518-5646-4520-9DA7-31870E4D1A73}"/>
    <cellStyle name="Total 16 2 2 3 6" xfId="17850" xr:uid="{013EBD6C-3830-4A52-9E60-DD294D74935A}"/>
    <cellStyle name="Total 16 2 2 3 7" xfId="18626" xr:uid="{796969DA-453D-4476-ABC1-35512B866091}"/>
    <cellStyle name="Total 16 2 2 3 8" xfId="19383" xr:uid="{DE4E1913-CA83-4538-BBCD-A6CE4DDB532A}"/>
    <cellStyle name="Total 16 2 2 4" xfId="12764" xr:uid="{6634185F-037E-46CA-9B1E-D36FC0F2E687}"/>
    <cellStyle name="Total 16 2 2 5" xfId="12795" xr:uid="{3993E591-32C8-436A-B185-EF81CCF303D7}"/>
    <cellStyle name="Total 16 2 2 6" xfId="10176" xr:uid="{5001B312-094F-4AEC-B69D-59EAEDED63E0}"/>
    <cellStyle name="Total 16 2 2 7" xfId="11783" xr:uid="{88EBFEB5-1414-47F6-BC9B-93FAB65A8488}"/>
    <cellStyle name="Total 16 2 2 8" xfId="11021" xr:uid="{90C24E1B-066F-49D2-BACF-D1952C36F451}"/>
    <cellStyle name="Total 16 2 2 9" xfId="13594" xr:uid="{15098BB6-FD63-4E02-9D49-ECE1BA8EDC1F}"/>
    <cellStyle name="Total 16 2 3" xfId="8556" xr:uid="{1482BB2A-E70E-4805-AC6E-0A3141084892}"/>
    <cellStyle name="Total 16 2 3 2" xfId="13296" xr:uid="{A980AFE7-3D54-426B-9088-E04AF7BB9E5B}"/>
    <cellStyle name="Total 16 2 3 3" xfId="14316" xr:uid="{0162FE8C-967D-4303-8A85-8D03B83167E5}"/>
    <cellStyle name="Total 16 2 3 4" xfId="15276" xr:uid="{BB51592E-7A97-4293-ABA5-AD6185EE3869}"/>
    <cellStyle name="Total 16 2 3 5" xfId="16225" xr:uid="{033190CF-F56D-4530-8D37-FED1598FA463}"/>
    <cellStyle name="Total 16 2 3 6" xfId="17098" xr:uid="{EB15C149-8A0D-4943-B950-AEC2C04916A2}"/>
    <cellStyle name="Total 16 2 3 7" xfId="17963" xr:uid="{7FC555BC-A925-44BF-8911-E528D36FA93A}"/>
    <cellStyle name="Total 16 2 3 8" xfId="18739" xr:uid="{A89787EA-4F69-4FF1-82C3-6AB26C6EE5C0}"/>
    <cellStyle name="Total 16 2 4" xfId="9566" xr:uid="{1E593705-689D-4395-B5E7-5CD048CF1B95}"/>
    <cellStyle name="Total 16 2 4 2" xfId="13970" xr:uid="{58B89D17-2CDD-41BE-89DC-8B7B129B9E14}"/>
    <cellStyle name="Total 16 2 4 3" xfId="14930" xr:uid="{6BE5750C-761A-47C0-B977-4659E15D623E}"/>
    <cellStyle name="Total 16 2 4 4" xfId="15882" xr:uid="{E14F4B47-B879-4058-BA57-B13FFACB57C2}"/>
    <cellStyle name="Total 16 2 4 5" xfId="16756" xr:uid="{AD8E824F-6449-4BFB-A46F-FC26B3704673}"/>
    <cellStyle name="Total 16 2 4 6" xfId="17621" xr:uid="{B264BB64-8AB0-4A68-A6BD-D7E69EC1F7B3}"/>
    <cellStyle name="Total 16 2 4 7" xfId="18397" xr:uid="{D0BAC82B-B65B-47CB-8C05-7BD909FC0745}"/>
    <cellStyle name="Total 16 2 4 8" xfId="19154" xr:uid="{5635DCAB-76DD-4F3A-9969-F7FD9E252586}"/>
    <cellStyle name="Total 16 2 5" xfId="12267" xr:uid="{5C25E648-246B-422F-A030-E7A4B21C1286}"/>
    <cellStyle name="Total 16 2 6" xfId="10598" xr:uid="{BF6CE173-056D-4D79-8923-BFC7C09D3585}"/>
    <cellStyle name="Total 16 2 7" xfId="13037" xr:uid="{2310C63F-8BD2-4D44-BB26-717C6C53C3BA}"/>
    <cellStyle name="Total 16 2 8" xfId="12010" xr:uid="{41BEA89A-B7C6-4426-A1CE-73964A590B25}"/>
    <cellStyle name="Total 16 2 9" xfId="10823" xr:uid="{0FAB2EF2-5CA1-4718-B7D2-60F8A443FA57}"/>
    <cellStyle name="Total 16 3" xfId="7180" xr:uid="{1A928E71-4D13-481A-8DA4-9CAE64E49520}"/>
    <cellStyle name="Total 16 3 10" xfId="13170" xr:uid="{05599C39-433D-49DA-8795-EF82B4CEDC8C}"/>
    <cellStyle name="Total 16 3 2" xfId="8820" xr:uid="{26152EA2-1378-43AE-A0DF-ADB60E387764}"/>
    <cellStyle name="Total 16 3 2 2" xfId="13479" xr:uid="{EB335193-2404-48D0-B6DC-878D7EB4C5AC}"/>
    <cellStyle name="Total 16 3 2 3" xfId="14485" xr:uid="{5424CD5D-F80C-429C-B2A6-EED93FEC388E}"/>
    <cellStyle name="Total 16 3 2 4" xfId="15443" xr:uid="{3A84BF94-319B-43E0-B5E8-DA9A53914B19}"/>
    <cellStyle name="Total 16 3 2 5" xfId="16369" xr:uid="{568DF50F-D33B-4E1D-9074-87BC86EF863A}"/>
    <cellStyle name="Total 16 3 2 6" xfId="17240" xr:uid="{FF51FBCA-E897-4CE1-BB59-8E8730BFD5A0}"/>
    <cellStyle name="Total 16 3 2 7" xfId="18087" xr:uid="{653EC056-102C-4B44-9AFD-E2C5F275B04D}"/>
    <cellStyle name="Total 16 3 2 8" xfId="18854" xr:uid="{B80E8A91-5601-42BB-82FF-5CD0925DCA95}"/>
    <cellStyle name="Total 16 3 3" xfId="9681" xr:uid="{7904C726-D3BC-40E3-B06C-5369CCFE30CD}"/>
    <cellStyle name="Total 16 3 3 2" xfId="14085" xr:uid="{59FE5C37-A03B-4475-A9FB-A467A6028F88}"/>
    <cellStyle name="Total 16 3 3 3" xfId="15045" xr:uid="{63B5E4AA-DB88-43D6-9D07-D311465A5408}"/>
    <cellStyle name="Total 16 3 3 4" xfId="15997" xr:uid="{50931454-7890-4BF0-B618-46A51CEC580D}"/>
    <cellStyle name="Total 16 3 3 5" xfId="16871" xr:uid="{0C6195C2-BCE9-40A7-8AA7-E8E088ED9D82}"/>
    <cellStyle name="Total 16 3 3 6" xfId="17736" xr:uid="{B0FEFCD8-6340-4AEC-9EA4-A3D12EC4A4C1}"/>
    <cellStyle name="Total 16 3 3 7" xfId="18512" xr:uid="{58F99AA5-EFB4-4F97-AC5D-E69D081A3185}"/>
    <cellStyle name="Total 16 3 3 8" xfId="19269" xr:uid="{1A5D135E-D039-452E-85E5-2563D6CAA6EB}"/>
    <cellStyle name="Total 16 3 4" xfId="12450" xr:uid="{B1750583-C3BA-4D8F-B91A-5079A30315D3}"/>
    <cellStyle name="Total 16 3 5" xfId="10429" xr:uid="{C122CD35-8EB0-4724-95D8-84DFFB7A6FF7}"/>
    <cellStyle name="Total 16 3 6" xfId="11720" xr:uid="{4E89C927-8772-421A-96B3-9CCDAA72BC07}"/>
    <cellStyle name="Total 16 3 7" xfId="11066" xr:uid="{730FE0CA-DD4B-4984-A249-0484A4FA1F76}"/>
    <cellStyle name="Total 16 3 8" xfId="12875" xr:uid="{A6476FEB-3979-4B20-85A4-621B221A96C5}"/>
    <cellStyle name="Total 16 3 9" xfId="10104" xr:uid="{159E31DE-7218-4010-B2EE-B5AA68B14502}"/>
    <cellStyle name="Total 16 4" xfId="8022" xr:uid="{8C542578-3994-4029-BAC3-507D2A058113}"/>
    <cellStyle name="Total 16 4 2" xfId="12990" xr:uid="{A194895C-D18B-4179-AABF-03BBA27BD2B0}"/>
    <cellStyle name="Total 16 4 3" xfId="10002" xr:uid="{8023A2A9-1636-4BC5-9D1F-D1DA0F882A4B}"/>
    <cellStyle name="Total 16 4 4" xfId="12695" xr:uid="{874074A4-DEA2-4217-B4B2-F3ADC9C49795}"/>
    <cellStyle name="Total 16 4 5" xfId="10226" xr:uid="{1B475200-D0A8-44DF-87A8-5826CA51357D}"/>
    <cellStyle name="Total 16 4 6" xfId="13680" xr:uid="{6B4EFBD7-8C6D-46CA-BD1B-9ABB156ED6AF}"/>
    <cellStyle name="Total 16 4 7" xfId="14649" xr:uid="{2CDE2A29-B888-4766-9F85-144586842DC2}"/>
    <cellStyle name="Total 16 4 8" xfId="15601" xr:uid="{202D9D31-992E-4A12-A9F3-905AA42FE796}"/>
    <cellStyle name="Total 16 5" xfId="9453" xr:uid="{243E3D9F-74E4-4ACB-883D-B5EDDFFE3013}"/>
    <cellStyle name="Total 16 5 2" xfId="13857" xr:uid="{94562DF5-3205-46E3-B5B4-96C721AA6D42}"/>
    <cellStyle name="Total 16 5 3" xfId="14817" xr:uid="{51CB919D-C681-4FE5-98E0-B83D53912E4A}"/>
    <cellStyle name="Total 16 5 4" xfId="15769" xr:uid="{2D8322B2-BD88-4045-A0AE-D78B516F6255}"/>
    <cellStyle name="Total 16 5 5" xfId="16643" xr:uid="{B5ECBE82-DCEE-49AE-A6F9-A6E58E9BE897}"/>
    <cellStyle name="Total 16 5 6" xfId="17508" xr:uid="{3E8DE650-B440-4196-B8E6-E9D9A5C1E4A6}"/>
    <cellStyle name="Total 16 5 7" xfId="18284" xr:uid="{1A167A72-FEA8-4B0D-AF24-A09E45258001}"/>
    <cellStyle name="Total 16 5 8" xfId="19041" xr:uid="{D1548B52-BF2F-4F0C-B5AD-04F079E86351}"/>
    <cellStyle name="Total 16 6" xfId="11916" xr:uid="{6FEBD509-37C3-4C13-83CE-1CCAF370F06E}"/>
    <cellStyle name="Total 16 7" xfId="10901" xr:uid="{4909CC68-87BC-437C-8E17-AC5AB6B3333D}"/>
    <cellStyle name="Total 16 8" xfId="11527" xr:uid="{704CA315-62D2-418A-9B64-FCEBBD628771}"/>
    <cellStyle name="Total 16 9" xfId="11212" xr:uid="{70CB07B7-4977-422A-8727-6375B1C62D29}"/>
    <cellStyle name="Total 17" xfId="6293" xr:uid="{15A7946F-561B-447E-A7D6-EE0970817D58}"/>
    <cellStyle name="Total 17 10" xfId="11953" xr:uid="{82440E19-3D5B-410A-AB0C-36ECBE3A44F4}"/>
    <cellStyle name="Total 17 11" xfId="10866" xr:uid="{BC6FB4F4-BAC3-48EB-A2EA-F60F1CDC4C3F}"/>
    <cellStyle name="Total 17 12" xfId="11556" xr:uid="{97338F12-C52F-44BF-B86C-4CF42F25B88C}"/>
    <cellStyle name="Total 17 2" xfId="6917" xr:uid="{97FAF42E-AD73-424A-8ECF-0A8785997F78}"/>
    <cellStyle name="Total 17 2 10" xfId="14620" xr:uid="{13F50EC2-5D53-49ED-89BC-0247FFD96FD6}"/>
    <cellStyle name="Total 17 2 11" xfId="15573" xr:uid="{2BFD3F3E-4DEA-4F82-97D5-B0467709946D}"/>
    <cellStyle name="Total 17 2 2" xfId="7718" xr:uid="{448642BC-2888-4CE4-B4BE-27C4D1A256C4}"/>
    <cellStyle name="Total 17 2 2 10" xfId="18007" xr:uid="{F15BCCDB-2114-4142-8628-A5C37B44D3D9}"/>
    <cellStyle name="Total 17 2 2 2" xfId="9358" xr:uid="{10D131F6-30F8-4C43-8441-0D66F725F021}"/>
    <cellStyle name="Total 17 2 2 2 2" xfId="13779" xr:uid="{0A7F6C8B-C50B-4936-B3D8-7DA41B63C2EB}"/>
    <cellStyle name="Total 17 2 2 2 3" xfId="14741" xr:uid="{C586471B-79BC-40D0-AAED-6ED6CCBF5D08}"/>
    <cellStyle name="Total 17 2 2 2 4" xfId="15693" xr:uid="{8A5D2A5D-0A7C-4A0D-8727-F8DFD6BFAB47}"/>
    <cellStyle name="Total 17 2 2 2 5" xfId="16571" xr:uid="{897E5CD4-9D12-4F59-AD9F-BACFED9F317C}"/>
    <cellStyle name="Total 17 2 2 2 6" xfId="17436" xr:uid="{1C799781-6270-488E-BF3B-6E371DA80B9A}"/>
    <cellStyle name="Total 17 2 2 2 7" xfId="18212" xr:uid="{203378CA-3533-419E-B3B4-BC40AF3074CD}"/>
    <cellStyle name="Total 17 2 2 2 8" xfId="18969" xr:uid="{89F7CCA1-4720-4033-909D-C2958489F812}"/>
    <cellStyle name="Total 17 2 2 3" xfId="9796" xr:uid="{83952FDE-94AF-4AF4-842A-06B9E217494D}"/>
    <cellStyle name="Total 17 2 2 3 2" xfId="14200" xr:uid="{AE9C4E56-9931-4817-9320-8ADF09C71272}"/>
    <cellStyle name="Total 17 2 2 3 3" xfId="15160" xr:uid="{F41710D8-1BA4-4999-9301-72836101CC68}"/>
    <cellStyle name="Total 17 2 2 3 4" xfId="16112" xr:uid="{71E23D68-0AC4-46FB-8799-6B9EBF722C3D}"/>
    <cellStyle name="Total 17 2 2 3 5" xfId="16986" xr:uid="{F3D15F61-B418-494D-B135-92E50198C7DD}"/>
    <cellStyle name="Total 17 2 2 3 6" xfId="17851" xr:uid="{11BBBAAC-E903-4A5C-B758-24F0179EC297}"/>
    <cellStyle name="Total 17 2 2 3 7" xfId="18627" xr:uid="{C37ED6CB-46F3-4BD6-A053-B1CD0A310C72}"/>
    <cellStyle name="Total 17 2 2 3 8" xfId="19384" xr:uid="{FAB729D6-1A0C-4A63-9A22-69C858A483C5}"/>
    <cellStyle name="Total 17 2 2 4" xfId="12765" xr:uid="{09D92E63-6836-403B-896E-9F16332ADF7A}"/>
    <cellStyle name="Total 17 2 2 5" xfId="13351" xr:uid="{82FBDA15-FE80-4FED-8A5E-9D0A3FC646DF}"/>
    <cellStyle name="Total 17 2 2 6" xfId="14365" xr:uid="{B54DEA25-4F36-46EA-8615-F92ACC972740}"/>
    <cellStyle name="Total 17 2 2 7" xfId="15325" xr:uid="{77A008CD-FAB8-49BB-91DC-E619EE60F6F6}"/>
    <cellStyle name="Total 17 2 2 8" xfId="16269" xr:uid="{03D01C1C-1FED-4437-961B-756947361FA9}"/>
    <cellStyle name="Total 17 2 2 9" xfId="17142" xr:uid="{9AA27FCA-C3B1-4BCE-98A1-D9627F23691C}"/>
    <cellStyle name="Total 17 2 3" xfId="8557" xr:uid="{F9BBB3CA-6266-4DAD-ADF8-D519843A68CC}"/>
    <cellStyle name="Total 17 2 3 2" xfId="13297" xr:uid="{C3053E37-5F1B-4D45-A333-0C1AAB0482BE}"/>
    <cellStyle name="Total 17 2 3 3" xfId="14317" xr:uid="{46640573-906D-4EB9-ABDB-F264A5E64BEE}"/>
    <cellStyle name="Total 17 2 3 4" xfId="15277" xr:uid="{BE4A4C24-B307-4388-8E1B-B0C3BCB5720D}"/>
    <cellStyle name="Total 17 2 3 5" xfId="16226" xr:uid="{48A65053-895E-4A27-9E07-F3F3974D564A}"/>
    <cellStyle name="Total 17 2 3 6" xfId="17099" xr:uid="{D1CA9869-4B56-4CB7-90F2-9C93CABBCA0B}"/>
    <cellStyle name="Total 17 2 3 7" xfId="17964" xr:uid="{B2BD7A4C-C533-4A7D-BAC6-FE6697CF445F}"/>
    <cellStyle name="Total 17 2 3 8" xfId="18740" xr:uid="{FDC20690-006A-4D0D-A5CF-BDD02D1829E7}"/>
    <cellStyle name="Total 17 2 4" xfId="9567" xr:uid="{7E5B5271-1B1B-48ED-901F-3B663CA3EFFE}"/>
    <cellStyle name="Total 17 2 4 2" xfId="13971" xr:uid="{04AE2E83-B16A-46B8-BFE8-B4509A49EB82}"/>
    <cellStyle name="Total 17 2 4 3" xfId="14931" xr:uid="{04C46EF0-195B-40D2-BE44-3A2938997FDC}"/>
    <cellStyle name="Total 17 2 4 4" xfId="15883" xr:uid="{52F785B6-8E3A-415E-9353-8F75647827BE}"/>
    <cellStyle name="Total 17 2 4 5" xfId="16757" xr:uid="{326EAAF9-EB59-4319-AEAA-A7AC20ADE7C5}"/>
    <cellStyle name="Total 17 2 4 6" xfId="17622" xr:uid="{6F4E3A68-08CB-439B-94E9-491996EBCC58}"/>
    <cellStyle name="Total 17 2 4 7" xfId="18398" xr:uid="{6626C5D0-4F58-47FE-8C5D-7C163EAAA530}"/>
    <cellStyle name="Total 17 2 4 8" xfId="19155" xr:uid="{CE840CE4-3237-42F3-A1E7-CC5E6FC4F864}"/>
    <cellStyle name="Total 17 2 5" xfId="12268" xr:uid="{FF529702-4316-4C67-87E1-3284A4CEC8F1}"/>
    <cellStyle name="Total 17 2 6" xfId="10597" xr:uid="{E3D73129-0E72-4453-B4E4-F3A6B10A2500}"/>
    <cellStyle name="Total 17 2 7" xfId="12374" xr:uid="{8146AC1A-BC8D-48BB-920E-F117F8B2B616}"/>
    <cellStyle name="Total 17 2 8" xfId="10501" xr:uid="{664F90B4-5556-468D-ACAA-724881B5EA37}"/>
    <cellStyle name="Total 17 2 9" xfId="13644" xr:uid="{FE64BA83-12BE-49C5-8C88-634FA682BB13}"/>
    <cellStyle name="Total 17 3" xfId="7181" xr:uid="{892D5E7C-0388-4045-A604-F47B9043B740}"/>
    <cellStyle name="Total 17 3 10" xfId="11743" xr:uid="{EBD66DCA-8742-4D0B-9289-21AB3DF702DD}"/>
    <cellStyle name="Total 17 3 2" xfId="8821" xr:uid="{2B2B51AB-27FA-4B8A-8E6B-A8F2A3417D2A}"/>
    <cellStyle name="Total 17 3 2 2" xfId="13480" xr:uid="{27CD395B-F666-49D9-A9A7-194F31F9EDAE}"/>
    <cellStyle name="Total 17 3 2 3" xfId="14486" xr:uid="{7300AC08-5545-492D-95D4-23D9781013A3}"/>
    <cellStyle name="Total 17 3 2 4" xfId="15444" xr:uid="{DA1075E3-F08E-4E38-9148-11C6B9B92F8F}"/>
    <cellStyle name="Total 17 3 2 5" xfId="16370" xr:uid="{6313228D-0079-4B7A-9865-DFD2E391473E}"/>
    <cellStyle name="Total 17 3 2 6" xfId="17241" xr:uid="{C818A50D-3A52-4194-8DC5-8A061BCD42D7}"/>
    <cellStyle name="Total 17 3 2 7" xfId="18088" xr:uid="{39519E4A-FDAB-4F4E-B71D-CABFED3B15B8}"/>
    <cellStyle name="Total 17 3 2 8" xfId="18855" xr:uid="{D9ED104C-8B0A-414B-BEC3-5B9656907C7E}"/>
    <cellStyle name="Total 17 3 3" xfId="9682" xr:uid="{0991B457-025D-4156-81F1-B4D6E8962323}"/>
    <cellStyle name="Total 17 3 3 2" xfId="14086" xr:uid="{DB770778-0864-4033-AEC9-E87F90C2AA68}"/>
    <cellStyle name="Total 17 3 3 3" xfId="15046" xr:uid="{9AD0B71F-4E0F-4462-AD12-A05754545DA2}"/>
    <cellStyle name="Total 17 3 3 4" xfId="15998" xr:uid="{0BDB60BB-7357-4068-8E23-6E31E2FB8B65}"/>
    <cellStyle name="Total 17 3 3 5" xfId="16872" xr:uid="{EE927FE4-1F75-493A-B188-6FA648C1EF72}"/>
    <cellStyle name="Total 17 3 3 6" xfId="17737" xr:uid="{619849D1-4910-4B75-9633-849651869C2B}"/>
    <cellStyle name="Total 17 3 3 7" xfId="18513" xr:uid="{C5F4D1C9-C99C-45D3-961A-10B2B415FD34}"/>
    <cellStyle name="Total 17 3 3 8" xfId="19270" xr:uid="{6E255C45-49C0-4FD3-BCF7-9BDB7BCD974D}"/>
    <cellStyle name="Total 17 3 4" xfId="12451" xr:uid="{5194AB62-3E64-4645-B830-478FA1EA3F07}"/>
    <cellStyle name="Total 17 3 5" xfId="10428" xr:uid="{6B4FBFD3-4417-4D4D-BE49-983A82384ED6}"/>
    <cellStyle name="Total 17 3 6" xfId="12113" xr:uid="{1BC4046C-5DE4-4AE4-AB0C-E51FE175EB38}"/>
    <cellStyle name="Total 17 3 7" xfId="10739" xr:uid="{12D5A0CC-FD59-474A-8326-F497AF2C8B77}"/>
    <cellStyle name="Total 17 3 8" xfId="12581" xr:uid="{3578BC96-55DE-40C1-83F0-B19AF61A1D2A}"/>
    <cellStyle name="Total 17 3 9" xfId="10320" xr:uid="{3FD40012-9FFB-4A72-B060-FFAC52C77CE6}"/>
    <cellStyle name="Total 17 4" xfId="8023" xr:uid="{8BF8F152-CDC2-4215-9EE1-724A51D27489}"/>
    <cellStyle name="Total 17 4 2" xfId="12991" xr:uid="{A42094ED-60B7-4FAD-B532-FAC015EA6652}"/>
    <cellStyle name="Total 17 4 3" xfId="10001" xr:uid="{EE2CCD54-5C5E-4BEB-90F9-CCE27237A3AC}"/>
    <cellStyle name="Total 17 4 4" xfId="13716" xr:uid="{375D1325-EECD-450B-B2AA-8D052B7A69C5}"/>
    <cellStyle name="Total 17 4 5" xfId="14680" xr:uid="{C6E7357E-7786-4BC3-A992-DAFF37DD776C}"/>
    <cellStyle name="Total 17 4 6" xfId="15632" xr:uid="{62331D16-FD49-4F37-ACF2-539BF53784AE}"/>
    <cellStyle name="Total 17 4 7" xfId="16514" xr:uid="{1FDAE10B-F3B5-4928-9726-139791BEEB6E}"/>
    <cellStyle name="Total 17 4 8" xfId="17382" xr:uid="{75AFFBF8-9052-4464-8901-5335EDC7C861}"/>
    <cellStyle name="Total 17 5" xfId="9454" xr:uid="{5CC8914D-885E-4467-8ED9-2ECA41E9F5B4}"/>
    <cellStyle name="Total 17 5 2" xfId="13858" xr:uid="{FBFA6D1B-D708-46E1-A86B-15B3769D74EB}"/>
    <cellStyle name="Total 17 5 3" xfId="14818" xr:uid="{3C19F6A9-4F85-4C9E-875A-FEE3E1C46027}"/>
    <cellStyle name="Total 17 5 4" xfId="15770" xr:uid="{909DA5C5-2AB7-471A-834E-980E92F9E5EA}"/>
    <cellStyle name="Total 17 5 5" xfId="16644" xr:uid="{90C1DCF5-2657-4D59-AF71-003F1A99C63B}"/>
    <cellStyle name="Total 17 5 6" xfId="17509" xr:uid="{E0F6D81E-0667-4122-9DB6-A1CA6EF34678}"/>
    <cellStyle name="Total 17 5 7" xfId="18285" xr:uid="{2E7F4BC7-F328-46AB-8E6C-459AE62EAB08}"/>
    <cellStyle name="Total 17 5 8" xfId="19042" xr:uid="{F9C73250-89DD-41F6-98B9-CEF4A1AB0287}"/>
    <cellStyle name="Total 17 6" xfId="11917" xr:uid="{D2E86949-4955-4F55-AAA9-D273A3160618}"/>
    <cellStyle name="Total 17 7" xfId="10900" xr:uid="{6A803D62-9BBB-40A4-B1C5-21AB6E483306}"/>
    <cellStyle name="Total 17 8" xfId="11528" xr:uid="{0C163A50-AE34-48E1-A2A1-396BBDAE5CB6}"/>
    <cellStyle name="Total 17 9" xfId="11211" xr:uid="{0EC28B3A-85E9-47E4-A991-263BFC374569}"/>
    <cellStyle name="Total 18" xfId="6294" xr:uid="{9DEAE501-6A39-48CB-B9D2-881AA2D220B3}"/>
    <cellStyle name="Total 18 10" xfId="11210" xr:uid="{D6E188BD-E58C-4687-92AA-B3B36B181684}"/>
    <cellStyle name="Total 18 11" xfId="12535" xr:uid="{03CE4DD7-596F-44EF-806B-24C0C7036D06}"/>
    <cellStyle name="Total 18 12" xfId="10348" xr:uid="{88614828-0FF8-4EC6-B10C-F9B8D6FF7367}"/>
    <cellStyle name="Total 18 13" xfId="12121" xr:uid="{E7243442-2D66-4BF8-84BF-3AFC15013671}"/>
    <cellStyle name="Total 18 2" xfId="6295" xr:uid="{2CB3B599-B85C-466F-9B84-5B5E21DB943C}"/>
    <cellStyle name="Total 18 2 10" xfId="13564" xr:uid="{72B87D70-D5A5-4C5A-A321-13213DBCBC39}"/>
    <cellStyle name="Total 18 2 11" xfId="14565" xr:uid="{E7489DD2-F627-4AB0-A1FE-988F37E5794B}"/>
    <cellStyle name="Total 18 2 12" xfId="15523" xr:uid="{18F63941-04E4-4B19-8890-2BB7A6B70022}"/>
    <cellStyle name="Total 18 2 2" xfId="6919" xr:uid="{956AD611-9D51-474C-AB0A-1DE9269E63FF}"/>
    <cellStyle name="Total 18 2 2 10" xfId="9861" xr:uid="{D7793454-5CC5-4300-9FC9-9BB88E0B419A}"/>
    <cellStyle name="Total 18 2 2 11" xfId="12749" xr:uid="{0EC84DB1-1EC2-48C1-9720-FD69B2C83B3C}"/>
    <cellStyle name="Total 18 2 2 2" xfId="7719" xr:uid="{07310AA6-2ADF-437A-9B9B-66A9DBD65C42}"/>
    <cellStyle name="Total 18 2 2 2 10" xfId="16464" xr:uid="{44EE470A-4FF0-4FF1-B91D-796FEE1149E5}"/>
    <cellStyle name="Total 18 2 2 2 2" xfId="9359" xr:uid="{C4B5B7FF-F9C1-4519-8BCC-2F12B6151B0C}"/>
    <cellStyle name="Total 18 2 2 2 2 2" xfId="13780" xr:uid="{CD1D674D-7FEC-4BA1-A11C-3346AA356F6C}"/>
    <cellStyle name="Total 18 2 2 2 2 3" xfId="14742" xr:uid="{9C8BA047-815C-46D8-9773-E49B9E8BD4C1}"/>
    <cellStyle name="Total 18 2 2 2 2 4" xfId="15694" xr:uid="{7C7D66EB-75A1-4574-BE50-1D543BA319F6}"/>
    <cellStyle name="Total 18 2 2 2 2 5" xfId="16572" xr:uid="{EC752987-7E9A-4846-B6D3-00FF4D478976}"/>
    <cellStyle name="Total 18 2 2 2 2 6" xfId="17437" xr:uid="{C2D9D963-E611-4BC7-9280-67C423A8144C}"/>
    <cellStyle name="Total 18 2 2 2 2 7" xfId="18213" xr:uid="{81AF4433-9530-4771-8E19-F840792B2D62}"/>
    <cellStyle name="Total 18 2 2 2 2 8" xfId="18970" xr:uid="{35FF13F8-DFCF-463E-8112-FB970E28952E}"/>
    <cellStyle name="Total 18 2 2 2 3" xfId="9797" xr:uid="{37AFBEF3-6D5A-4F67-8671-4262716EC397}"/>
    <cellStyle name="Total 18 2 2 2 3 2" xfId="14201" xr:uid="{5E0AEEE7-F169-4CD2-906D-1A5BA317A68C}"/>
    <cellStyle name="Total 18 2 2 2 3 3" xfId="15161" xr:uid="{839B05EE-1A25-4E3C-8091-0E057C45E7CC}"/>
    <cellStyle name="Total 18 2 2 2 3 4" xfId="16113" xr:uid="{885A3B36-97FA-4716-99A6-6A12B1336904}"/>
    <cellStyle name="Total 18 2 2 2 3 5" xfId="16987" xr:uid="{0145B470-F295-4234-97FD-349E9A4F09BE}"/>
    <cellStyle name="Total 18 2 2 2 3 6" xfId="17852" xr:uid="{0DF046FB-B2ED-4E3B-9043-B56EA11C93B6}"/>
    <cellStyle name="Total 18 2 2 2 3 7" xfId="18628" xr:uid="{6D781519-CDFE-4C81-B4D4-E7A1A5A04C03}"/>
    <cellStyle name="Total 18 2 2 2 3 8" xfId="19385" xr:uid="{DE0E8E82-E338-47E6-AB05-59B87F25A3AE}"/>
    <cellStyle name="Total 18 2 2 2 4" xfId="12766" xr:uid="{DA471F8A-756C-40B1-900E-22D49620BEA9}"/>
    <cellStyle name="Total 18 2 2 2 5" xfId="12324" xr:uid="{B10AFE98-A898-434D-A0CE-706A257D5D65}"/>
    <cellStyle name="Total 18 2 2 2 6" xfId="10546" xr:uid="{CCEC8F18-5E95-4407-8096-DB04B583AA29}"/>
    <cellStyle name="Total 18 2 2 2 7" xfId="13634" xr:uid="{DE03D6CF-445F-4A31-8A6B-228CA0229B5C}"/>
    <cellStyle name="Total 18 2 2 2 8" xfId="14612" xr:uid="{C19BDBC0-4D25-47A3-92FE-18DFD7C3F635}"/>
    <cellStyle name="Total 18 2 2 2 9" xfId="15565" xr:uid="{3ACB14DE-D393-4A14-995D-DBAC55B0D1BF}"/>
    <cellStyle name="Total 18 2 2 3" xfId="8559" xr:uid="{6EAEC3F2-22FB-45EF-A216-9EBE77319D4C}"/>
    <cellStyle name="Total 18 2 2 3 2" xfId="13299" xr:uid="{AEFD154F-2DD5-453A-9668-8C2A33007655}"/>
    <cellStyle name="Total 18 2 2 3 3" xfId="14319" xr:uid="{FA731973-2C26-4BDE-9449-AB9B389919E6}"/>
    <cellStyle name="Total 18 2 2 3 4" xfId="15279" xr:uid="{4226D42B-843D-41F7-A8B4-D91F1B65FEFA}"/>
    <cellStyle name="Total 18 2 2 3 5" xfId="16228" xr:uid="{3E023E38-D1FC-4E9C-9C09-EE5B27F91280}"/>
    <cellStyle name="Total 18 2 2 3 6" xfId="17101" xr:uid="{B49E2887-B323-4C23-82A3-D4A66A918A98}"/>
    <cellStyle name="Total 18 2 2 3 7" xfId="17966" xr:uid="{9026C6B1-8568-43B5-85F7-57C318C8FC74}"/>
    <cellStyle name="Total 18 2 2 3 8" xfId="18742" xr:uid="{6CD3F9F4-A281-41C9-8479-EEBA83E746E5}"/>
    <cellStyle name="Total 18 2 2 4" xfId="9569" xr:uid="{70DE7F81-0C36-4B05-B197-AF6C3FCBE42A}"/>
    <cellStyle name="Total 18 2 2 4 2" xfId="13973" xr:uid="{329BACA2-FB8C-42F8-8391-03B36F4EEFD4}"/>
    <cellStyle name="Total 18 2 2 4 3" xfId="14933" xr:uid="{9A2B2964-4500-46F9-8160-611DCB69C13C}"/>
    <cellStyle name="Total 18 2 2 4 4" xfId="15885" xr:uid="{64956D2F-BF0A-4D51-A17F-2A91D5806FAD}"/>
    <cellStyle name="Total 18 2 2 4 5" xfId="16759" xr:uid="{AE3E787C-F795-4A73-8B8A-A82AD562D2D8}"/>
    <cellStyle name="Total 18 2 2 4 6" xfId="17624" xr:uid="{3D2203F9-ED8F-4B73-82E8-C053ED2AE127}"/>
    <cellStyle name="Total 18 2 2 4 7" xfId="18400" xr:uid="{9377729B-7F98-4A90-BEF1-3AD8C542FDAA}"/>
    <cellStyle name="Total 18 2 2 4 8" xfId="19157" xr:uid="{C31BB164-B3E5-4494-B1D7-F98D8B4C0280}"/>
    <cellStyle name="Total 18 2 2 5" xfId="12270" xr:uid="{FCF70227-26ED-42C1-B032-DA83D9A96CF2}"/>
    <cellStyle name="Total 18 2 2 6" xfId="10595" xr:uid="{5F38BA40-5E5E-4781-8203-8D797D8D693C}"/>
    <cellStyle name="Total 18 2 2 7" xfId="12916" xr:uid="{C373FFE4-A711-4C56-8ED3-FD79922392E9}"/>
    <cellStyle name="Total 18 2 2 8" xfId="10068" xr:uid="{B2A31A0E-221B-4DF2-AC7E-BC042A3FC070}"/>
    <cellStyle name="Total 18 2 2 9" xfId="13176" xr:uid="{2A0FB645-D32A-45E6-9940-3E4128D5955B}"/>
    <cellStyle name="Total 18 2 3" xfId="7183" xr:uid="{41CA2639-8BFF-43DB-87FF-B692436CAAED}"/>
    <cellStyle name="Total 18 2 3 10" xfId="17344" xr:uid="{7DA18E34-5D18-4638-934D-7DF8E6DA5759}"/>
    <cellStyle name="Total 18 2 3 2" xfId="8823" xr:uid="{FF2F46B7-37BB-4D8C-A8CF-5F78E6B0A397}"/>
    <cellStyle name="Total 18 2 3 2 2" xfId="13482" xr:uid="{925983D1-C5DF-4EB5-A124-24B07DD03C9A}"/>
    <cellStyle name="Total 18 2 3 2 3" xfId="14488" xr:uid="{80D3A27F-A914-4A33-BFCF-268731CCE47A}"/>
    <cellStyle name="Total 18 2 3 2 4" xfId="15446" xr:uid="{1C6B4B09-3E47-489F-94BA-DD5B48464652}"/>
    <cellStyle name="Total 18 2 3 2 5" xfId="16372" xr:uid="{9B97BA6A-00AB-45EC-BDC4-46AF253F2CD2}"/>
    <cellStyle name="Total 18 2 3 2 6" xfId="17243" xr:uid="{50BBB422-B149-44F6-ADFD-A2CC1340C750}"/>
    <cellStyle name="Total 18 2 3 2 7" xfId="18090" xr:uid="{B1D8715E-6461-46D1-94F0-619425D35FD2}"/>
    <cellStyle name="Total 18 2 3 2 8" xfId="18857" xr:uid="{52DAB684-138D-4EFC-A8B8-3D8A6E9ECC5D}"/>
    <cellStyle name="Total 18 2 3 3" xfId="9684" xr:uid="{F4181AC7-3809-4BA6-8BA8-8618FA7BC91E}"/>
    <cellStyle name="Total 18 2 3 3 2" xfId="14088" xr:uid="{D364F17F-8B14-4F7D-A6FD-F9E09CC49EF1}"/>
    <cellStyle name="Total 18 2 3 3 3" xfId="15048" xr:uid="{BC1D49AD-8BF1-4229-98EF-2BAB7341D449}"/>
    <cellStyle name="Total 18 2 3 3 4" xfId="16000" xr:uid="{3AB82D32-B3C5-485B-ADFF-77FB5F66F899}"/>
    <cellStyle name="Total 18 2 3 3 5" xfId="16874" xr:uid="{09F8A1E7-C0A5-4D43-A177-BA3A8624782F}"/>
    <cellStyle name="Total 18 2 3 3 6" xfId="17739" xr:uid="{B9DAFFC6-0BC7-4F72-A012-CA379DAE1112}"/>
    <cellStyle name="Total 18 2 3 3 7" xfId="18515" xr:uid="{3C53A62F-2C88-49DF-A32B-B080386D72EF}"/>
    <cellStyle name="Total 18 2 3 3 8" xfId="19272" xr:uid="{19FD2DD9-5329-4FCD-A72C-26A1490385A9}"/>
    <cellStyle name="Total 18 2 3 4" xfId="12453" xr:uid="{A6C35A74-14AE-4E0D-A236-0D436AA75B39}"/>
    <cellStyle name="Total 18 2 3 5" xfId="10426" xr:uid="{289E1FF7-849D-489E-98B0-A06A337390E3}"/>
    <cellStyle name="Total 18 2 3 6" xfId="13652" xr:uid="{F22AD36A-5833-4B48-A283-06AE595D72FA}"/>
    <cellStyle name="Total 18 2 3 7" xfId="14628" xr:uid="{4657D951-B5BC-4397-BD57-018BDD7CB7F9}"/>
    <cellStyle name="Total 18 2 3 8" xfId="15580" xr:uid="{C6874611-204A-469C-9848-82071E18B111}"/>
    <cellStyle name="Total 18 2 3 9" xfId="16475" xr:uid="{B6163BE0-1B1F-406B-9B09-E94DE1EF8D38}"/>
    <cellStyle name="Total 18 2 4" xfId="8025" xr:uid="{2978BCEC-59F2-48EE-B17A-9D0323D0B7CB}"/>
    <cellStyle name="Total 18 2 4 2" xfId="12993" xr:uid="{2B986E9A-2A07-484F-9B7D-01876EE6706D}"/>
    <cellStyle name="Total 18 2 4 3" xfId="9999" xr:uid="{63BFE7E7-D216-4D34-A821-D8BD40EF8ECD}"/>
    <cellStyle name="Total 18 2 4 4" xfId="12393" xr:uid="{9316F9F6-FBBB-45AE-939B-8838B483A841}"/>
    <cellStyle name="Total 18 2 4 5" xfId="10484" xr:uid="{D4CCB3D7-854E-41F9-8F27-D09AFD91AAFE}"/>
    <cellStyle name="Total 18 2 4 6" xfId="12626" xr:uid="{6D0115D1-C594-4297-98DF-4A6D447AA36E}"/>
    <cellStyle name="Total 18 2 4 7" xfId="10283" xr:uid="{0CFE37F1-AE38-4509-9A40-92522AF7A589}"/>
    <cellStyle name="Total 18 2 4 8" xfId="11766" xr:uid="{37337B5E-1DB8-4B21-89CF-F179879A160B}"/>
    <cellStyle name="Total 18 2 5" xfId="9456" xr:uid="{7D2F3D2B-9258-481F-A891-AFF5E6F61BC6}"/>
    <cellStyle name="Total 18 2 5 2" xfId="13860" xr:uid="{52C7B66B-F1D6-4D63-B75A-83797870F194}"/>
    <cellStyle name="Total 18 2 5 3" xfId="14820" xr:uid="{3CDDA517-69FA-4B1F-8F67-B1DA58EF905C}"/>
    <cellStyle name="Total 18 2 5 4" xfId="15772" xr:uid="{69244603-2102-483C-8ECB-EA2E6ABAC614}"/>
    <cellStyle name="Total 18 2 5 5" xfId="16646" xr:uid="{A0208E10-FB57-4CF4-9E87-47C7385CD089}"/>
    <cellStyle name="Total 18 2 5 6" xfId="17511" xr:uid="{DA21752F-1089-4422-B15B-B8FE6290BF94}"/>
    <cellStyle name="Total 18 2 5 7" xfId="18287" xr:uid="{C5F5CE2E-AB27-46F7-919F-6C614D6A7990}"/>
    <cellStyle name="Total 18 2 5 8" xfId="19044" xr:uid="{A2D37D17-3A96-49D0-86FE-7A9139C31B4E}"/>
    <cellStyle name="Total 18 2 6" xfId="11919" xr:uid="{EA0807B0-7577-4A94-89AD-41EB5BC16EB3}"/>
    <cellStyle name="Total 18 2 7" xfId="10898" xr:uid="{D41A2766-0C8B-4711-B78A-549CB97E2085}"/>
    <cellStyle name="Total 18 2 8" xfId="11530" xr:uid="{B50BD709-0DC1-42D7-BFE5-768907B66F98}"/>
    <cellStyle name="Total 18 2 9" xfId="11209" xr:uid="{8FC5D26A-3B04-4C5E-9313-6DE5EE3C3E77}"/>
    <cellStyle name="Total 18 3" xfId="6918" xr:uid="{4DF026DE-02A3-4B55-95F2-B1D1C868D50B}"/>
    <cellStyle name="Total 18 3 10" xfId="16303" xr:uid="{9A629156-B3E0-4F1D-85E2-B1F2FF95D113}"/>
    <cellStyle name="Total 18 3 11" xfId="17175" xr:uid="{F3A76D16-D6B2-4C6A-AA01-52A644FC7AE6}"/>
    <cellStyle name="Total 18 3 2" xfId="7720" xr:uid="{9A74F2C6-D19A-488C-BF59-86957E2C9316}"/>
    <cellStyle name="Total 18 3 2 10" xfId="10921" xr:uid="{211C8D58-81DD-4039-9A29-76293AFB23E0}"/>
    <cellStyle name="Total 18 3 2 2" xfId="9360" xr:uid="{97678C4A-9B11-451F-846F-AE37912B405E}"/>
    <cellStyle name="Total 18 3 2 2 2" xfId="13781" xr:uid="{E3769041-30A8-4029-ACD1-66F2CBD6E249}"/>
    <cellStyle name="Total 18 3 2 2 3" xfId="14743" xr:uid="{645C44DF-062D-4906-AAF7-CA31DFA67CD8}"/>
    <cellStyle name="Total 18 3 2 2 4" xfId="15695" xr:uid="{E1DED764-0B4B-46A5-94F0-92FD71B23BA6}"/>
    <cellStyle name="Total 18 3 2 2 5" xfId="16573" xr:uid="{734CE068-5675-4BAC-93F9-9AE694E2070B}"/>
    <cellStyle name="Total 18 3 2 2 6" xfId="17438" xr:uid="{C1D28807-D63C-4268-9B04-3671637570B1}"/>
    <cellStyle name="Total 18 3 2 2 7" xfId="18214" xr:uid="{52A75AEA-E020-4E38-A511-5E3FD42597D5}"/>
    <cellStyle name="Total 18 3 2 2 8" xfId="18971" xr:uid="{A1F8C1DA-582E-4110-9EDB-CC696C0A037E}"/>
    <cellStyle name="Total 18 3 2 3" xfId="9798" xr:uid="{6B9DF0EC-9F7E-48AB-9B3D-40A5B2106509}"/>
    <cellStyle name="Total 18 3 2 3 2" xfId="14202" xr:uid="{2C8347AC-8044-4ED5-8DFB-198DF1E1E193}"/>
    <cellStyle name="Total 18 3 2 3 3" xfId="15162" xr:uid="{515867C5-B901-4B48-8C57-A0192189AA76}"/>
    <cellStyle name="Total 18 3 2 3 4" xfId="16114" xr:uid="{1337F866-2A83-46EF-A025-07CDB95467A7}"/>
    <cellStyle name="Total 18 3 2 3 5" xfId="16988" xr:uid="{F7E5B91B-806F-4C37-9A59-E617C417B88C}"/>
    <cellStyle name="Total 18 3 2 3 6" xfId="17853" xr:uid="{8BCA52A7-D6D8-4FDC-9547-17B0F6D5CD76}"/>
    <cellStyle name="Total 18 3 2 3 7" xfId="18629" xr:uid="{9714490C-C7B9-4522-B929-AEF54C6A9300}"/>
    <cellStyle name="Total 18 3 2 3 8" xfId="19386" xr:uid="{41EDC955-6ACA-4691-A367-A02339764A31}"/>
    <cellStyle name="Total 18 3 2 4" xfId="12767" xr:uid="{4B52E442-BEA6-4B71-B511-0F2A9E94FB17}"/>
    <cellStyle name="Total 18 3 2 5" xfId="13066" xr:uid="{55B39495-E15A-4329-AB95-4352B5794439}"/>
    <cellStyle name="Total 18 3 2 6" xfId="9940" xr:uid="{41B2DFED-DA5B-4108-848C-DDE544F8A503}"/>
    <cellStyle name="Total 18 3 2 7" xfId="13197" xr:uid="{47B9CCEA-B043-4F28-9D8A-FC015688C59C}"/>
    <cellStyle name="Total 18 3 2 8" xfId="9844" xr:uid="{D2DAE296-862B-4CEB-BACA-0AE89FE1D8D4}"/>
    <cellStyle name="Total 18 3 2 9" xfId="11894" xr:uid="{B62F2A29-32BB-46F6-8426-7CE983AF9A7D}"/>
    <cellStyle name="Total 18 3 3" xfId="8558" xr:uid="{0AF82D56-D5CE-4327-8C26-556FDA037A9F}"/>
    <cellStyle name="Total 18 3 3 2" xfId="13298" xr:uid="{EFBF4067-49FC-4858-BB99-B2C577A7BFF6}"/>
    <cellStyle name="Total 18 3 3 3" xfId="14318" xr:uid="{A73EB60E-5E9F-4B72-9816-2CDC9DB5A3FD}"/>
    <cellStyle name="Total 18 3 3 4" xfId="15278" xr:uid="{CFAE8E35-C6D7-4EFC-8AEC-29091EDA0475}"/>
    <cellStyle name="Total 18 3 3 5" xfId="16227" xr:uid="{C4B7C7F6-6E4C-43FD-AACE-2D70B64700B1}"/>
    <cellStyle name="Total 18 3 3 6" xfId="17100" xr:uid="{88A443AB-E2C0-47B8-9359-11580FA74D5D}"/>
    <cellStyle name="Total 18 3 3 7" xfId="17965" xr:uid="{CFDCC150-CDCB-4D72-804B-E55E187B6E9A}"/>
    <cellStyle name="Total 18 3 3 8" xfId="18741" xr:uid="{E7F2848E-0DDB-44B0-B1A9-459897AE7558}"/>
    <cellStyle name="Total 18 3 4" xfId="9568" xr:uid="{88E63132-3BCF-443C-B6F9-95763CB07368}"/>
    <cellStyle name="Total 18 3 4 2" xfId="13972" xr:uid="{2EFAF1B2-A743-4CB2-B27F-B67522E9F21F}"/>
    <cellStyle name="Total 18 3 4 3" xfId="14932" xr:uid="{2040EB74-97E2-4492-B793-C2DEF828D3CC}"/>
    <cellStyle name="Total 18 3 4 4" xfId="15884" xr:uid="{AD68FB6C-E91D-4331-A366-AC50B6759E3A}"/>
    <cellStyle name="Total 18 3 4 5" xfId="16758" xr:uid="{8B8BA063-966A-4356-9E8C-732EB148ECBA}"/>
    <cellStyle name="Total 18 3 4 6" xfId="17623" xr:uid="{5016E220-4924-4887-BB6D-AC123626B60E}"/>
    <cellStyle name="Total 18 3 4 7" xfId="18399" xr:uid="{593488B6-54F8-43CB-94B2-800731EA5079}"/>
    <cellStyle name="Total 18 3 4 8" xfId="19156" xr:uid="{346C05B7-E316-476E-BF20-6BBA275F7906}"/>
    <cellStyle name="Total 18 3 5" xfId="12269" xr:uid="{8969A45A-6C22-4808-B91E-EE1C29148224}"/>
    <cellStyle name="Total 18 3 6" xfId="10596" xr:uid="{BF01AD38-C6BA-4EA1-AFDD-7FA564D7340D}"/>
    <cellStyle name="Total 18 3 7" xfId="13405" xr:uid="{62D9AB35-FE96-4615-9042-FC6E16FD9C6D}"/>
    <cellStyle name="Total 18 3 8" xfId="14414" xr:uid="{EC1FC281-7652-4D00-8EBA-89A9EB68C36F}"/>
    <cellStyle name="Total 18 3 9" xfId="15372" xr:uid="{9BE2EB86-8760-42EE-9236-1895464B69C3}"/>
    <cellStyle name="Total 18 4" xfId="7182" xr:uid="{7929C2BF-2E8F-4BBC-B6AC-DF195DB8A740}"/>
    <cellStyle name="Total 18 4 10" xfId="15594" xr:uid="{CBA53547-01EF-4B00-8699-29B6F4B9753F}"/>
    <cellStyle name="Total 18 4 2" xfId="8822" xr:uid="{F9122B74-1CA9-490F-8C9B-1D3E94C4C660}"/>
    <cellStyle name="Total 18 4 2 2" xfId="13481" xr:uid="{4D4F4BAD-A62B-4D99-9A9B-CDA1C2C7BAA9}"/>
    <cellStyle name="Total 18 4 2 3" xfId="14487" xr:uid="{D23DAAC3-78AF-4663-BFDD-0B3C9586D279}"/>
    <cellStyle name="Total 18 4 2 4" xfId="15445" xr:uid="{B03B4506-1041-42B2-84D6-938F70ABBEF5}"/>
    <cellStyle name="Total 18 4 2 5" xfId="16371" xr:uid="{CDE06378-111A-4FEA-B22B-6FA5E63EA6FB}"/>
    <cellStyle name="Total 18 4 2 6" xfId="17242" xr:uid="{D52F231D-DA01-4DAB-A716-3691CC374132}"/>
    <cellStyle name="Total 18 4 2 7" xfId="18089" xr:uid="{2AE126A2-26E8-4BD5-B50A-87018FB15DF7}"/>
    <cellStyle name="Total 18 4 2 8" xfId="18856" xr:uid="{94A41566-435A-42BA-B4B3-923634974E92}"/>
    <cellStyle name="Total 18 4 3" xfId="9683" xr:uid="{BE36DA3E-A448-4991-B274-F4A186DBDFF7}"/>
    <cellStyle name="Total 18 4 3 2" xfId="14087" xr:uid="{4FCBE775-CE4A-4B47-B483-74F60A5396FE}"/>
    <cellStyle name="Total 18 4 3 3" xfId="15047" xr:uid="{A2AFAB76-7D34-4680-ACAB-2B21971E258D}"/>
    <cellStyle name="Total 18 4 3 4" xfId="15999" xr:uid="{F5A32A23-B3CC-4C36-BB94-C1C662EE651A}"/>
    <cellStyle name="Total 18 4 3 5" xfId="16873" xr:uid="{D0E47F0B-F910-4639-B099-27181CC30303}"/>
    <cellStyle name="Total 18 4 3 6" xfId="17738" xr:uid="{3BCFC552-D8DE-4236-9751-4F8E08162491}"/>
    <cellStyle name="Total 18 4 3 7" xfId="18514" xr:uid="{B56E60CA-13D2-46C3-ADD4-919D2AF8623D}"/>
    <cellStyle name="Total 18 4 3 8" xfId="19271" xr:uid="{D30B50B9-11F4-45EA-81DB-0F9E1DFEC1EF}"/>
    <cellStyle name="Total 18 4 4" xfId="12452" xr:uid="{8AA8D0F4-4549-4B20-A0C3-D8C83A5DFCF6}"/>
    <cellStyle name="Total 18 4 5" xfId="10427" xr:uid="{7584AEFE-195C-418A-83EE-39F625A24D78}"/>
    <cellStyle name="Total 18 4 6" xfId="12633" xr:uid="{6F8DCA81-8F0F-49E1-ADF8-300B753B1068}"/>
    <cellStyle name="Total 18 4 7" xfId="10277" xr:uid="{64E4217C-755D-4782-AA62-3E74382DAD53}"/>
    <cellStyle name="Total 18 4 8" xfId="13671" xr:uid="{86BFA2CD-46D7-4455-A560-AE01F8AE6778}"/>
    <cellStyle name="Total 18 4 9" xfId="14642" xr:uid="{C12EDC5F-6903-4F3C-B7A3-1DB90871B421}"/>
    <cellStyle name="Total 18 5" xfId="8024" xr:uid="{6F53364E-B780-4FD3-81EC-9C3036BF85A9}"/>
    <cellStyle name="Total 18 5 2" xfId="12992" xr:uid="{345E1D4C-CAB3-458C-A293-655D1C430598}"/>
    <cellStyle name="Total 18 5 3" xfId="10000" xr:uid="{0935A452-4796-4B94-A786-83206F48F7FA}"/>
    <cellStyle name="Total 18 5 4" xfId="13059" xr:uid="{1D734FAC-E1FF-47D7-9E69-CFFB6B0ADC64}"/>
    <cellStyle name="Total 18 5 5" xfId="12009" xr:uid="{A7B28DB6-2573-4E57-AA07-87C9096F032A}"/>
    <cellStyle name="Total 18 5 6" xfId="10824" xr:uid="{B127B208-1F63-45D8-B7B2-27F3B73E273B}"/>
    <cellStyle name="Total 18 5 7" xfId="11597" xr:uid="{DCD8A61C-3F46-4EA4-A224-FE329EDE5CB0}"/>
    <cellStyle name="Total 18 5 8" xfId="11162" xr:uid="{2D48B580-8574-4764-866B-53D5BACA1794}"/>
    <cellStyle name="Total 18 6" xfId="9455" xr:uid="{7D4A28FB-F2D2-4F94-80B1-E156544AC6DA}"/>
    <cellStyle name="Total 18 6 2" xfId="13859" xr:uid="{455FF233-A3C1-49EE-B356-44CC3D4BDDEF}"/>
    <cellStyle name="Total 18 6 3" xfId="14819" xr:uid="{8F1CEF3A-1308-4B93-A6F9-FC40F8466C4B}"/>
    <cellStyle name="Total 18 6 4" xfId="15771" xr:uid="{E3AAC668-5F40-47FE-863E-6EBD9BF3C234}"/>
    <cellStyle name="Total 18 6 5" xfId="16645" xr:uid="{640AEFF6-8A35-45A7-B3B4-28D6931DAAD9}"/>
    <cellStyle name="Total 18 6 6" xfId="17510" xr:uid="{5560F5AF-A9E8-4975-8C1E-46B53F29D000}"/>
    <cellStyle name="Total 18 6 7" xfId="18286" xr:uid="{4D6664B3-AC42-4FDB-9F57-1EA9559C2AAB}"/>
    <cellStyle name="Total 18 6 8" xfId="19043" xr:uid="{87EA1536-5FB7-4D87-B059-B29ACBEF8018}"/>
    <cellStyle name="Total 18 7" xfId="11918" xr:uid="{33B62707-CDC9-49ED-9E24-9AFDABEB8307}"/>
    <cellStyle name="Total 18 8" xfId="10899" xr:uid="{CD4E5A7A-1B38-4DBB-ADA8-813BCF737629}"/>
    <cellStyle name="Total 18 9" xfId="11529" xr:uid="{394114FB-91FD-4BFA-8AEA-46951388A0B4}"/>
    <cellStyle name="Total 19" xfId="6296" xr:uid="{0E73288F-E834-4CF0-8FE7-ADB408421F10}"/>
    <cellStyle name="Total 19 10" xfId="11208" xr:uid="{50FE228B-56BA-4D03-9674-382913D3747F}"/>
    <cellStyle name="Total 19 11" xfId="13016" xr:uid="{8FD564AD-6ADD-4DB0-A665-2F3BFE80AF17}"/>
    <cellStyle name="Total 19 12" xfId="9977" xr:uid="{45A1659B-C961-4745-9972-A1786FE2050E}"/>
    <cellStyle name="Total 19 13" xfId="11828" xr:uid="{80F82DE8-080E-4C7E-98EA-EBF9EEB5014D}"/>
    <cellStyle name="Total 19 2" xfId="6297" xr:uid="{90568101-12F6-486C-881D-514D156FB38E}"/>
    <cellStyle name="Total 19 2 10" xfId="11427" xr:uid="{2D54CB0D-0A59-4A4B-8D46-2B70D8CDAA86}"/>
    <cellStyle name="Total 19 2 11" xfId="11296" xr:uid="{CC2BD16B-B1A6-402F-99BB-FA466DAAB94F}"/>
    <cellStyle name="Total 19 2 12" xfId="11423" xr:uid="{07DAD630-FEFF-48A6-AB32-B52F4FEE6FFF}"/>
    <cellStyle name="Total 19 2 2" xfId="6921" xr:uid="{D28CD43C-F0A2-41C9-9F14-E1CAF5130CB5}"/>
    <cellStyle name="Total 19 2 2 10" xfId="11125" xr:uid="{4FAA28FF-6754-4162-814A-DD594AD434CC}"/>
    <cellStyle name="Total 19 2 2 11" xfId="12354" xr:uid="{BAE7AE94-91DB-4237-A063-25E1ACA2BAA7}"/>
    <cellStyle name="Total 19 2 2 2" xfId="7721" xr:uid="{D2088EB6-23C9-4121-85D4-B0B24F6C015E}"/>
    <cellStyle name="Total 19 2 2 2 10" xfId="18108" xr:uid="{A4F0B4F5-4D52-4A22-AAE9-A8177CF449AE}"/>
    <cellStyle name="Total 19 2 2 2 2" xfId="9361" xr:uid="{4FD010A6-0D5C-4AAC-8F0D-5CF752202DA0}"/>
    <cellStyle name="Total 19 2 2 2 2 2" xfId="13782" xr:uid="{F8915103-3303-4141-B4FA-D6D621A868D4}"/>
    <cellStyle name="Total 19 2 2 2 2 3" xfId="14744" xr:uid="{97ED0F70-CE3B-48BE-86B3-3C2760069A69}"/>
    <cellStyle name="Total 19 2 2 2 2 4" xfId="15696" xr:uid="{60A02D46-DBD1-44C0-8ADD-45C23A5F3B63}"/>
    <cellStyle name="Total 19 2 2 2 2 5" xfId="16574" xr:uid="{0691C8F4-EDDB-445F-A3D7-0DAC56D70AD7}"/>
    <cellStyle name="Total 19 2 2 2 2 6" xfId="17439" xr:uid="{C453F48C-5D03-4208-9016-DA3F9E32C6C1}"/>
    <cellStyle name="Total 19 2 2 2 2 7" xfId="18215" xr:uid="{7B1E3652-4504-4CDA-B8D9-036A4344776B}"/>
    <cellStyle name="Total 19 2 2 2 2 8" xfId="18972" xr:uid="{1F4A9AC9-61A3-4309-B447-FC0A33FFF66C}"/>
    <cellStyle name="Total 19 2 2 2 3" xfId="9799" xr:uid="{F3115978-6291-49CF-9633-C94BB71CE47E}"/>
    <cellStyle name="Total 19 2 2 2 3 2" xfId="14203" xr:uid="{DDB90291-585A-4D48-BE4E-0A7897160196}"/>
    <cellStyle name="Total 19 2 2 2 3 3" xfId="15163" xr:uid="{719FE18C-2034-4ACF-BDAF-516849E7646B}"/>
    <cellStyle name="Total 19 2 2 2 3 4" xfId="16115" xr:uid="{A9ED4B0E-8F32-409B-ACA2-69D4ED157125}"/>
    <cellStyle name="Total 19 2 2 2 3 5" xfId="16989" xr:uid="{1F3941DC-5CBE-4133-AC98-CBFDC794412F}"/>
    <cellStyle name="Total 19 2 2 2 3 6" xfId="17854" xr:uid="{343B3DEB-43B0-49D1-A0BE-84C35C61333A}"/>
    <cellStyle name="Total 19 2 2 2 3 7" xfId="18630" xr:uid="{9462D675-E88B-4746-86CF-C318FE84481C}"/>
    <cellStyle name="Total 19 2 2 2 3 8" xfId="19387" xr:uid="{CE199C67-2E21-4098-99DA-592539BD1DF6}"/>
    <cellStyle name="Total 19 2 2 2 4" xfId="12768" xr:uid="{A4BEE866-F867-4ADF-BA42-5B3F725BDCB7}"/>
    <cellStyle name="Total 19 2 2 2 5" xfId="13500" xr:uid="{29C2878C-5D50-4317-BB61-C92E63D0B187}"/>
    <cellStyle name="Total 19 2 2 2 6" xfId="14506" xr:uid="{FDD0AAD1-816B-4219-A1F4-1C1F426318DB}"/>
    <cellStyle name="Total 19 2 2 2 7" xfId="15464" xr:uid="{AD6B6760-9C46-45E6-9A53-AE6CBDD626B5}"/>
    <cellStyle name="Total 19 2 2 2 8" xfId="16390" xr:uid="{65A3E6E9-F1A0-4FA0-9102-38681AD2B0E0}"/>
    <cellStyle name="Total 19 2 2 2 9" xfId="17261" xr:uid="{E29F771D-E08F-4301-9ED1-075654141AC8}"/>
    <cellStyle name="Total 19 2 2 3" xfId="8561" xr:uid="{4D8AE84A-5BE6-4CDD-8216-640D3993FF72}"/>
    <cellStyle name="Total 19 2 2 3 2" xfId="13301" xr:uid="{0BB23027-97AD-4F92-9551-C2BDC3AE2907}"/>
    <cellStyle name="Total 19 2 2 3 3" xfId="14321" xr:uid="{FFCDC9E6-84C0-47FD-B953-00BA5EC00A41}"/>
    <cellStyle name="Total 19 2 2 3 4" xfId="15281" xr:uid="{A23DB063-0148-41F9-9FD1-589EBF2108F9}"/>
    <cellStyle name="Total 19 2 2 3 5" xfId="16230" xr:uid="{3DDA3E02-1848-450D-BA5C-CAD6F1DFF3F1}"/>
    <cellStyle name="Total 19 2 2 3 6" xfId="17103" xr:uid="{8839740B-DE03-4C3C-A9D3-DAC172D01BA7}"/>
    <cellStyle name="Total 19 2 2 3 7" xfId="17968" xr:uid="{84E90EEC-6C3E-4427-8D88-848CF36EF984}"/>
    <cellStyle name="Total 19 2 2 3 8" xfId="18744" xr:uid="{D1ED4680-8C1E-4044-B102-C1A16469D199}"/>
    <cellStyle name="Total 19 2 2 4" xfId="9571" xr:uid="{7A8C18AE-815A-465D-9525-DEE8E894DAC2}"/>
    <cellStyle name="Total 19 2 2 4 2" xfId="13975" xr:uid="{2411A915-A88C-4C83-85FD-6A361A15EC98}"/>
    <cellStyle name="Total 19 2 2 4 3" xfId="14935" xr:uid="{13763BF8-455A-4EBB-99B9-74EE20A3D7BA}"/>
    <cellStyle name="Total 19 2 2 4 4" xfId="15887" xr:uid="{CF5B97C4-B084-4867-8FFA-3DA737BB2A50}"/>
    <cellStyle name="Total 19 2 2 4 5" xfId="16761" xr:uid="{A27BAC15-DE54-490C-ABD9-67B6439F0586}"/>
    <cellStyle name="Total 19 2 2 4 6" xfId="17626" xr:uid="{47A68A16-5C44-4447-861B-CDAEB36A5899}"/>
    <cellStyle name="Total 19 2 2 4 7" xfId="18402" xr:uid="{23188B33-DB28-40BC-94AB-A8BC68D0D3B2}"/>
    <cellStyle name="Total 19 2 2 4 8" xfId="19159" xr:uid="{69B30651-9D44-407A-AFE3-0D8D2C55FE5F}"/>
    <cellStyle name="Total 19 2 2 5" xfId="12272" xr:uid="{40CDE947-C528-477C-B59F-CFECF87B4C74}"/>
    <cellStyle name="Total 19 2 2 6" xfId="10593" xr:uid="{3AC48F5C-33CC-4437-8B75-A204EA59343A}"/>
    <cellStyle name="Total 19 2 2 7" xfId="12088" xr:uid="{4A1FB241-8FF9-4A2B-BF79-BEA41237BB85}"/>
    <cellStyle name="Total 19 2 2 8" xfId="10762" xr:uid="{0913E159-ABF1-4C6D-A376-EF73E0B89F61}"/>
    <cellStyle name="Total 19 2 2 9" xfId="11652" xr:uid="{529ED4D8-2B70-49D4-AAB2-4CDDC8D0171E}"/>
    <cellStyle name="Total 19 2 3" xfId="7185" xr:uid="{EC92F1BD-93AF-40B4-A84B-DAD4CE048A6F}"/>
    <cellStyle name="Total 19 2 3 10" xfId="15539" xr:uid="{1A33D407-23FD-4A59-86F8-1B9877DD30EF}"/>
    <cellStyle name="Total 19 2 3 2" xfId="8825" xr:uid="{3A070447-4D08-4C62-982B-61FDF574B424}"/>
    <cellStyle name="Total 19 2 3 2 2" xfId="13484" xr:uid="{A9B9A43A-EA84-46D4-B040-34FF581B3FC3}"/>
    <cellStyle name="Total 19 2 3 2 3" xfId="14490" xr:uid="{5E60DD43-D7EC-4283-9E6B-6A5A0AFA10FF}"/>
    <cellStyle name="Total 19 2 3 2 4" xfId="15448" xr:uid="{BAC839FC-228B-41FB-BE92-197539109702}"/>
    <cellStyle name="Total 19 2 3 2 5" xfId="16374" xr:uid="{8F71DC2B-B21B-488A-AAB6-D736527633F6}"/>
    <cellStyle name="Total 19 2 3 2 6" xfId="17245" xr:uid="{0BD47A01-7D72-4841-B91B-6EF3EA8AB552}"/>
    <cellStyle name="Total 19 2 3 2 7" xfId="18092" xr:uid="{46FCB195-533A-4F4D-A909-EA17826E4806}"/>
    <cellStyle name="Total 19 2 3 2 8" xfId="18859" xr:uid="{3A492CC4-EA60-4460-860D-B627303684AC}"/>
    <cellStyle name="Total 19 2 3 3" xfId="9686" xr:uid="{B1E7168E-8A44-44AD-8724-3DFDE14E8B33}"/>
    <cellStyle name="Total 19 2 3 3 2" xfId="14090" xr:uid="{4AD4AF18-67C5-4164-B916-648314C7F570}"/>
    <cellStyle name="Total 19 2 3 3 3" xfId="15050" xr:uid="{DDDA0716-5FD9-4236-9DCF-99558DD75920}"/>
    <cellStyle name="Total 19 2 3 3 4" xfId="16002" xr:uid="{2D8AF9EF-6F2B-4DFA-9063-B61315E0D312}"/>
    <cellStyle name="Total 19 2 3 3 5" xfId="16876" xr:uid="{B013145C-BC53-48E6-8631-C53CC43F486D}"/>
    <cellStyle name="Total 19 2 3 3 6" xfId="17741" xr:uid="{E464F3F2-8A73-4B5A-98C4-A3C342B63EE7}"/>
    <cellStyle name="Total 19 2 3 3 7" xfId="18517" xr:uid="{601A3B3D-F7D6-4850-8082-DEB528538220}"/>
    <cellStyle name="Total 19 2 3 3 8" xfId="19274" xr:uid="{90445C93-E37C-48DB-B598-D565A4BA9795}"/>
    <cellStyle name="Total 19 2 3 4" xfId="12455" xr:uid="{DA56D992-95A3-48DB-83BA-B30A41E45563}"/>
    <cellStyle name="Total 19 2 3 5" xfId="10424" xr:uid="{E54D8189-AC7B-45BC-B575-0024AB961CD0}"/>
    <cellStyle name="Total 19 2 3 6" xfId="12114" xr:uid="{C493E0A5-B2E7-45AB-BF93-A363E796614A}"/>
    <cellStyle name="Total 19 2 3 7" xfId="10738" xr:uid="{8AEA74C2-720F-43C4-90ED-6C8971EE542D}"/>
    <cellStyle name="Total 19 2 3 8" xfId="13605" xr:uid="{10504F2E-776D-46D1-B453-97D6FFE84374}"/>
    <cellStyle name="Total 19 2 3 9" xfId="14586" xr:uid="{569C1A44-2693-4DE6-8C26-6ED5F84132F4}"/>
    <cellStyle name="Total 19 2 4" xfId="8027" xr:uid="{452B5314-042D-4FD5-B0CA-5F3714F34EDE}"/>
    <cellStyle name="Total 19 2 4 2" xfId="12995" xr:uid="{285CDA9E-0D96-4A35-A987-0C6543E8A6A3}"/>
    <cellStyle name="Total 19 2 4 3" xfId="9997" xr:uid="{3CFD69EC-6901-4539-9B8B-83299EAA4BD6}"/>
    <cellStyle name="Total 19 2 4 4" xfId="12792" xr:uid="{7952265B-59FD-44C2-AC02-ABDDB0AB3709}"/>
    <cellStyle name="Total 19 2 4 5" xfId="10178" xr:uid="{B861EF02-7CA2-4A3C-844F-46B4283AEA18}"/>
    <cellStyle name="Total 19 2 4 6" xfId="11781" xr:uid="{134326DA-5CF0-455C-9B08-EE16F7048347}"/>
    <cellStyle name="Total 19 2 4 7" xfId="11023" xr:uid="{5CD2EE1A-0D34-47BC-8F56-2F65B6391E26}"/>
    <cellStyle name="Total 19 2 4 8" xfId="13593" xr:uid="{E750952F-70E7-4AB4-BC86-A5B3F75CE2B8}"/>
    <cellStyle name="Total 19 2 5" xfId="9458" xr:uid="{F1515DBE-AA84-4346-B874-629B956BCD4C}"/>
    <cellStyle name="Total 19 2 5 2" xfId="13862" xr:uid="{97182981-D8C0-4DC5-8CE2-0DE33CF48B68}"/>
    <cellStyle name="Total 19 2 5 3" xfId="14822" xr:uid="{FEBAE1A7-EA0F-4160-BF1B-9C703FBFD0A2}"/>
    <cellStyle name="Total 19 2 5 4" xfId="15774" xr:uid="{95B87A29-DF67-4A2D-A613-7BF113131DF9}"/>
    <cellStyle name="Total 19 2 5 5" xfId="16648" xr:uid="{CB6FDEB5-62A6-485B-A021-9CAC202D862A}"/>
    <cellStyle name="Total 19 2 5 6" xfId="17513" xr:uid="{0CC48485-AC5B-42D5-A16B-4D1B68288C98}"/>
    <cellStyle name="Total 19 2 5 7" xfId="18289" xr:uid="{F37BE91A-9D5A-4DAE-BDF5-D7093DFCC8F7}"/>
    <cellStyle name="Total 19 2 5 8" xfId="19046" xr:uid="{D1C6DF34-1075-4F12-A6B8-58E8DE0983A5}"/>
    <cellStyle name="Total 19 2 6" xfId="11921" xr:uid="{6F1C563A-16D2-4C5D-8717-9F4B13C3DA0E}"/>
    <cellStyle name="Total 19 2 7" xfId="10896" xr:uid="{3365D62D-E643-4675-9C4E-10AA17B7CB82}"/>
    <cellStyle name="Total 19 2 8" xfId="11532" xr:uid="{16457AA0-780A-42D6-9730-92AE9DF33F70}"/>
    <cellStyle name="Total 19 2 9" xfId="11207" xr:uid="{74DDC1D6-DB31-4A1C-9D90-6FA1F3378E81}"/>
    <cellStyle name="Total 19 3" xfId="6920" xr:uid="{02D72E36-9635-4534-8657-5C8721221F52}"/>
    <cellStyle name="Total 19 3 10" xfId="11278" xr:uid="{220F9D5B-B5BF-4C7A-BE43-EF64076C0C26}"/>
    <cellStyle name="Total 19 3 11" xfId="12525" xr:uid="{7E338AD2-62C0-4569-A61D-55BB1E66A981}"/>
    <cellStyle name="Total 19 3 2" xfId="7722" xr:uid="{29712E6A-2E81-41E7-98A9-3E38B64C74CB}"/>
    <cellStyle name="Total 19 3 2 10" xfId="10784" xr:uid="{9189B25C-745B-4F13-80A7-1EC4B87ABA78}"/>
    <cellStyle name="Total 19 3 2 2" xfId="9362" xr:uid="{C265AAB2-3F13-4A44-9B1A-1753F8DE66E0}"/>
    <cellStyle name="Total 19 3 2 2 2" xfId="13783" xr:uid="{865EA60B-4424-467D-91AE-A78F3920659F}"/>
    <cellStyle name="Total 19 3 2 2 3" xfId="14745" xr:uid="{637217B4-68C3-463B-AA82-6EF9EA38A77C}"/>
    <cellStyle name="Total 19 3 2 2 4" xfId="15697" xr:uid="{8FE1D684-A6D6-41A8-9B36-7878C98A216C}"/>
    <cellStyle name="Total 19 3 2 2 5" xfId="16575" xr:uid="{4FBC4119-5C9F-46BF-A7F4-3171D189A5C8}"/>
    <cellStyle name="Total 19 3 2 2 6" xfId="17440" xr:uid="{DBDA1D18-6E0E-4EC8-952A-0140CC3B1AC6}"/>
    <cellStyle name="Total 19 3 2 2 7" xfId="18216" xr:uid="{CB526B9C-D3C8-42CC-9B1E-CE9BD1DC6420}"/>
    <cellStyle name="Total 19 3 2 2 8" xfId="18973" xr:uid="{0D475039-E0A1-4606-BC04-F4352B8E9EAE}"/>
    <cellStyle name="Total 19 3 2 3" xfId="9800" xr:uid="{6B0059D8-F661-462C-ABCC-221C0F3B577C}"/>
    <cellStyle name="Total 19 3 2 3 2" xfId="14204" xr:uid="{0EBD57A1-BBE0-42DF-8D33-EE6B36387B04}"/>
    <cellStyle name="Total 19 3 2 3 3" xfId="15164" xr:uid="{61E5F3BA-6AF0-4880-9984-DDFA01216A58}"/>
    <cellStyle name="Total 19 3 2 3 4" xfId="16116" xr:uid="{7EAC7D38-01CC-4857-8B2D-6405C0B8F3EA}"/>
    <cellStyle name="Total 19 3 2 3 5" xfId="16990" xr:uid="{D49206E1-A444-4B9B-B126-737A1AADA83E}"/>
    <cellStyle name="Total 19 3 2 3 6" xfId="17855" xr:uid="{B37317D7-E8E4-46C7-80EC-CC38C7C8BDE0}"/>
    <cellStyle name="Total 19 3 2 3 7" xfId="18631" xr:uid="{5A211A93-43D1-4679-8E1A-68EB9D32AD6D}"/>
    <cellStyle name="Total 19 3 2 3 8" xfId="19388" xr:uid="{06C4B234-B8CD-46CE-8B91-99E12B6A84E6}"/>
    <cellStyle name="Total 19 3 2 4" xfId="12769" xr:uid="{BB37673A-4D18-4FBE-9E2B-E986B2DFA86B}"/>
    <cellStyle name="Total 19 3 2 5" xfId="12471" xr:uid="{7ADAFADE-C363-407A-8F86-E639C54B104B}"/>
    <cellStyle name="Total 19 3 2 6" xfId="10408" xr:uid="{87F49D68-B0E0-429C-9FA5-C45066539B25}"/>
    <cellStyle name="Total 19 3 2 7" xfId="11726" xr:uid="{8B35AEBF-F9EB-4D94-B9BF-C74DAD8137E9}"/>
    <cellStyle name="Total 19 3 2 8" xfId="11060" xr:uid="{9F5E193E-48B7-4813-94C5-6EC2E3B473E9}"/>
    <cellStyle name="Total 19 3 2 9" xfId="12059" xr:uid="{F5137F93-CED5-49C3-AB2F-2D3F324D0ADB}"/>
    <cellStyle name="Total 19 3 3" xfId="8560" xr:uid="{D69340AF-9467-4CD0-A121-9CE998153D14}"/>
    <cellStyle name="Total 19 3 3 2" xfId="13300" xr:uid="{E0041C25-C651-4710-9AB8-019A11782314}"/>
    <cellStyle name="Total 19 3 3 3" xfId="14320" xr:uid="{556D1D4D-D0A0-43EF-BB55-5E9633EC7AE2}"/>
    <cellStyle name="Total 19 3 3 4" xfId="15280" xr:uid="{44ED9442-475F-42A1-B1CD-8B8E9B2028A3}"/>
    <cellStyle name="Total 19 3 3 5" xfId="16229" xr:uid="{D5E3A066-82FC-4C83-B0E9-37049C702E89}"/>
    <cellStyle name="Total 19 3 3 6" xfId="17102" xr:uid="{F9D6582A-52CF-403B-B84E-7DB3267432FB}"/>
    <cellStyle name="Total 19 3 3 7" xfId="17967" xr:uid="{0EA0CF21-A7D0-456B-BEC5-F9A935320A3B}"/>
    <cellStyle name="Total 19 3 3 8" xfId="18743" xr:uid="{E708513F-BA4A-40E6-9474-67BA6FB6CB43}"/>
    <cellStyle name="Total 19 3 4" xfId="9570" xr:uid="{D3111FA5-3591-44FE-86D9-29E0803BAAE6}"/>
    <cellStyle name="Total 19 3 4 2" xfId="13974" xr:uid="{C703007A-832C-4CCA-98AF-B7AAC9656854}"/>
    <cellStyle name="Total 19 3 4 3" xfId="14934" xr:uid="{185B2168-FE78-4996-A508-34FAFF7D05E0}"/>
    <cellStyle name="Total 19 3 4 4" xfId="15886" xr:uid="{EFDFE034-74A8-4AC5-9F6A-47FFE0637E72}"/>
    <cellStyle name="Total 19 3 4 5" xfId="16760" xr:uid="{FC9E3E12-E711-4E66-BEDF-DC933688F8D6}"/>
    <cellStyle name="Total 19 3 4 6" xfId="17625" xr:uid="{93372BAA-AB8F-4C7F-BFA3-F269CC937031}"/>
    <cellStyle name="Total 19 3 4 7" xfId="18401" xr:uid="{F6D1FED8-BCD3-4F5A-92EC-F9AF10BC5821}"/>
    <cellStyle name="Total 19 3 4 8" xfId="19158" xr:uid="{82A2B7E4-E4CA-4F34-A99C-9556B8BBC611}"/>
    <cellStyle name="Total 19 3 5" xfId="12271" xr:uid="{2F7719C3-873E-43CF-917F-9A9439F15A97}"/>
    <cellStyle name="Total 19 3 6" xfId="10594" xr:uid="{844AFE16-16C0-4F6C-982F-B141F5BD4860}"/>
    <cellStyle name="Total 19 3 7" xfId="11687" xr:uid="{687F5710-475C-4243-AB0C-774FC21B8697}"/>
    <cellStyle name="Total 19 3 8" xfId="11094" xr:uid="{2716EB98-A856-4364-A4C9-4F9ED248D06F}"/>
    <cellStyle name="Total 19 3 9" xfId="11450" xr:uid="{A965EAF5-FF03-466E-999F-6BD98174DB9C}"/>
    <cellStyle name="Total 19 4" xfId="7184" xr:uid="{C63352A6-9DBF-4B2A-97EA-24369804A8F5}"/>
    <cellStyle name="Total 19 4 10" xfId="11503" xr:uid="{ED827F9D-D052-494B-BB63-83705738E5D9}"/>
    <cellStyle name="Total 19 4 2" xfId="8824" xr:uid="{3FD26E27-2F33-4F51-A6DA-BBD1C7A2EE31}"/>
    <cellStyle name="Total 19 4 2 2" xfId="13483" xr:uid="{B0FE151E-157E-4565-A963-3A09EC263EFE}"/>
    <cellStyle name="Total 19 4 2 3" xfId="14489" xr:uid="{B99B667B-F79B-4A93-8814-8E4EDFF9A103}"/>
    <cellStyle name="Total 19 4 2 4" xfId="15447" xr:uid="{DBA8C88E-ADF6-49F0-9BCB-60C4684C531F}"/>
    <cellStyle name="Total 19 4 2 5" xfId="16373" xr:uid="{85BBB46D-E67F-45D3-8F83-C86DC02FF8E8}"/>
    <cellStyle name="Total 19 4 2 6" xfId="17244" xr:uid="{89CDC5CB-449F-4D12-ABA5-8CAA636D8284}"/>
    <cellStyle name="Total 19 4 2 7" xfId="18091" xr:uid="{7C6F1778-D6D7-4FBD-BC91-CB31912ABDC9}"/>
    <cellStyle name="Total 19 4 2 8" xfId="18858" xr:uid="{0A251A21-A367-45D2-81C0-69FBC851035A}"/>
    <cellStyle name="Total 19 4 3" xfId="9685" xr:uid="{D85F4B2B-D613-4792-97AB-75A634ABD617}"/>
    <cellStyle name="Total 19 4 3 2" xfId="14089" xr:uid="{16079771-18F2-4186-A6B8-EC46EEAC1D73}"/>
    <cellStyle name="Total 19 4 3 3" xfId="15049" xr:uid="{6130F106-CE43-451C-B552-6ECDA89C7C04}"/>
    <cellStyle name="Total 19 4 3 4" xfId="16001" xr:uid="{193E5004-036D-43B3-8885-B518654C1CAB}"/>
    <cellStyle name="Total 19 4 3 5" xfId="16875" xr:uid="{F860E138-9ACD-41B7-950E-17954FA87A83}"/>
    <cellStyle name="Total 19 4 3 6" xfId="17740" xr:uid="{1DF14FC6-EF9F-4B18-B106-243F768F56B7}"/>
    <cellStyle name="Total 19 4 3 7" xfId="18516" xr:uid="{25929E7C-7BED-405E-A801-12A36E8035FD}"/>
    <cellStyle name="Total 19 4 3 8" xfId="19273" xr:uid="{30FCC216-5A68-446F-8061-8545BA7A9757}"/>
    <cellStyle name="Total 19 4 4" xfId="12454" xr:uid="{EB8C35E9-9052-4F45-8D9C-936428F8C808}"/>
    <cellStyle name="Total 19 4 5" xfId="10425" xr:uid="{CFD37A02-B069-482F-861F-2EA97227D8F6}"/>
    <cellStyle name="Total 19 4 6" xfId="13144" xr:uid="{47A821AA-BC9A-4773-9C5B-EDCDEE31DACC}"/>
    <cellStyle name="Total 19 4 7" xfId="9886" xr:uid="{FC8444E6-969A-463A-8F96-5EFFCCFD92C0}"/>
    <cellStyle name="Total 19 4 8" xfId="11884" xr:uid="{38BCD904-4798-4FEA-BC5F-8F4DBB17771C}"/>
    <cellStyle name="Total 19 4 9" xfId="10929" xr:uid="{D9404B0D-DC44-4F21-A216-E125426F69ED}"/>
    <cellStyle name="Total 19 5" xfId="8026" xr:uid="{36AFADB7-702C-4054-B1AC-53EB57B30497}"/>
    <cellStyle name="Total 19 5 2" xfId="12994" xr:uid="{3F27800E-81D1-47C4-A153-D7E968FC66D6}"/>
    <cellStyle name="Total 19 5 3" xfId="9998" xr:uid="{9056FDDC-C3CC-4BF4-B3CB-F079FDD419FD}"/>
    <cellStyle name="Total 19 5 4" xfId="13424" xr:uid="{DF9D8753-B886-4B59-9A73-9232C4D8FFFE}"/>
    <cellStyle name="Total 19 5 5" xfId="14431" xr:uid="{7E303900-3EBD-4D15-B364-D997451E8EB3}"/>
    <cellStyle name="Total 19 5 6" xfId="15389" xr:uid="{BC9F523F-903A-4F76-A615-FB3FC52C8C24}"/>
    <cellStyle name="Total 19 5 7" xfId="16316" xr:uid="{52B6DDA8-E404-49B5-BC6C-A0D29460FD9B}"/>
    <cellStyle name="Total 19 5 8" xfId="17187" xr:uid="{2BF675AF-EAD6-472F-9B65-7529D68CF59B}"/>
    <cellStyle name="Total 19 6" xfId="9457" xr:uid="{53F553D7-6C14-4D87-AC2C-3A90457577C9}"/>
    <cellStyle name="Total 19 6 2" xfId="13861" xr:uid="{2D744534-5A86-4628-B854-D1CBBA5EDE14}"/>
    <cellStyle name="Total 19 6 3" xfId="14821" xr:uid="{37FD3B42-8735-4DFD-B600-615848620925}"/>
    <cellStyle name="Total 19 6 4" xfId="15773" xr:uid="{A36FA6A9-87DC-4A33-AF50-36EE9699397F}"/>
    <cellStyle name="Total 19 6 5" xfId="16647" xr:uid="{3C675262-4B0F-4D4C-AAA6-4BF61D964F4B}"/>
    <cellStyle name="Total 19 6 6" xfId="17512" xr:uid="{850C8BDA-33A7-48A6-BC51-CE3820D4E690}"/>
    <cellStyle name="Total 19 6 7" xfId="18288" xr:uid="{59F1B6E5-CF3A-4577-B51A-5A01F1A68CAE}"/>
    <cellStyle name="Total 19 6 8" xfId="19045" xr:uid="{2F7465CD-18E7-4BFA-8A49-089EF2C16A72}"/>
    <cellStyle name="Total 19 7" xfId="11920" xr:uid="{5132AAAC-16CC-484E-BF3B-79089EDEADF9}"/>
    <cellStyle name="Total 19 8" xfId="10897" xr:uid="{DDDBC2D9-7762-410C-AEF4-E0A4FD5B4129}"/>
    <cellStyle name="Total 19 9" xfId="11531" xr:uid="{24999A41-FFA8-49BF-9156-CEC41B1BE3DF}"/>
    <cellStyle name="Total 2" xfId="6298" xr:uid="{30C2778B-B53C-4892-B4A5-F695BBB599B8}"/>
    <cellStyle name="Total 2 10" xfId="11206" xr:uid="{7D743DAE-CEA5-434E-A8A9-B26ED815CFA0}"/>
    <cellStyle name="Total 2 11" xfId="9823" xr:uid="{398971DC-9F07-493E-B5F5-3F99012F79B9}"/>
    <cellStyle name="Total 2 12" xfId="11944" xr:uid="{E78BA86C-94C5-475E-A78D-06211E2E01F7}"/>
    <cellStyle name="Total 2 13" xfId="10873" xr:uid="{6C07655A-16E2-4105-9AE3-1873FDE58B0C}"/>
    <cellStyle name="Total 2 2" xfId="6299" xr:uid="{D005EE03-A221-410B-A8BC-B5FC2E88E69D}"/>
    <cellStyle name="Total 2 3" xfId="6922" xr:uid="{50738B55-5770-4BF8-9390-ACFFA31B73A2}"/>
    <cellStyle name="Total 2 3 10" xfId="11035" xr:uid="{7405482C-FD84-4CEC-AB8C-206543979E8B}"/>
    <cellStyle name="Total 2 3 11" xfId="12565" xr:uid="{F316E325-16C0-454D-892A-1D36EC963CA6}"/>
    <cellStyle name="Total 2 3 2" xfId="7723" xr:uid="{09A5CD3E-598F-44E5-85DE-2237AE1FCC48}"/>
    <cellStyle name="Total 2 3 2 10" xfId="10789" xr:uid="{851AD37F-C2B5-4AEA-937F-7832DA84DFD5}"/>
    <cellStyle name="Total 2 3 2 2" xfId="9363" xr:uid="{9925FA65-1D63-4317-9F7B-8F725009C761}"/>
    <cellStyle name="Total 2 3 2 2 2" xfId="13784" xr:uid="{FE818CBE-BCA9-4C9D-B0B5-216E3A92DC3B}"/>
    <cellStyle name="Total 2 3 2 2 3" xfId="14746" xr:uid="{A9AE6B64-9EB6-449C-B231-ABC58979B072}"/>
    <cellStyle name="Total 2 3 2 2 4" xfId="15698" xr:uid="{725FE184-6583-4258-ADF4-1EA2DD66CD5F}"/>
    <cellStyle name="Total 2 3 2 2 5" xfId="16576" xr:uid="{280EFD6E-4B31-4347-9733-F319BBF418B3}"/>
    <cellStyle name="Total 2 3 2 2 6" xfId="17441" xr:uid="{E2CAFAC2-477D-417F-8F57-9A41ACADF28A}"/>
    <cellStyle name="Total 2 3 2 2 7" xfId="18217" xr:uid="{11FFBEAC-353A-48F3-B8C7-8F36CD5B19B5}"/>
    <cellStyle name="Total 2 3 2 2 8" xfId="18974" xr:uid="{270DB1E2-5584-4DB3-A4A1-47B3BD45CE13}"/>
    <cellStyle name="Total 2 3 2 3" xfId="9801" xr:uid="{A9D33325-EC1F-4BD5-B6C8-0DFBFC49F45D}"/>
    <cellStyle name="Total 2 3 2 3 2" xfId="14205" xr:uid="{929812C9-DB21-487B-9C54-79E50ABA3D1B}"/>
    <cellStyle name="Total 2 3 2 3 3" xfId="15165" xr:uid="{30ACB4AD-7B49-4459-9F33-E6CB221DB7F1}"/>
    <cellStyle name="Total 2 3 2 3 4" xfId="16117" xr:uid="{16190A26-ADDE-4ECF-92BA-4A40DE9293F5}"/>
    <cellStyle name="Total 2 3 2 3 5" xfId="16991" xr:uid="{3B3D19CD-5752-4723-9E4A-F26A7EAC758F}"/>
    <cellStyle name="Total 2 3 2 3 6" xfId="17856" xr:uid="{54E2B844-85A7-4807-B774-F9359DA17CDC}"/>
    <cellStyle name="Total 2 3 2 3 7" xfId="18632" xr:uid="{0FDC32B6-FCA5-43B2-8816-C3E61AA27543}"/>
    <cellStyle name="Total 2 3 2 3 8" xfId="19389" xr:uid="{23B83247-B8E0-474E-B539-01B3C5375681}"/>
    <cellStyle name="Total 2 3 2 4" xfId="12770" xr:uid="{066999D2-399C-46B4-A860-7AE300E0DF19}"/>
    <cellStyle name="Total 2 3 2 5" xfId="12020" xr:uid="{3F3BFB1D-0A61-406B-95CC-B6DEF9A34B9F}"/>
    <cellStyle name="Total 2 3 2 6" xfId="10813" xr:uid="{E8A37B3E-758C-40B1-9EA7-AA7016D4F187}"/>
    <cellStyle name="Total 2 3 2 7" xfId="11607" xr:uid="{D855190B-A723-41B0-920A-1E07B5F9A613}"/>
    <cellStyle name="Total 2 3 2 8" xfId="11152" xr:uid="{FC6B7694-7E7C-4672-B01D-33743588DEF7}"/>
    <cellStyle name="Total 2 3 2 9" xfId="12048" xr:uid="{2350928B-9C1A-46D0-AAB3-1997DE3958A2}"/>
    <cellStyle name="Total 2 3 3" xfId="8562" xr:uid="{F436566A-FEE8-4ACD-9059-8F71895779EC}"/>
    <cellStyle name="Total 2 3 3 2" xfId="13302" xr:uid="{F4751F4E-A108-4E6E-AF39-1EF7548040E7}"/>
    <cellStyle name="Total 2 3 3 3" xfId="14322" xr:uid="{AC219828-4E0E-4C12-B18E-6B5560F6E29E}"/>
    <cellStyle name="Total 2 3 3 4" xfId="15282" xr:uid="{2DAF9925-C69D-4852-BF74-38752CF3F41C}"/>
    <cellStyle name="Total 2 3 3 5" xfId="16231" xr:uid="{1430FA46-A375-49E7-91D7-4538B355CB1B}"/>
    <cellStyle name="Total 2 3 3 6" xfId="17104" xr:uid="{77230249-B91A-4539-84F3-56DDBF7E9522}"/>
    <cellStyle name="Total 2 3 3 7" xfId="17969" xr:uid="{1A4DBCBB-5558-42C3-8BC4-10EE98A95D89}"/>
    <cellStyle name="Total 2 3 3 8" xfId="18745" xr:uid="{AE31447A-14B9-4FA9-A82F-2962692B8707}"/>
    <cellStyle name="Total 2 3 4" xfId="9572" xr:uid="{4F49B192-A56C-4BA9-9B49-1A65921C3986}"/>
    <cellStyle name="Total 2 3 4 2" xfId="13976" xr:uid="{D6701356-7222-4483-B49B-305FB88A7C56}"/>
    <cellStyle name="Total 2 3 4 3" xfId="14936" xr:uid="{4138AE38-BA3A-43CB-AEAE-BEA36EA4D85D}"/>
    <cellStyle name="Total 2 3 4 4" xfId="15888" xr:uid="{6D0BFA55-264B-4BC0-9AC7-8274BEF5ED11}"/>
    <cellStyle name="Total 2 3 4 5" xfId="16762" xr:uid="{83F5D198-BB97-4E3C-B887-E518CE15FA72}"/>
    <cellStyle name="Total 2 3 4 6" xfId="17627" xr:uid="{24B2636F-FB58-4C1F-970F-9E9BE63EBB62}"/>
    <cellStyle name="Total 2 3 4 7" xfId="18403" xr:uid="{AF8E16E1-D4B6-4179-814C-F2CCE04A25D8}"/>
    <cellStyle name="Total 2 3 4 8" xfId="19160" xr:uid="{1C29CA86-2805-4BB4-8A66-F9F521C6009C}"/>
    <cellStyle name="Total 2 3 5" xfId="12273" xr:uid="{D41322B4-76B3-47EE-BCBC-E4CF651CBA9C}"/>
    <cellStyle name="Total 2 3 6" xfId="10592" xr:uid="{F241EDD1-49B7-4F68-B8DB-659F9E8C2871}"/>
    <cellStyle name="Total 2 3 7" xfId="12604" xr:uid="{BB6D4130-F58D-4C86-A37F-0464BA290C2C}"/>
    <cellStyle name="Total 2 3 8" xfId="10300" xr:uid="{178DE878-4D9E-4424-BABB-4224C28ECD18}"/>
    <cellStyle name="Total 2 3 9" xfId="11762" xr:uid="{D8661F7B-19E0-43D5-9BD6-9EF6BA5F5EDC}"/>
    <cellStyle name="Total 2 4" xfId="7186" xr:uid="{E52A3BAA-FDCC-405B-BA9B-CE395A93C892}"/>
    <cellStyle name="Total 2 4 10" xfId="12171" xr:uid="{675112AC-3FB6-45B4-A5B5-26101760D565}"/>
    <cellStyle name="Total 2 4 2" xfId="8826" xr:uid="{64CFD4BE-566A-453B-9C12-A3FA6B33371D}"/>
    <cellStyle name="Total 2 4 2 2" xfId="13485" xr:uid="{19825D1E-3B5C-4F3F-AE02-09B40CEFF50B}"/>
    <cellStyle name="Total 2 4 2 3" xfId="14491" xr:uid="{8B04D387-BA10-4735-A4AF-D703678EE114}"/>
    <cellStyle name="Total 2 4 2 4" xfId="15449" xr:uid="{107BB7F4-3970-4F7C-A66F-7051E3E6F6DA}"/>
    <cellStyle name="Total 2 4 2 5" xfId="16375" xr:uid="{378D74F4-99FF-4854-8574-77AEDAF55D68}"/>
    <cellStyle name="Total 2 4 2 6" xfId="17246" xr:uid="{17052676-7F23-4DE4-8F4C-DE8C9FA10D9E}"/>
    <cellStyle name="Total 2 4 2 7" xfId="18093" xr:uid="{06A9596D-7B8F-48CE-9992-622EDE7CD9E1}"/>
    <cellStyle name="Total 2 4 2 8" xfId="18860" xr:uid="{90F141E3-75A5-4B1E-B345-62B0629AD344}"/>
    <cellStyle name="Total 2 4 3" xfId="9687" xr:uid="{14B25D52-8F09-4882-93A7-EEDF110011FF}"/>
    <cellStyle name="Total 2 4 3 2" xfId="14091" xr:uid="{83835131-4C4C-4310-8597-051D7F237D7B}"/>
    <cellStyle name="Total 2 4 3 3" xfId="15051" xr:uid="{EEE60909-58B5-41BC-9CD6-4BB92A4A069C}"/>
    <cellStyle name="Total 2 4 3 4" xfId="16003" xr:uid="{3A6F73F8-8CFD-4040-A2A3-D7BF5E48150D}"/>
    <cellStyle name="Total 2 4 3 5" xfId="16877" xr:uid="{664F72F7-1FAE-480A-AE13-5B521B91C5FA}"/>
    <cellStyle name="Total 2 4 3 6" xfId="17742" xr:uid="{8BB0C299-CB5A-455F-A6C5-9778EBC7DC5D}"/>
    <cellStyle name="Total 2 4 3 7" xfId="18518" xr:uid="{4C37B278-D4BB-4A4B-AE50-EC8BDCA1DAD1}"/>
    <cellStyle name="Total 2 4 3 8" xfId="19275" xr:uid="{F37448E3-B857-4E12-9A60-432D0D4EF43F}"/>
    <cellStyle name="Total 2 4 4" xfId="12456" xr:uid="{81841090-9E39-40A6-B222-3D7213D2EE98}"/>
    <cellStyle name="Total 2 4 5" xfId="10423" xr:uid="{4147F82E-3043-492B-AE48-A303E747139C}"/>
    <cellStyle name="Total 2 4 6" xfId="12634" xr:uid="{75364C6D-FBB9-4A66-9984-CB251E34EEF0}"/>
    <cellStyle name="Total 2 4 7" xfId="10276" xr:uid="{7691A343-47EB-481D-BF63-CA3AF6AFFA89}"/>
    <cellStyle name="Total 2 4 8" xfId="13157" xr:uid="{2BAA12A4-1C45-40A2-8A21-5A930BE8DFBB}"/>
    <cellStyle name="Total 2 4 9" xfId="9877" xr:uid="{E6554064-C487-4604-B47F-C51D39ACE3CE}"/>
    <cellStyle name="Total 2 5" xfId="8028" xr:uid="{C76441EC-12D2-4F3E-8193-2C9EB7105A71}"/>
    <cellStyle name="Total 2 5 2" xfId="12996" xr:uid="{3021D622-2222-48F2-9C5F-5421555152F9}"/>
    <cellStyle name="Total 2 5 3" xfId="9996" xr:uid="{931C11FB-EA99-4852-A3C4-DE82BA659364}"/>
    <cellStyle name="Total 2 5 4" xfId="11810" xr:uid="{89066022-A230-471D-A0BB-DB38687D763F}"/>
    <cellStyle name="Total 2 5 5" xfId="10995" xr:uid="{B1BF2ED9-E43D-4F25-816E-B0C6637B6ECF}"/>
    <cellStyle name="Total 2 5 6" xfId="12572" xr:uid="{6A893772-9A14-4A19-AD17-E43B17EA08C5}"/>
    <cellStyle name="Total 2 5 7" xfId="10327" xr:uid="{9C0E7544-FBDD-41F7-9DD0-CBA941D363A7}"/>
    <cellStyle name="Total 2 5 8" xfId="11739" xr:uid="{0F070CF2-ADF3-4699-B808-9D87D5330164}"/>
    <cellStyle name="Total 2 6" xfId="9459" xr:uid="{C8348484-0CC3-447D-AE2A-0BD106CBAC62}"/>
    <cellStyle name="Total 2 6 2" xfId="13863" xr:uid="{A05BE989-8D14-45BE-A97D-792C0239E88F}"/>
    <cellStyle name="Total 2 6 3" xfId="14823" xr:uid="{9B575233-35B5-41A3-8414-30D81FD9B801}"/>
    <cellStyle name="Total 2 6 4" xfId="15775" xr:uid="{8F9BE4A4-2340-4D12-9E91-431A907C7769}"/>
    <cellStyle name="Total 2 6 5" xfId="16649" xr:uid="{46F9A847-610F-4EB6-B23D-F20442C74897}"/>
    <cellStyle name="Total 2 6 6" xfId="17514" xr:uid="{856E2C80-EE75-4702-B5B0-3BAF607831E5}"/>
    <cellStyle name="Total 2 6 7" xfId="18290" xr:uid="{7F270D65-2D5B-459D-9A57-EE08564946DD}"/>
    <cellStyle name="Total 2 6 8" xfId="19047" xr:uid="{407B54C7-5B9C-4613-9B41-5C30E0ACC524}"/>
    <cellStyle name="Total 2 7" xfId="11922" xr:uid="{4082D5BA-1924-45BA-B0A9-A735382ACA45}"/>
    <cellStyle name="Total 2 8" xfId="10895" xr:uid="{178523AD-883F-4D35-A5D5-4F8DECB10FE4}"/>
    <cellStyle name="Total 2 9" xfId="11533" xr:uid="{18DD3771-F416-4E9B-A736-B38530B3BD03}"/>
    <cellStyle name="Total 3" xfId="6300" xr:uid="{0D9E3393-DA28-4B8B-86B4-55182A0E8814}"/>
    <cellStyle name="Total 3 10" xfId="11204" xr:uid="{304F7233-DE40-48EF-A1ED-7E5C58B4952C}"/>
    <cellStyle name="Total 3 11" xfId="12044" xr:uid="{A2AF2894-22D1-443C-A432-D2A6A344A8F5}"/>
    <cellStyle name="Total 3 12" xfId="10792" xr:uid="{F381D6E8-14CA-4602-BE31-4B50DC0FB780}"/>
    <cellStyle name="Total 3 13" xfId="11626" xr:uid="{1DB78897-0624-4304-A6F2-7B0703D33FAA}"/>
    <cellStyle name="Total 3 2" xfId="6301" xr:uid="{414FE6B5-4747-47DE-A627-DC3AFD37B4EE}"/>
    <cellStyle name="Total 3 2 10" xfId="11635" xr:uid="{69864A58-629D-45A1-A069-A945158F9D0D}"/>
    <cellStyle name="Total 3 2 11" xfId="11136" xr:uid="{E7C89685-4B2D-4560-ABD8-FB3249B58624}"/>
    <cellStyle name="Total 3 2 12" xfId="11436" xr:uid="{8F0BE225-F042-46DB-9AE3-C8658DC98FFC}"/>
    <cellStyle name="Total 3 2 2" xfId="6924" xr:uid="{A42E4077-6CDC-4B37-A2C3-9EDFADFBE2EC}"/>
    <cellStyle name="Total 3 2 2 10" xfId="10575" xr:uid="{E1D78A6A-9BF1-4936-AB60-2359A2614460}"/>
    <cellStyle name="Total 3 2 2 11" xfId="11690" xr:uid="{8692DE24-A159-4C50-8C83-C127209A60FD}"/>
    <cellStyle name="Total 3 2 2 2" xfId="7724" xr:uid="{29F50156-935E-4713-9C55-EEC159D78F4A}"/>
    <cellStyle name="Total 3 2 2 2 10" xfId="11426" xr:uid="{D70E14DA-2726-4681-B8C7-1A8466DBE16D}"/>
    <cellStyle name="Total 3 2 2 2 2" xfId="9364" xr:uid="{F365147D-BE3F-42E3-9452-A3232046BB2D}"/>
    <cellStyle name="Total 3 2 2 2 2 2" xfId="13785" xr:uid="{013A790D-2163-4D75-81B6-EC154A9146B6}"/>
    <cellStyle name="Total 3 2 2 2 2 3" xfId="14747" xr:uid="{0BE6C897-72A4-4C9E-9273-9E4EBD93B461}"/>
    <cellStyle name="Total 3 2 2 2 2 4" xfId="15699" xr:uid="{03C1B565-1802-4FFC-A57A-569022648EAD}"/>
    <cellStyle name="Total 3 2 2 2 2 5" xfId="16577" xr:uid="{F10C9397-1CB8-41C3-A27C-56A8F94B370A}"/>
    <cellStyle name="Total 3 2 2 2 2 6" xfId="17442" xr:uid="{12B9D659-FB5A-41C6-9EE2-A544BCA42C1C}"/>
    <cellStyle name="Total 3 2 2 2 2 7" xfId="18218" xr:uid="{EF17E70C-039F-4F13-B4C5-F4AE7515BECB}"/>
    <cellStyle name="Total 3 2 2 2 2 8" xfId="18975" xr:uid="{71DA21A3-E60B-4DE5-ABF9-E4BD52F745CE}"/>
    <cellStyle name="Total 3 2 2 2 3" xfId="9802" xr:uid="{4B971C1C-EB23-4305-993D-EB9DB6AA8801}"/>
    <cellStyle name="Total 3 2 2 2 3 2" xfId="14206" xr:uid="{773D204B-E22F-45FB-88EE-31AAE03D2AC4}"/>
    <cellStyle name="Total 3 2 2 2 3 3" xfId="15166" xr:uid="{D02701D3-7F43-4CF0-942E-832EFC595748}"/>
    <cellStyle name="Total 3 2 2 2 3 4" xfId="16118" xr:uid="{E501007C-7A5A-4533-AB89-163FF3550C96}"/>
    <cellStyle name="Total 3 2 2 2 3 5" xfId="16992" xr:uid="{B989046F-BD3C-48B8-A9F6-27821EE10F87}"/>
    <cellStyle name="Total 3 2 2 2 3 6" xfId="17857" xr:uid="{DCD117DC-A9E5-496B-8E06-F69774ADF517}"/>
    <cellStyle name="Total 3 2 2 2 3 7" xfId="18633" xr:uid="{1F41C77B-7678-43B3-9F26-C747EC2733CE}"/>
    <cellStyle name="Total 3 2 2 2 3 8" xfId="19390" xr:uid="{C5851A3C-74DA-47A4-B24E-9C8A784130D2}"/>
    <cellStyle name="Total 3 2 2 2 4" xfId="12771" xr:uid="{1277C808-73EC-49C7-A539-8C1F7965993E}"/>
    <cellStyle name="Total 3 2 2 2 5" xfId="9838" xr:uid="{DF9A9D30-CD39-4F1F-AE71-6059529F5196}"/>
    <cellStyle name="Total 3 2 2 2 6" xfId="11898" xr:uid="{DD6D8B22-CC59-4AFC-BB56-E793E2C097AB}"/>
    <cellStyle name="Total 3 2 2 2 7" xfId="10919" xr:uid="{2B5C5CCE-597D-4DD0-A127-D31A46C5E880}"/>
    <cellStyle name="Total 3 2 2 2 8" xfId="11510" xr:uid="{F8126255-B698-41D7-9778-798E8D560218}"/>
    <cellStyle name="Total 3 2 2 2 9" xfId="11229" xr:uid="{469DCE77-CABE-49BC-A1CE-E3C3BE27940E}"/>
    <cellStyle name="Total 3 2 2 3" xfId="8564" xr:uid="{729BB8CE-ADDC-4F80-8162-9B9ED4BF7030}"/>
    <cellStyle name="Total 3 2 2 3 2" xfId="13304" xr:uid="{70D2A022-98C0-4E5B-A3D3-A0BD0B675B4D}"/>
    <cellStyle name="Total 3 2 2 3 3" xfId="14324" xr:uid="{C880371C-A400-4557-B596-019A8B95328F}"/>
    <cellStyle name="Total 3 2 2 3 4" xfId="15284" xr:uid="{1A882492-09CD-444C-ABCC-A24303378389}"/>
    <cellStyle name="Total 3 2 2 3 5" xfId="16233" xr:uid="{8C246077-90FF-4EC4-8F9C-D8D60239DAB9}"/>
    <cellStyle name="Total 3 2 2 3 6" xfId="17106" xr:uid="{C31198FF-917D-4135-8FD5-244FD2899182}"/>
    <cellStyle name="Total 3 2 2 3 7" xfId="17971" xr:uid="{A55B1CB4-6C76-45FB-918D-E566E9BA0781}"/>
    <cellStyle name="Total 3 2 2 3 8" xfId="18747" xr:uid="{0B7E5B55-536A-4FE0-A476-D005FED8FE5E}"/>
    <cellStyle name="Total 3 2 2 4" xfId="9574" xr:uid="{A2337FD0-6A3D-43BB-90B8-9E770634EDF4}"/>
    <cellStyle name="Total 3 2 2 4 2" xfId="13978" xr:uid="{F0F15821-A4DA-4BBC-ABC1-3C0675F33253}"/>
    <cellStyle name="Total 3 2 2 4 3" xfId="14938" xr:uid="{13895615-E2D2-4DD2-BCCB-E695EDBDEAA0}"/>
    <cellStyle name="Total 3 2 2 4 4" xfId="15890" xr:uid="{0461F6C6-F84E-4E18-8B30-8319E3DE2305}"/>
    <cellStyle name="Total 3 2 2 4 5" xfId="16764" xr:uid="{99228747-F8A3-477B-BB11-2200ABA7EACD}"/>
    <cellStyle name="Total 3 2 2 4 6" xfId="17629" xr:uid="{FDC1367D-5760-4DF1-AB71-B2EFD9CB625A}"/>
    <cellStyle name="Total 3 2 2 4 7" xfId="18405" xr:uid="{63EEDDAD-5C1D-435E-B463-6EB364AF37A2}"/>
    <cellStyle name="Total 3 2 2 4 8" xfId="19162" xr:uid="{0DF9E20A-847F-4E94-943A-F71D0D4C3611}"/>
    <cellStyle name="Total 3 2 2 5" xfId="12275" xr:uid="{0F445C2B-83D6-496C-BDFA-784E61AC1EC1}"/>
    <cellStyle name="Total 3 2 2 6" xfId="10590" xr:uid="{FCEC757F-4D84-4E5A-8A51-67E8AD37FB16}"/>
    <cellStyle name="Total 3 2 2 7" xfId="13121" xr:uid="{7B86BC94-A0A3-4E34-8011-77D91F2F8B5B}"/>
    <cellStyle name="Total 3 2 2 8" xfId="9905" xr:uid="{503D5E7C-FAFC-4E4D-9358-2D12D0C6A084}"/>
    <cellStyle name="Total 3 2 2 9" xfId="12291" xr:uid="{7415FFC5-E8BC-49D0-9AC7-25085B315BC5}"/>
    <cellStyle name="Total 3 2 3" xfId="7188" xr:uid="{C3C1532F-625C-477B-9187-48764037F0FC}"/>
    <cellStyle name="Total 3 2 3 10" xfId="11504" xr:uid="{6CD59B49-1EF3-48C5-AA0B-11DF9E005621}"/>
    <cellStyle name="Total 3 2 3 2" xfId="8828" xr:uid="{9711B28A-A8D7-4728-A8C1-6F51D7392AFC}"/>
    <cellStyle name="Total 3 2 3 2 2" xfId="13487" xr:uid="{11A3CBDF-F208-4A52-B6B4-CD2B392AD2C4}"/>
    <cellStyle name="Total 3 2 3 2 3" xfId="14493" xr:uid="{B22FEBAB-94CB-42E9-94FA-3432764433EA}"/>
    <cellStyle name="Total 3 2 3 2 4" xfId="15451" xr:uid="{5B8A170D-2961-4EA6-BC75-F8BA7BEEF2E0}"/>
    <cellStyle name="Total 3 2 3 2 5" xfId="16377" xr:uid="{9084A462-E10B-4982-B8FB-FE2FFD6D1220}"/>
    <cellStyle name="Total 3 2 3 2 6" xfId="17248" xr:uid="{88DCBC71-C6FE-4730-B820-956A67BE7299}"/>
    <cellStyle name="Total 3 2 3 2 7" xfId="18095" xr:uid="{F113EA18-8EEA-4A79-8B7C-C5953C556B5A}"/>
    <cellStyle name="Total 3 2 3 2 8" xfId="18862" xr:uid="{D1E25A37-1A36-4EC4-BEC3-8F4E461C57A6}"/>
    <cellStyle name="Total 3 2 3 3" xfId="9689" xr:uid="{8D86ACBD-00E6-42C0-A1D2-D3B945BB5BBC}"/>
    <cellStyle name="Total 3 2 3 3 2" xfId="14093" xr:uid="{D96374D4-591D-4C05-8F5C-72944F5511D9}"/>
    <cellStyle name="Total 3 2 3 3 3" xfId="15053" xr:uid="{8840F39E-C743-43F6-BF75-CE97FB1B67F0}"/>
    <cellStyle name="Total 3 2 3 3 4" xfId="16005" xr:uid="{B85BFCCF-6607-4B52-B612-60B8B945328A}"/>
    <cellStyle name="Total 3 2 3 3 5" xfId="16879" xr:uid="{30D6EC8E-FB7E-423C-8F7D-871A4CB8811E}"/>
    <cellStyle name="Total 3 2 3 3 6" xfId="17744" xr:uid="{B8C97BB4-55D0-40DD-B4AD-CC6C30D811D6}"/>
    <cellStyle name="Total 3 2 3 3 7" xfId="18520" xr:uid="{F837B108-398D-431B-ABF7-3504AF4B8BC2}"/>
    <cellStyle name="Total 3 2 3 3 8" xfId="19277" xr:uid="{B8F262E4-5B5A-4B96-A36F-8A09E9008655}"/>
    <cellStyle name="Total 3 2 3 4" xfId="12458" xr:uid="{AF6BB784-E352-4EAF-AF5B-2F3EFA76D197}"/>
    <cellStyle name="Total 3 2 3 5" xfId="10421" xr:uid="{013FC919-4BA2-4984-BDA2-EF2159EF41F0}"/>
    <cellStyle name="Total 3 2 3 6" xfId="13145" xr:uid="{D773B23F-DC45-4D0C-A72E-8A9349A3459F}"/>
    <cellStyle name="Total 3 2 3 7" xfId="9885" xr:uid="{97650AB2-EE27-41F6-A64F-297B7578A543}"/>
    <cellStyle name="Total 3 2 3 8" xfId="11885" xr:uid="{9FACD3C4-AB81-4994-A0CF-E6CD54C30941}"/>
    <cellStyle name="Total 3 2 3 9" xfId="10928" xr:uid="{1BD906B2-8C13-4BF3-86B3-427C5D10A7AF}"/>
    <cellStyle name="Total 3 2 4" xfId="8030" xr:uid="{978E7C12-01AF-4B3F-9E28-BCEFD7BCE303}"/>
    <cellStyle name="Total 3 2 4 2" xfId="12998" xr:uid="{DBCDAC9A-2FDA-4278-A1FF-03A1F6F7E816}"/>
    <cellStyle name="Total 3 2 4 3" xfId="9994" xr:uid="{A2E2ED12-A858-49CC-B055-E88D1ECFC0F0}"/>
    <cellStyle name="Total 3 2 4 4" xfId="11812" xr:uid="{60B94147-FB9B-4252-954F-7529F0F94ED8}"/>
    <cellStyle name="Total 3 2 4 5" xfId="10993" xr:uid="{76EDBE0C-8874-475A-982C-4BE00E3439E0}"/>
    <cellStyle name="Total 3 2 4 6" xfId="13100" xr:uid="{CB4E8164-D3D2-46B9-8AAF-FE201A7D6BC9}"/>
    <cellStyle name="Total 3 2 4 7" xfId="9921" xr:uid="{0907C177-1137-4BFF-BF30-CCC52898A82E}"/>
    <cellStyle name="Total 3 2 4 8" xfId="12789" xr:uid="{F09F2B04-1442-4894-9A78-17721F310B9D}"/>
    <cellStyle name="Total 3 2 5" xfId="9461" xr:uid="{5105E7D8-F4C0-492C-94CE-59F291D37515}"/>
    <cellStyle name="Total 3 2 5 2" xfId="13865" xr:uid="{41FA2D91-151E-47DF-B88B-5A1FCF76FB49}"/>
    <cellStyle name="Total 3 2 5 3" xfId="14825" xr:uid="{AC236F31-C122-44FA-B7FA-B73949D27A13}"/>
    <cellStyle name="Total 3 2 5 4" xfId="15777" xr:uid="{EAF6CA87-C677-4637-97A8-42D5555AC467}"/>
    <cellStyle name="Total 3 2 5 5" xfId="16651" xr:uid="{91CDF5D4-2671-4B47-8DB3-A79736A7FEEE}"/>
    <cellStyle name="Total 3 2 5 6" xfId="17516" xr:uid="{4A0AEA11-4BA6-4DDC-999D-459076FDF461}"/>
    <cellStyle name="Total 3 2 5 7" xfId="18292" xr:uid="{64392651-0207-4297-98EE-BAEA4F15E5B9}"/>
    <cellStyle name="Total 3 2 5 8" xfId="19049" xr:uid="{CF91F5BD-2E89-4D6E-9AF3-6047A30BB67E}"/>
    <cellStyle name="Total 3 2 6" xfId="11925" xr:uid="{1A52BEF7-1056-4B25-A903-4FDB689A99BD}"/>
    <cellStyle name="Total 3 2 7" xfId="10892" xr:uid="{75307B86-4888-4BD3-AAD5-3AAE2A6C8665}"/>
    <cellStyle name="Total 3 2 8" xfId="12069" xr:uid="{0200E816-C3E1-43FF-BB5C-3F76A831169D}"/>
    <cellStyle name="Total 3 2 9" xfId="10779" xr:uid="{BB22CA72-D6AF-49D0-A7DA-8F7CBD3DC3ED}"/>
    <cellStyle name="Total 3 3" xfId="6923" xr:uid="{3CE02007-72FD-46EB-9019-702DA92E64A0}"/>
    <cellStyle name="Total 3 3 10" xfId="16456" xr:uid="{CAF81AEC-1705-4B2E-B68F-E666E7D6D3B2}"/>
    <cellStyle name="Total 3 3 11" xfId="17327" xr:uid="{A18969CE-F78B-49D5-B612-A8ADD66429A6}"/>
    <cellStyle name="Total 3 3 2" xfId="7725" xr:uid="{2B2D3FCC-F727-47E5-8BB2-F0B08A4700E8}"/>
    <cellStyle name="Total 3 3 2 10" xfId="13382" xr:uid="{F46EC73C-5A7C-4F69-A04C-E5B97DC348B5}"/>
    <cellStyle name="Total 3 3 2 2" xfId="9365" xr:uid="{B49B871C-6CD3-4B42-8956-1D3BF3B88503}"/>
    <cellStyle name="Total 3 3 2 2 2" xfId="13786" xr:uid="{23AD589C-9020-40F1-830D-C9B0140F6EEE}"/>
    <cellStyle name="Total 3 3 2 2 3" xfId="14748" xr:uid="{5C3931A2-FD8A-42E2-B113-05CBF11D5F42}"/>
    <cellStyle name="Total 3 3 2 2 4" xfId="15700" xr:uid="{D95A3C19-A9D6-49A9-A4CE-D88FD1568E1A}"/>
    <cellStyle name="Total 3 3 2 2 5" xfId="16578" xr:uid="{D2751577-0B05-45F0-8BF9-900DFFF6BE19}"/>
    <cellStyle name="Total 3 3 2 2 6" xfId="17443" xr:uid="{FB4379E8-5E0C-417A-9CEB-6D5A5B219957}"/>
    <cellStyle name="Total 3 3 2 2 7" xfId="18219" xr:uid="{6DB06B4D-71D1-4824-A5E9-3FE506A6BEB6}"/>
    <cellStyle name="Total 3 3 2 2 8" xfId="18976" xr:uid="{926F7616-E6A9-4273-9212-46E1B39A7921}"/>
    <cellStyle name="Total 3 3 2 3" xfId="9803" xr:uid="{496DE3E5-BAD6-4F21-9A1C-CF62AF5E769E}"/>
    <cellStyle name="Total 3 3 2 3 2" xfId="14207" xr:uid="{23A54136-8BA9-4C7D-8EDC-478733EE1234}"/>
    <cellStyle name="Total 3 3 2 3 3" xfId="15167" xr:uid="{2833D831-E55B-426C-9327-6C9662285691}"/>
    <cellStyle name="Total 3 3 2 3 4" xfId="16119" xr:uid="{1C7B3533-0618-44BD-813D-DDF53D7C696B}"/>
    <cellStyle name="Total 3 3 2 3 5" xfId="16993" xr:uid="{6028A321-B4A5-4827-929C-AA1C6D7629F1}"/>
    <cellStyle name="Total 3 3 2 3 6" xfId="17858" xr:uid="{33422881-20B3-4559-9A7C-C7B638318389}"/>
    <cellStyle name="Total 3 3 2 3 7" xfId="18634" xr:uid="{327B5446-D815-409B-B0BA-E8DB6C9AD96E}"/>
    <cellStyle name="Total 3 3 2 3 8" xfId="19391" xr:uid="{9C0E2BBF-6CBD-4C9E-838A-AD75818AEE7B}"/>
    <cellStyle name="Total 3 3 2 4" xfId="12772" xr:uid="{37C16287-11F2-463C-8842-B40FBDCE13F7}"/>
    <cellStyle name="Total 3 3 2 5" xfId="149" xr:uid="{1973AD6F-4715-47D7-B07E-248F4EB3C470}"/>
    <cellStyle name="Total 3 3 2 6" xfId="11945" xr:uid="{4E5E9177-A323-4DFE-A615-E93DC13EA6EC}"/>
    <cellStyle name="Total 3 3 2 7" xfId="10872" xr:uid="{4B8774A8-05CC-499A-AFB9-1A6D68CF4E6D}"/>
    <cellStyle name="Total 3 3 2 8" xfId="11550" xr:uid="{2C223DD0-F777-429D-9409-6473F354D568}"/>
    <cellStyle name="Total 3 3 2 9" xfId="11189" xr:uid="{B0B10D5C-4DA4-4D9D-947A-074642845919}"/>
    <cellStyle name="Total 3 3 3" xfId="8563" xr:uid="{ADAD4867-7628-412A-B6C6-192BF388A62E}"/>
    <cellStyle name="Total 3 3 3 2" xfId="13303" xr:uid="{A37276F9-9F5A-42B6-9D1A-87D28A70D6A3}"/>
    <cellStyle name="Total 3 3 3 3" xfId="14323" xr:uid="{DD5206D1-714B-4468-9996-18AC263592FC}"/>
    <cellStyle name="Total 3 3 3 4" xfId="15283" xr:uid="{1798AFD1-B488-4C36-9D5F-26151C7FDC11}"/>
    <cellStyle name="Total 3 3 3 5" xfId="16232" xr:uid="{AD1A5913-ABCD-44B6-BAC9-1E6878911A28}"/>
    <cellStyle name="Total 3 3 3 6" xfId="17105" xr:uid="{8E8CB1A5-C7CD-4530-AE72-558F14080508}"/>
    <cellStyle name="Total 3 3 3 7" xfId="17970" xr:uid="{8715E886-E0F6-4F99-818A-E9AA1DB27750}"/>
    <cellStyle name="Total 3 3 3 8" xfId="18746" xr:uid="{01A0EE1F-E050-44EC-B669-A201CF0170E9}"/>
    <cellStyle name="Total 3 3 4" xfId="9573" xr:uid="{1DF39758-650D-4CB2-BF8E-BA6E1057F810}"/>
    <cellStyle name="Total 3 3 4 2" xfId="13977" xr:uid="{50406021-7942-4D1E-BAF4-8C608A4D6DA5}"/>
    <cellStyle name="Total 3 3 4 3" xfId="14937" xr:uid="{AA3958E8-F6A6-4A27-92C3-63C42165B9F2}"/>
    <cellStyle name="Total 3 3 4 4" xfId="15889" xr:uid="{B246D2E1-0EB4-4946-AC9F-6E68F00C7023}"/>
    <cellStyle name="Total 3 3 4 5" xfId="16763" xr:uid="{CC399400-4F1D-40D2-A395-1BF3226C4B33}"/>
    <cellStyle name="Total 3 3 4 6" xfId="17628" xr:uid="{3940FBD3-8D2F-43FE-BA25-CFD9454206B1}"/>
    <cellStyle name="Total 3 3 4 7" xfId="18404" xr:uid="{8D69512B-DBB4-4D93-A835-0D9031EB1F94}"/>
    <cellStyle name="Total 3 3 4 8" xfId="19161" xr:uid="{D01E630B-D9C8-4AC7-A14C-BE9668D5628E}"/>
    <cellStyle name="Total 3 3 5" xfId="12274" xr:uid="{C89CE07E-1676-4083-93B8-6B846A699F7D}"/>
    <cellStyle name="Total 3 3 6" xfId="10591" xr:uid="{13F6A590-1A15-476F-B7EF-E49077B5D383}"/>
    <cellStyle name="Total 3 3 7" xfId="13626" xr:uid="{445A21FD-8A34-4D48-A876-2D86B99EF8AE}"/>
    <cellStyle name="Total 3 3 8" xfId="14604" xr:uid="{0B0A4436-F2A8-4B27-A437-66A1B4FECCE5}"/>
    <cellStyle name="Total 3 3 9" xfId="15557" xr:uid="{01879C35-C9AC-4853-AAB2-43471BF59346}"/>
    <cellStyle name="Total 3 4" xfId="7187" xr:uid="{CDE43C59-15D0-4180-9165-B5AE7B6E6633}"/>
    <cellStyle name="Total 3 4 10" xfId="17345" xr:uid="{C2059350-27ED-4978-A1AB-DA54B71A0F98}"/>
    <cellStyle name="Total 3 4 2" xfId="8827" xr:uid="{5DBAC8FA-D953-467A-94A9-EF9E6A22E1F3}"/>
    <cellStyle name="Total 3 4 2 2" xfId="13486" xr:uid="{86019281-43CE-4B03-90BB-705F09AE37B1}"/>
    <cellStyle name="Total 3 4 2 3" xfId="14492" xr:uid="{8736806C-2CD2-46C8-B15E-D463A8469CB5}"/>
    <cellStyle name="Total 3 4 2 4" xfId="15450" xr:uid="{6632DADD-2E89-4A57-B437-C51B001B310A}"/>
    <cellStyle name="Total 3 4 2 5" xfId="16376" xr:uid="{BDD1D0D5-650A-486A-913A-B544C56E8001}"/>
    <cellStyle name="Total 3 4 2 6" xfId="17247" xr:uid="{9666323A-5E93-481B-BAA5-DEFE6DEFFF17}"/>
    <cellStyle name="Total 3 4 2 7" xfId="18094" xr:uid="{8CD0D850-2A85-49D5-ADA7-982BC560DD9F}"/>
    <cellStyle name="Total 3 4 2 8" xfId="18861" xr:uid="{024EA448-ADF5-403A-8AF6-B4D2B4DFDF84}"/>
    <cellStyle name="Total 3 4 3" xfId="9688" xr:uid="{15840E15-672B-4617-8E15-5AB909250CD4}"/>
    <cellStyle name="Total 3 4 3 2" xfId="14092" xr:uid="{FB1A713C-5F07-4B3B-8026-B0D3456D9572}"/>
    <cellStyle name="Total 3 4 3 3" xfId="15052" xr:uid="{985E7CB9-A5EF-4A70-A98E-A50882B4C830}"/>
    <cellStyle name="Total 3 4 3 4" xfId="16004" xr:uid="{DAE85815-E34B-435B-B28D-27B8E758681C}"/>
    <cellStyle name="Total 3 4 3 5" xfId="16878" xr:uid="{6D7933C1-3BCB-4A00-BCB0-9592D337AC33}"/>
    <cellStyle name="Total 3 4 3 6" xfId="17743" xr:uid="{452FB9B7-E3D8-49C6-A0CF-E26E84D5A3C9}"/>
    <cellStyle name="Total 3 4 3 7" xfId="18519" xr:uid="{62D904DA-5B32-4162-89C8-233A2E176FBC}"/>
    <cellStyle name="Total 3 4 3 8" xfId="19276" xr:uid="{7004D3BA-5FB6-427B-B194-1C0A448F0C59}"/>
    <cellStyle name="Total 3 4 4" xfId="12457" xr:uid="{6880DF90-CB08-46BE-A36E-13F17BABCEFA}"/>
    <cellStyle name="Total 3 4 5" xfId="10422" xr:uid="{468A3C61-FF39-48D1-992C-B54ADF63DB04}"/>
    <cellStyle name="Total 3 4 6" xfId="13653" xr:uid="{6A34BB19-107A-40C6-AA7A-2C52D4B0CEEA}"/>
    <cellStyle name="Total 3 4 7" xfId="14629" xr:uid="{1FD78C56-32CA-49D7-BDD0-317CE26D5973}"/>
    <cellStyle name="Total 3 4 8" xfId="15581" xr:uid="{BE13B5DB-0A0A-4EF5-87D8-C124DA939256}"/>
    <cellStyle name="Total 3 4 9" xfId="16476" xr:uid="{BEDFA099-D02E-4CED-9D6E-2A54CD18FBBC}"/>
    <cellStyle name="Total 3 5" xfId="8029" xr:uid="{123DF54A-9CBA-462D-9CDB-BB43BC4C9770}"/>
    <cellStyle name="Total 3 5 2" xfId="12997" xr:uid="{13AD57C7-6F07-4905-A834-B849646E4DA3}"/>
    <cellStyle name="Total 3 5 3" xfId="9995" xr:uid="{29036003-FD53-437A-A717-442EC042FA76}"/>
    <cellStyle name="Total 3 5 4" xfId="11811" xr:uid="{1DCFBE3C-7560-430A-BDCC-2BF71F56A2CA}"/>
    <cellStyle name="Total 3 5 5" xfId="10994" xr:uid="{04C189CF-DDCE-4D8E-BF5C-BB2E2E29C7C4}"/>
    <cellStyle name="Total 3 5 6" xfId="13598" xr:uid="{22D520E4-334C-4002-AA59-E15DDE707723}"/>
    <cellStyle name="Total 3 5 7" xfId="14580" xr:uid="{AA453F3A-FB64-402C-8E7A-2A12B60647BE}"/>
    <cellStyle name="Total 3 5 8" xfId="15533" xr:uid="{BA48F1A0-3BDA-48D5-8BA9-5E3B170FD07E}"/>
    <cellStyle name="Total 3 6" xfId="9460" xr:uid="{A59901A0-4BF0-4A4B-AF77-8EBC608A0689}"/>
    <cellStyle name="Total 3 6 2" xfId="13864" xr:uid="{D3935E4C-22A3-438C-8D65-2E2098D3A9CE}"/>
    <cellStyle name="Total 3 6 3" xfId="14824" xr:uid="{CB725C53-A945-4ABF-908B-2CA99B1F0248}"/>
    <cellStyle name="Total 3 6 4" xfId="15776" xr:uid="{2E16DA6F-1D64-4F93-B6AC-F6A5412D3DB8}"/>
    <cellStyle name="Total 3 6 5" xfId="16650" xr:uid="{DB6EB202-C09D-441F-AD48-8913173982EB}"/>
    <cellStyle name="Total 3 6 6" xfId="17515" xr:uid="{78A10B58-303F-4387-BBEF-1F9B42979613}"/>
    <cellStyle name="Total 3 6 7" xfId="18291" xr:uid="{5495BA65-F6D2-4F12-BA8E-B632A95B6BDB}"/>
    <cellStyle name="Total 3 6 8" xfId="19048" xr:uid="{083A309D-00D6-4A4C-9B71-1FE481DC8B94}"/>
    <cellStyle name="Total 3 7" xfId="11924" xr:uid="{455124D0-F348-445D-B9B6-81AA3541541F}"/>
    <cellStyle name="Total 3 8" xfId="10893" xr:uid="{4D3EDEE6-E339-4427-B7DC-04DAEB5EF11D}"/>
    <cellStyle name="Total 3 9" xfId="11535" xr:uid="{B4C182C1-B264-4CBD-AD14-726E060DB787}"/>
    <cellStyle name="Total 4" xfId="6302" xr:uid="{2A92F505-4A63-4AC4-95F3-1A06B2A2AC0F}"/>
    <cellStyle name="Total 4 10" xfId="10324" xr:uid="{6A681568-0944-427F-9FC1-B73822BC6C69}"/>
    <cellStyle name="Total 4 11" xfId="12648" xr:uid="{1A284401-0B89-4C6D-B331-8BFABE601432}"/>
    <cellStyle name="Total 4 12" xfId="10266" xr:uid="{B3D098B9-2551-48E1-BDAB-8861F7B2D0EC}"/>
    <cellStyle name="Total 4 13" xfId="13158" xr:uid="{15F447C5-2BFF-4C68-97C1-91980DCC2BF0}"/>
    <cellStyle name="Total 4 2" xfId="6303" xr:uid="{42F3D092-2128-4200-8F6F-31363AC6B287}"/>
    <cellStyle name="Total 4 2 10" xfId="15536" xr:uid="{8D669672-5772-4E5C-9C1A-8D4D6419938F}"/>
    <cellStyle name="Total 4 2 11" xfId="16439" xr:uid="{B977C5B3-22EA-418E-ABBE-65ABB6C5D675}"/>
    <cellStyle name="Total 4 2 12" xfId="17310" xr:uid="{CBAD9C13-AA7F-40C5-A500-158B6B643434}"/>
    <cellStyle name="Total 4 2 2" xfId="6926" xr:uid="{B64D79CB-BD9F-4AF0-A677-FF82C74CB1AA}"/>
    <cellStyle name="Total 4 2 2 10" xfId="11034" xr:uid="{FFD2AADE-B514-46B6-A20B-049284160B2D}"/>
    <cellStyle name="Total 4 2 2 11" xfId="13591" xr:uid="{7890B5B4-C459-46F9-9CAC-6EB21E03D01A}"/>
    <cellStyle name="Total 4 2 2 2" xfId="7726" xr:uid="{687F7893-17EE-429A-A09F-0157125FD7C4}"/>
    <cellStyle name="Total 4 2 2 2 10" xfId="13085" xr:uid="{D367DD50-7432-4DC5-8FFB-A2CE20544E1B}"/>
    <cellStyle name="Total 4 2 2 2 2" xfId="9366" xr:uid="{0DF89119-E68B-4655-B734-86A1794882AA}"/>
    <cellStyle name="Total 4 2 2 2 2 2" xfId="13787" xr:uid="{0DAA9475-7255-4F11-9BEB-731A5D7CD4F9}"/>
    <cellStyle name="Total 4 2 2 2 2 3" xfId="14749" xr:uid="{2531C82C-BE38-4698-8342-76E09660013C}"/>
    <cellStyle name="Total 4 2 2 2 2 4" xfId="15701" xr:uid="{C8A825F9-478F-49D9-A797-A3EAC7A2AA67}"/>
    <cellStyle name="Total 4 2 2 2 2 5" xfId="16579" xr:uid="{6F1DD481-C3C5-47A4-87C5-F34D5F3993C2}"/>
    <cellStyle name="Total 4 2 2 2 2 6" xfId="17444" xr:uid="{2DB369A2-6DFA-47EF-9FCD-65FB26B6AF1D}"/>
    <cellStyle name="Total 4 2 2 2 2 7" xfId="18220" xr:uid="{EB9F4B49-35DE-4A3B-BFE8-80560570FA7B}"/>
    <cellStyle name="Total 4 2 2 2 2 8" xfId="18977" xr:uid="{EBD52101-13E4-4D3B-8D1B-FBB3FF06E1A6}"/>
    <cellStyle name="Total 4 2 2 2 3" xfId="9804" xr:uid="{9B0E6E90-727E-4A41-BBF1-F25FEF048E24}"/>
    <cellStyle name="Total 4 2 2 2 3 2" xfId="14208" xr:uid="{B41DCED8-06A1-4716-8CBB-54064BF8BA55}"/>
    <cellStyle name="Total 4 2 2 2 3 3" xfId="15168" xr:uid="{1CA863A6-38E4-4143-8D72-3E91BB0725ED}"/>
    <cellStyle name="Total 4 2 2 2 3 4" xfId="16120" xr:uid="{B0FA7BB1-F0A9-4324-8DFC-C629E48F7400}"/>
    <cellStyle name="Total 4 2 2 2 3 5" xfId="16994" xr:uid="{1F4A0139-0912-4C2B-9E87-8592E9A3A2B7}"/>
    <cellStyle name="Total 4 2 2 2 3 6" xfId="17859" xr:uid="{E1A237C1-D150-449F-8477-66645CD8CC86}"/>
    <cellStyle name="Total 4 2 2 2 3 7" xfId="18635" xr:uid="{4EB6D327-EE07-4920-8593-18E14CE213CF}"/>
    <cellStyle name="Total 4 2 2 2 3 8" xfId="19392" xr:uid="{462986CF-73EE-4D16-9484-794B22F87502}"/>
    <cellStyle name="Total 4 2 2 2 4" xfId="12773" xr:uid="{CDA45307-EBD4-4C69-BCE1-84799B365DDB}"/>
    <cellStyle name="Total 4 2 2 2 5" xfId="10213" xr:uid="{37541510-CFD9-4E85-A99E-FAE5E2451A85}"/>
    <cellStyle name="Total 4 2 2 2 6" xfId="12025" xr:uid="{9AC9E0F3-278A-4540-86DD-A317B159311D}"/>
    <cellStyle name="Total 4 2 2 2 7" xfId="10809" xr:uid="{B29036B3-A45A-42EE-8D07-7320DFE342AD}"/>
    <cellStyle name="Total 4 2 2 2 8" xfId="11610" xr:uid="{CF09F0B0-E333-4DF9-ACBB-38AE955B1334}"/>
    <cellStyle name="Total 4 2 2 2 9" xfId="11149" xr:uid="{BB716CD1-EA5D-4A52-9502-CD25C1C11C3F}"/>
    <cellStyle name="Total 4 2 2 3" xfId="8566" xr:uid="{2EF1674D-0D0F-4596-839B-455B75421D1C}"/>
    <cellStyle name="Total 4 2 2 3 2" xfId="13306" xr:uid="{BC83C2DD-C90A-4EE6-BC54-E3068FE8B92C}"/>
    <cellStyle name="Total 4 2 2 3 3" xfId="14326" xr:uid="{095A268B-14D6-4752-81A5-454396667B8A}"/>
    <cellStyle name="Total 4 2 2 3 4" xfId="15286" xr:uid="{4103FB76-F859-4923-BD01-E9AEFFF74511}"/>
    <cellStyle name="Total 4 2 2 3 5" xfId="16235" xr:uid="{3C3F1A85-3FF9-4A2B-9FA6-034F4D34B6CF}"/>
    <cellStyle name="Total 4 2 2 3 6" xfId="17108" xr:uid="{6251E4AD-CF61-47DC-B9DC-DD45346F02E6}"/>
    <cellStyle name="Total 4 2 2 3 7" xfId="17973" xr:uid="{3EB6007E-C4CF-4B6F-B7F4-E978D0B7EBEE}"/>
    <cellStyle name="Total 4 2 2 3 8" xfId="18749" xr:uid="{B4D0BEC8-B0E9-466B-B6EF-3BCF30D9A1BC}"/>
    <cellStyle name="Total 4 2 2 4" xfId="9576" xr:uid="{92E0F28E-6284-4847-A904-B8ED3C232EBC}"/>
    <cellStyle name="Total 4 2 2 4 2" xfId="13980" xr:uid="{8A381F7A-84E8-430E-887B-C4E41C19753E}"/>
    <cellStyle name="Total 4 2 2 4 3" xfId="14940" xr:uid="{503CAAA6-8317-47DE-9D0D-7F1F405C6661}"/>
    <cellStyle name="Total 4 2 2 4 4" xfId="15892" xr:uid="{483DAFB3-F66F-4C29-89DC-76806F4EEF63}"/>
    <cellStyle name="Total 4 2 2 4 5" xfId="16766" xr:uid="{0F188EAC-0670-4B06-8FA7-ED6A9AC81032}"/>
    <cellStyle name="Total 4 2 2 4 6" xfId="17631" xr:uid="{481568C5-15D4-4F49-9D6D-D8FA4315C715}"/>
    <cellStyle name="Total 4 2 2 4 7" xfId="18407" xr:uid="{F6AB28E9-08EC-4D2E-AB1F-BD33C09C22D0}"/>
    <cellStyle name="Total 4 2 2 4 8" xfId="19164" xr:uid="{9C051CAF-07B6-49CA-B11B-A20F962621BC}"/>
    <cellStyle name="Total 4 2 2 5" xfId="12277" xr:uid="{7FDFA2D5-823E-4364-9E90-326D3E2BD56D}"/>
    <cellStyle name="Total 4 2 2 6" xfId="10588" xr:uid="{5B805C45-6963-4235-9089-ED66DAC4D91E}"/>
    <cellStyle name="Total 4 2 2 7" xfId="12605" xr:uid="{075A040B-358F-40BF-92A5-AA4BC25D7C86}"/>
    <cellStyle name="Total 4 2 2 8" xfId="10299" xr:uid="{77EE1F4A-0178-4347-8A74-68E9E6A4860F}"/>
    <cellStyle name="Total 4 2 2 9" xfId="11763" xr:uid="{01A5FD83-102F-4042-8CBD-9268CFAA2F09}"/>
    <cellStyle name="Total 4 2 3" xfId="7190" xr:uid="{222EA368-6680-4B26-A1D9-395E19F4B35C}"/>
    <cellStyle name="Total 4 2 3 10" xfId="11583" xr:uid="{5FCBB427-1D7F-48EB-8C4C-D1F344247316}"/>
    <cellStyle name="Total 4 2 3 2" xfId="8830" xr:uid="{F68B5A04-2677-4F82-8A71-C5D85F9503D3}"/>
    <cellStyle name="Total 4 2 3 2 2" xfId="13489" xr:uid="{E6C5F5D6-1A76-4CDC-B1C2-EBBAEB899526}"/>
    <cellStyle name="Total 4 2 3 2 3" xfId="14495" xr:uid="{66CC7041-D571-4E66-B757-22B9055D3A1D}"/>
    <cellStyle name="Total 4 2 3 2 4" xfId="15453" xr:uid="{1B3F9C74-6EE8-4692-B717-B586B6FC82E7}"/>
    <cellStyle name="Total 4 2 3 2 5" xfId="16379" xr:uid="{8790EF68-7C58-48F0-8CCE-35139E74164F}"/>
    <cellStyle name="Total 4 2 3 2 6" xfId="17250" xr:uid="{47879C84-E17A-4689-9663-D72F0B07B303}"/>
    <cellStyle name="Total 4 2 3 2 7" xfId="18097" xr:uid="{A8FC9837-EE4A-43CD-B641-72CFAC102746}"/>
    <cellStyle name="Total 4 2 3 2 8" xfId="18864" xr:uid="{EEA1CE12-7C13-4C25-9C63-FAE6C57F0C1B}"/>
    <cellStyle name="Total 4 2 3 3" xfId="9691" xr:uid="{5B484CB8-B93D-484D-82A5-70B0903833AD}"/>
    <cellStyle name="Total 4 2 3 3 2" xfId="14095" xr:uid="{59EEF94A-A17C-4D84-8921-D4DC620BFC11}"/>
    <cellStyle name="Total 4 2 3 3 3" xfId="15055" xr:uid="{7CA2D681-F3BB-4846-8FAB-B5BFA810A9A7}"/>
    <cellStyle name="Total 4 2 3 3 4" xfId="16007" xr:uid="{D82D5EA2-823B-4C91-B51B-3978B7E8B462}"/>
    <cellStyle name="Total 4 2 3 3 5" xfId="16881" xr:uid="{98C58D3F-5F44-40C2-A6FD-0B95E6999BFC}"/>
    <cellStyle name="Total 4 2 3 3 6" xfId="17746" xr:uid="{5F78C45E-15DB-4A74-B55B-353196CDCD11}"/>
    <cellStyle name="Total 4 2 3 3 7" xfId="18522" xr:uid="{758D70B7-3675-43BB-A442-6E43A4443E81}"/>
    <cellStyle name="Total 4 2 3 3 8" xfId="19279" xr:uid="{02B735B4-F180-4E27-A3DD-DE3CDD0F2CBB}"/>
    <cellStyle name="Total 4 2 3 4" xfId="12460" xr:uid="{0DDE0F85-AB4A-47A2-8156-218F300E3689}"/>
    <cellStyle name="Total 4 2 3 5" xfId="10419" xr:uid="{A0B6F631-39B9-43A1-A0BF-E7FEC35C3598}"/>
    <cellStyle name="Total 4 2 3 6" xfId="12635" xr:uid="{5029E61E-487D-489D-8C04-45C16A048E15}"/>
    <cellStyle name="Total 4 2 3 7" xfId="10275" xr:uid="{60379BCC-19AE-48E4-ABF3-B580B6047559}"/>
    <cellStyle name="Total 4 2 3 8" xfId="11990" xr:uid="{91215DA4-607A-4A68-B0F4-9280AECB08CE}"/>
    <cellStyle name="Total 4 2 3 9" xfId="10839" xr:uid="{2679FFB9-9CE8-4C4D-9A5A-E09DBA23F206}"/>
    <cellStyle name="Total 4 2 4" xfId="8032" xr:uid="{E33979B6-2DAE-4BF5-BEA8-936EE1F88C6A}"/>
    <cellStyle name="Total 4 2 4 2" xfId="13000" xr:uid="{420FF1D4-FC06-434C-A4FC-A5673BB2EC8C}"/>
    <cellStyle name="Total 4 2 4 3" xfId="9992" xr:uid="{30E26E4E-6569-44BF-8986-7CCD7C306DB9}"/>
    <cellStyle name="Total 4 2 4 4" xfId="11814" xr:uid="{646446FC-9E0C-44E1-B63B-22B18787B598}"/>
    <cellStyle name="Total 4 2 4 5" xfId="10991" xr:uid="{04592988-64A2-4D79-94A6-CF6FD70ABC11}"/>
    <cellStyle name="Total 4 2 4 6" xfId="12573" xr:uid="{15C8CAEF-973D-457F-AE97-28CB6D1CF5B3}"/>
    <cellStyle name="Total 4 2 4 7" xfId="10326" xr:uid="{95F067BE-E204-42B2-9A9F-4559698258DE}"/>
    <cellStyle name="Total 4 2 4 8" xfId="11740" xr:uid="{1E5E4370-C440-452C-A77C-1B882F945245}"/>
    <cellStyle name="Total 4 2 5" xfId="9463" xr:uid="{7D295AB6-194C-4002-AE75-18C023489279}"/>
    <cellStyle name="Total 4 2 5 2" xfId="13867" xr:uid="{23EBAE22-85CD-437B-97A7-61BF42F280F7}"/>
    <cellStyle name="Total 4 2 5 3" xfId="14827" xr:uid="{0ED91E57-54F7-4742-A7FD-81F413CA1A65}"/>
    <cellStyle name="Total 4 2 5 4" xfId="15779" xr:uid="{506B69C5-43FB-4E8B-8CE8-1D0B73FFBAEB}"/>
    <cellStyle name="Total 4 2 5 5" xfId="16653" xr:uid="{F85991A6-193C-4A6C-B046-3697A401B869}"/>
    <cellStyle name="Total 4 2 5 6" xfId="17518" xr:uid="{191D75CF-0D3D-4512-8EAF-10C200FE479F}"/>
    <cellStyle name="Total 4 2 5 7" xfId="18294" xr:uid="{11FB8FCF-E133-4EDA-9E2D-F20F5F3EC435}"/>
    <cellStyle name="Total 4 2 5 8" xfId="19051" xr:uid="{321B8825-C463-47C1-9AB5-131C8FF717B9}"/>
    <cellStyle name="Total 4 2 6" xfId="11927" xr:uid="{D8608C34-0DB0-4263-8444-28B6E17852FD}"/>
    <cellStyle name="Total 4 2 7" xfId="10890" xr:uid="{D64775CB-9347-4C82-96BD-2C8C177CCBF1}"/>
    <cellStyle name="Total 4 2 8" xfId="13602" xr:uid="{FEFEB839-220C-4E72-840B-F16F82408A53}"/>
    <cellStyle name="Total 4 2 9" xfId="14583" xr:uid="{7F168C64-979C-4D11-9F42-AA87E22CF136}"/>
    <cellStyle name="Total 4 3" xfId="6925" xr:uid="{78B42F64-6A4F-4F28-9638-7EE6F5556035}"/>
    <cellStyle name="Total 4 3 10" xfId="11124" xr:uid="{9CBC2696-A88B-4A7E-A418-A0F4CF7F1217}"/>
    <cellStyle name="Total 4 3 11" xfId="13384" xr:uid="{B20C0394-23D7-4E23-99C0-404C015C0DB7}"/>
    <cellStyle name="Total 4 3 2" xfId="7727" xr:uid="{79342C7A-37C6-47C1-8923-6A40C54D1EF1}"/>
    <cellStyle name="Total 4 3 2 10" xfId="11225" xr:uid="{E4CD9F3C-1183-44CC-B0B7-B87ADAA84E6B}"/>
    <cellStyle name="Total 4 3 2 2" xfId="9367" xr:uid="{4A8A903D-7D76-4529-B758-F4D10C2DF4E7}"/>
    <cellStyle name="Total 4 3 2 2 2" xfId="13788" xr:uid="{CCA3A820-E130-4CD4-8A79-A6986C7C26A9}"/>
    <cellStyle name="Total 4 3 2 2 3" xfId="14750" xr:uid="{0C2D1F9A-523F-4C0C-AA82-E03143707BCE}"/>
    <cellStyle name="Total 4 3 2 2 4" xfId="15702" xr:uid="{8984465B-3832-4EE1-9CAB-2BF004E7BF6F}"/>
    <cellStyle name="Total 4 3 2 2 5" xfId="16580" xr:uid="{8C31563D-80BD-4204-897F-E1BA511A3DA5}"/>
    <cellStyle name="Total 4 3 2 2 6" xfId="17445" xr:uid="{2BA82333-6FBF-4A1E-B890-B757C104F926}"/>
    <cellStyle name="Total 4 3 2 2 7" xfId="18221" xr:uid="{A254A183-27CF-4CE4-8AD2-F4F0B3D7803F}"/>
    <cellStyle name="Total 4 3 2 2 8" xfId="18978" xr:uid="{260CD779-EE56-4F81-9E62-2BD99EAEF736}"/>
    <cellStyle name="Total 4 3 2 3" xfId="9805" xr:uid="{F1F73547-9F0C-4EB1-8C0C-A20AA171E593}"/>
    <cellStyle name="Total 4 3 2 3 2" xfId="14209" xr:uid="{3815B47D-7731-4AC2-B1EE-6AEE2FB9A7F1}"/>
    <cellStyle name="Total 4 3 2 3 3" xfId="15169" xr:uid="{38AB1B90-8618-4AD2-840C-75D43767A211}"/>
    <cellStyle name="Total 4 3 2 3 4" xfId="16121" xr:uid="{CC2D709F-E153-43DC-B814-ABAA3DDEABBA}"/>
    <cellStyle name="Total 4 3 2 3 5" xfId="16995" xr:uid="{724BB9EC-F00B-4248-B937-AD0E51801E97}"/>
    <cellStyle name="Total 4 3 2 3 6" xfId="17860" xr:uid="{64F6B578-DEC8-46FA-8A93-B24C2EEF81C9}"/>
    <cellStyle name="Total 4 3 2 3 7" xfId="18636" xr:uid="{2CB34DDA-0785-4433-B048-EB0A01BD597C}"/>
    <cellStyle name="Total 4 3 2 3 8" xfId="19393" xr:uid="{47863B7E-2353-4F31-A988-5C341A44EDE7}"/>
    <cellStyle name="Total 4 3 2 4" xfId="12774" xr:uid="{77EB10FE-7ABE-4AC1-9E89-67F8AAAE6A59}"/>
    <cellStyle name="Total 4 3 2 5" xfId="10212" xr:uid="{8FE89118-6D71-48AC-BD57-7FBB82DBCBC0}"/>
    <cellStyle name="Total 4 3 2 6" xfId="9833" xr:uid="{82875B7E-C469-415F-8B3D-AFD9EA7E9744}"/>
    <cellStyle name="Total 4 3 2 7" xfId="11903" xr:uid="{D6BD5893-0CEB-4B33-BC29-F3F04C695A80}"/>
    <cellStyle name="Total 4 3 2 8" xfId="10914" xr:uid="{C1D7E616-7868-4E66-A820-A3F7B947F0AE}"/>
    <cellStyle name="Total 4 3 2 9" xfId="11514" xr:uid="{4B477B18-A774-40FB-8790-284D3F8D102F}"/>
    <cellStyle name="Total 4 3 3" xfId="8565" xr:uid="{C5E45C67-9B30-4116-9397-C6CE322A9483}"/>
    <cellStyle name="Total 4 3 3 2" xfId="13305" xr:uid="{73B31FB9-75A3-4C56-8056-F02F95DCD318}"/>
    <cellStyle name="Total 4 3 3 3" xfId="14325" xr:uid="{88B52C18-4A10-4C75-9206-FCD85791FA9B}"/>
    <cellStyle name="Total 4 3 3 4" xfId="15285" xr:uid="{DD1094A3-F5EC-46E7-92D3-556389A0181E}"/>
    <cellStyle name="Total 4 3 3 5" xfId="16234" xr:uid="{465E3AB9-9274-4BAD-9197-58D74AB3A562}"/>
    <cellStyle name="Total 4 3 3 6" xfId="17107" xr:uid="{544D5F97-4C20-4F11-B782-53782E38E15D}"/>
    <cellStyle name="Total 4 3 3 7" xfId="17972" xr:uid="{45E93D69-B1EA-4D86-A538-37734748E817}"/>
    <cellStyle name="Total 4 3 3 8" xfId="18748" xr:uid="{3F9A9A5B-B25D-464C-BA40-0DB9F72A6F27}"/>
    <cellStyle name="Total 4 3 4" xfId="9575" xr:uid="{F7C9201D-7455-4FEE-A295-4650D34D9DE0}"/>
    <cellStyle name="Total 4 3 4 2" xfId="13979" xr:uid="{BBE25D22-3162-4503-B6D8-A008143D5455}"/>
    <cellStyle name="Total 4 3 4 3" xfId="14939" xr:uid="{DC652E1C-0476-4D1F-9F11-89EECE97D49B}"/>
    <cellStyle name="Total 4 3 4 4" xfId="15891" xr:uid="{425B0A92-5CE6-4358-B72B-51E784DC20A1}"/>
    <cellStyle name="Total 4 3 4 5" xfId="16765" xr:uid="{FB348B62-E027-4E13-82AC-825DC6C27084}"/>
    <cellStyle name="Total 4 3 4 6" xfId="17630" xr:uid="{228DD8B5-6255-462C-AB8D-AF3D89ECAE87}"/>
    <cellStyle name="Total 4 3 4 7" xfId="18406" xr:uid="{67036FBB-1193-49C9-8491-C9DC5BB38A31}"/>
    <cellStyle name="Total 4 3 4 8" xfId="19163" xr:uid="{48B01C9D-4779-495F-B17F-1422118A49C1}"/>
    <cellStyle name="Total 4 3 5" xfId="12276" xr:uid="{4656612D-A029-4D84-A798-2FB2545FD382}"/>
    <cellStyle name="Total 4 3 6" xfId="10589" xr:uid="{F4A4BB39-A57E-4967-BE78-E5E31996FCC7}"/>
    <cellStyle name="Total 4 3 7" xfId="12089" xr:uid="{14802722-A788-4BCD-9A7A-664165FFDC07}"/>
    <cellStyle name="Total 4 3 8" xfId="10761" xr:uid="{1E63B7F9-02C9-48E2-A657-EC27DA53724A}"/>
    <cellStyle name="Total 4 3 9" xfId="11653" xr:uid="{C75234A0-ADA7-4442-8076-D5B29591E250}"/>
    <cellStyle name="Total 4 4" xfId="7189" xr:uid="{40AFDF27-8B19-4F1F-8458-1D101C71DDC3}"/>
    <cellStyle name="Total 4 4 10" xfId="13083" xr:uid="{B44AEF96-F469-4699-8520-03B7B0A78CF4}"/>
    <cellStyle name="Total 4 4 2" xfId="8829" xr:uid="{FC9FDEDE-6500-4471-8E05-B67FFFA5EB45}"/>
    <cellStyle name="Total 4 4 2 2" xfId="13488" xr:uid="{008F58D8-3B0B-4235-9590-4D89D416A115}"/>
    <cellStyle name="Total 4 4 2 3" xfId="14494" xr:uid="{AC275A7C-B6A4-4C5A-B9CA-5A963B5FF3A3}"/>
    <cellStyle name="Total 4 4 2 4" xfId="15452" xr:uid="{414CC80D-DD83-4045-AF69-F9F072E5CBB2}"/>
    <cellStyle name="Total 4 4 2 5" xfId="16378" xr:uid="{1DEA3A8A-5762-420F-8C35-473D8A6E490D}"/>
    <cellStyle name="Total 4 4 2 6" xfId="17249" xr:uid="{645C8AAF-FFE1-4781-92F8-E8745EC9E588}"/>
    <cellStyle name="Total 4 4 2 7" xfId="18096" xr:uid="{D3E5D2E1-C8CA-425C-9AE8-24B8A0FED9BD}"/>
    <cellStyle name="Total 4 4 2 8" xfId="18863" xr:uid="{0F37CB8A-7164-43D4-8E1F-CBBC205B5308}"/>
    <cellStyle name="Total 4 4 3" xfId="9690" xr:uid="{074DBDB6-41EF-446A-B082-74C89A8CAEB2}"/>
    <cellStyle name="Total 4 4 3 2" xfId="14094" xr:uid="{249371B2-60BB-400A-A8ED-35869F4D779E}"/>
    <cellStyle name="Total 4 4 3 3" xfId="15054" xr:uid="{B2E13534-4EDE-41D9-9D76-98DBE598C7B2}"/>
    <cellStyle name="Total 4 4 3 4" xfId="16006" xr:uid="{E4876835-38A9-4638-B6AD-FEA122CA2D19}"/>
    <cellStyle name="Total 4 4 3 5" xfId="16880" xr:uid="{FC201844-648E-4E4E-B76C-94EB878CD4A2}"/>
    <cellStyle name="Total 4 4 3 6" xfId="17745" xr:uid="{352159AE-62E1-4D4A-892E-EAB3ACE295C9}"/>
    <cellStyle name="Total 4 4 3 7" xfId="18521" xr:uid="{A8A17680-7515-448F-BD37-2B2439CC5DB8}"/>
    <cellStyle name="Total 4 4 3 8" xfId="19278" xr:uid="{F84238E8-D3B2-434D-975B-DCF459C0A068}"/>
    <cellStyle name="Total 4 4 4" xfId="12459" xr:uid="{62FA60FE-1FCB-4250-AD65-430C237A9172}"/>
    <cellStyle name="Total 4 4 5" xfId="10420" xr:uid="{04E01861-27ED-4C31-B5EE-2C9BF804CFA7}"/>
    <cellStyle name="Total 4 4 6" xfId="11986" xr:uid="{982DFD0D-6D7B-444A-8AD3-764C764BA433}"/>
    <cellStyle name="Total 4 4 7" xfId="10843" xr:uid="{46739273-197F-45E7-A6E7-A4174D49A672}"/>
    <cellStyle name="Total 4 4 8" xfId="11579" xr:uid="{093CF508-BC08-4ADA-BC63-B88BCB16F05A}"/>
    <cellStyle name="Total 4 4 9" xfId="11175" xr:uid="{99EC8F0C-1FBB-4DB0-B348-FFC89A0D0F4A}"/>
    <cellStyle name="Total 4 5" xfId="8031" xr:uid="{87F81B6D-8C1C-4E14-9428-7EEA43C04858}"/>
    <cellStyle name="Total 4 5 2" xfId="12999" xr:uid="{6CA758F8-E4FD-4B09-A006-88DF43DC4B70}"/>
    <cellStyle name="Total 4 5 3" xfId="9993" xr:uid="{6DB9FC17-4C70-4FA7-95B8-C47AF33CC30E}"/>
    <cellStyle name="Total 4 5 4" xfId="11813" xr:uid="{F68E180A-707B-4F72-BAB3-7300C539F49E}"/>
    <cellStyle name="Total 4 5 5" xfId="10992" xr:uid="{839D7976-C334-41F7-8B31-DD1FF88BC240}"/>
    <cellStyle name="Total 4 5 6" xfId="12066" xr:uid="{D0A1F66D-A29E-4808-A6A3-733B14BCB443}"/>
    <cellStyle name="Total 4 5 7" xfId="10780" xr:uid="{323C1189-675E-4116-AEBF-04A4763365E0}"/>
    <cellStyle name="Total 4 5 8" xfId="11634" xr:uid="{219B6D48-4BAE-4E6C-A272-FB0361651BDE}"/>
    <cellStyle name="Total 4 6" xfId="9462" xr:uid="{08C0A410-C115-4E0D-B422-7E3601206478}"/>
    <cellStyle name="Total 4 6 2" xfId="13866" xr:uid="{0A9A897C-F93C-4D11-970C-BAF1FB7CD63C}"/>
    <cellStyle name="Total 4 6 3" xfId="14826" xr:uid="{6C24354B-ECD3-4884-8840-BF282BA97F24}"/>
    <cellStyle name="Total 4 6 4" xfId="15778" xr:uid="{FF6221F3-F835-4CD6-9B3F-1A93C031E9D2}"/>
    <cellStyle name="Total 4 6 5" xfId="16652" xr:uid="{43E4902E-1B4F-41E6-8618-EC4DDCF9BC28}"/>
    <cellStyle name="Total 4 6 6" xfId="17517" xr:uid="{EE29312D-16DA-4C89-A37E-2517DF63B470}"/>
    <cellStyle name="Total 4 6 7" xfId="18293" xr:uid="{CD980187-326D-41B3-B134-40F18C12FDEC}"/>
    <cellStyle name="Total 4 6 8" xfId="19050" xr:uid="{4223995B-87C2-4E64-A3FD-2A49F1DB5626}"/>
    <cellStyle name="Total 4 7" xfId="11926" xr:uid="{F2E83F91-6EE4-4D8C-8790-53FAE2135DE5}"/>
    <cellStyle name="Total 4 8" xfId="10891" xr:uid="{FF841F63-23AF-47DE-8B5E-F3628DC1E702}"/>
    <cellStyle name="Total 4 9" xfId="12577" xr:uid="{6E56B4AF-FF98-47D1-92D7-4D9BBE1BDC2D}"/>
    <cellStyle name="Total 5" xfId="6304" xr:uid="{1913393B-D33A-47DC-AB99-D1F98BDCC711}"/>
    <cellStyle name="Total 5 10" xfId="9919" xr:uid="{D7952F6D-F807-439A-8E01-704370683317}"/>
    <cellStyle name="Total 5 11" xfId="13799" xr:uid="{A0C6B3B8-C1EA-415D-8AE4-BE8EE866D88C}"/>
    <cellStyle name="Total 5 12" xfId="14761" xr:uid="{A272E736-0359-4079-A445-171FE248FE8E}"/>
    <cellStyle name="Total 5 13" xfId="15713" xr:uid="{84CD4B37-A202-40E5-8F30-F906F8C22C00}"/>
    <cellStyle name="Total 5 2" xfId="6305" xr:uid="{65A33E41-A754-4CF4-AB0E-5E77A83023DC}"/>
    <cellStyle name="Total 5 2 10" xfId="12536" xr:uid="{D462C292-EF24-43A5-87D8-2FEEA0CC5BBA}"/>
    <cellStyle name="Total 5 2 11" xfId="10347" xr:uid="{E4D53CED-D973-41E4-B03D-F37249D530F3}"/>
    <cellStyle name="Total 5 2 12" xfId="12646" xr:uid="{0967C8DA-A27B-4613-82FE-0B653DCB2886}"/>
    <cellStyle name="Total 5 2 2" xfId="6928" xr:uid="{E46C1AB8-B2D0-44B3-9F6C-69E7E40A3969}"/>
    <cellStyle name="Total 5 2 2 10" xfId="14339" xr:uid="{DBDBEC69-9363-4BA2-80CB-CBB411140E05}"/>
    <cellStyle name="Total 5 2 2 11" xfId="15299" xr:uid="{FCAEFCB4-4BE9-43A1-AE2C-E78984059FC0}"/>
    <cellStyle name="Total 5 2 2 2" xfId="7728" xr:uid="{2664B0F2-9039-4AD2-B2DB-252FA8D9025D}"/>
    <cellStyle name="Total 5 2 2 2 10" xfId="12049" xr:uid="{F61FDF37-8220-40DE-BBD1-8DD633523AC5}"/>
    <cellStyle name="Total 5 2 2 2 2" xfId="9368" xr:uid="{24CF1D61-7137-4095-84A8-4CD903DD40AB}"/>
    <cellStyle name="Total 5 2 2 2 2 2" xfId="13789" xr:uid="{F8E1A26E-D066-4BDF-9253-53980AAD9D8D}"/>
    <cellStyle name="Total 5 2 2 2 2 3" xfId="14751" xr:uid="{D2401E1B-27A4-4C28-8974-CD67CDF1C4FE}"/>
    <cellStyle name="Total 5 2 2 2 2 4" xfId="15703" xr:uid="{B6191CC5-0F1A-4A5E-B480-FE2A7294C1EC}"/>
    <cellStyle name="Total 5 2 2 2 2 5" xfId="16581" xr:uid="{FC9CB07B-14F7-4389-9A83-750554EA63A1}"/>
    <cellStyle name="Total 5 2 2 2 2 6" xfId="17446" xr:uid="{BFCD1C6B-AEBE-4DA6-AD39-FF239F7D7A0B}"/>
    <cellStyle name="Total 5 2 2 2 2 7" xfId="18222" xr:uid="{ADAA5AB8-2ED3-4451-A657-CBF04AEF032E}"/>
    <cellStyle name="Total 5 2 2 2 2 8" xfId="18979" xr:uid="{034659A5-293C-4F25-BEE1-5F074639FD20}"/>
    <cellStyle name="Total 5 2 2 2 3" xfId="9806" xr:uid="{E4F368DC-19E3-447B-A90E-575AAC3DD3B2}"/>
    <cellStyle name="Total 5 2 2 2 3 2" xfId="14210" xr:uid="{FC89069F-9483-4D8B-96B9-8BE4083D8F00}"/>
    <cellStyle name="Total 5 2 2 2 3 3" xfId="15170" xr:uid="{445D4111-F462-48E8-9219-6116B5DB50CA}"/>
    <cellStyle name="Total 5 2 2 2 3 4" xfId="16122" xr:uid="{178BB819-77AD-4583-9FC8-C31CF435DB11}"/>
    <cellStyle name="Total 5 2 2 2 3 5" xfId="16996" xr:uid="{D64D58CC-A373-4B9B-B9CA-F9C055283148}"/>
    <cellStyle name="Total 5 2 2 2 3 6" xfId="17861" xr:uid="{7F2B5C0F-EC94-407F-BBE5-F46A36AE5DC7}"/>
    <cellStyle name="Total 5 2 2 2 3 7" xfId="18637" xr:uid="{EF92E077-CEFC-4D92-AFB7-B1D1604B3D1F}"/>
    <cellStyle name="Total 5 2 2 2 3 8" xfId="19394" xr:uid="{F62A29D9-E86C-48F6-96BB-7F3965960680}"/>
    <cellStyle name="Total 5 2 2 2 4" xfId="12775" xr:uid="{B21B3F33-DBB6-4647-A86A-50C2CFA1933F}"/>
    <cellStyle name="Total 5 2 2 2 5" xfId="10211" xr:uid="{53415AD8-ED01-430E-9F88-9D079BBC421A}"/>
    <cellStyle name="Total 5 2 2 2 6" xfId="12026" xr:uid="{F31F5A12-9C2D-42C5-A57B-AD9050D813B0}"/>
    <cellStyle name="Total 5 2 2 2 7" xfId="10808" xr:uid="{DC3B20EC-2E25-47FB-B3FE-404CE246FAA0}"/>
    <cellStyle name="Total 5 2 2 2 8" xfId="11611" xr:uid="{5CD6AD33-EB45-461C-8F29-10BC0F9094F9}"/>
    <cellStyle name="Total 5 2 2 2 9" xfId="11148" xr:uid="{BEDA87A8-ED11-4DFF-B780-184650AE7014}"/>
    <cellStyle name="Total 5 2 2 3" xfId="8568" xr:uid="{1FF72BA9-8BD9-4AF5-A9C0-5118ACA12E33}"/>
    <cellStyle name="Total 5 2 2 3 2" xfId="13308" xr:uid="{8C1EC1A3-8BCA-4D73-981C-3DA475E03F4D}"/>
    <cellStyle name="Total 5 2 2 3 3" xfId="14328" xr:uid="{E9213071-0954-4FF4-93E3-0879CE95D470}"/>
    <cellStyle name="Total 5 2 2 3 4" xfId="15288" xr:uid="{2F58DA09-409C-46D8-A3A7-12ED545AE624}"/>
    <cellStyle name="Total 5 2 2 3 5" xfId="16237" xr:uid="{10E7F8F7-5B76-401A-8B7C-EBBA9E1DF0C3}"/>
    <cellStyle name="Total 5 2 2 3 6" xfId="17110" xr:uid="{BD6BB0CE-D597-4566-A5E3-AB90E7010FD8}"/>
    <cellStyle name="Total 5 2 2 3 7" xfId="17975" xr:uid="{D4BE7FA3-66F5-425E-A9B8-A365B657CDA4}"/>
    <cellStyle name="Total 5 2 2 3 8" xfId="18751" xr:uid="{227D7FDA-3B55-45CB-886C-6839F12BEFAE}"/>
    <cellStyle name="Total 5 2 2 4" xfId="9578" xr:uid="{70392020-FFEA-49C5-9C01-37CE6CDB3EEB}"/>
    <cellStyle name="Total 5 2 2 4 2" xfId="13982" xr:uid="{DF67CBC1-E85B-4614-838A-B2E53ACCF461}"/>
    <cellStyle name="Total 5 2 2 4 3" xfId="14942" xr:uid="{BC93C5E5-5670-43C0-B5D6-A2D6F6FF8ED3}"/>
    <cellStyle name="Total 5 2 2 4 4" xfId="15894" xr:uid="{1415B785-0A71-44F5-88EA-CE862BC7E46E}"/>
    <cellStyle name="Total 5 2 2 4 5" xfId="16768" xr:uid="{A97705AD-44BC-4211-8C42-F81774D2C8D1}"/>
    <cellStyle name="Total 5 2 2 4 6" xfId="17633" xr:uid="{D4CAED00-2602-4C12-B5EE-47BB0B2B0E91}"/>
    <cellStyle name="Total 5 2 2 4 7" xfId="18409" xr:uid="{66701DFF-3393-4A77-9CB0-BA0B333766EB}"/>
    <cellStyle name="Total 5 2 2 4 8" xfId="19166" xr:uid="{5256BF58-433E-4EE9-9787-3D3C1D92DD1D}"/>
    <cellStyle name="Total 5 2 2 5" xfId="12279" xr:uid="{165B0541-5DEB-4A80-A709-B7D503FFBD62}"/>
    <cellStyle name="Total 5 2 2 6" xfId="10586" xr:uid="{54C3DB70-4A2C-44F6-8313-DE7ED58F3660}"/>
    <cellStyle name="Total 5 2 2 7" xfId="13122" xr:uid="{B3550A17-9B13-40FF-9B99-76E60294BFC3}"/>
    <cellStyle name="Total 5 2 2 8" xfId="9904" xr:uid="{62095B67-1E9C-47C0-8132-DC689D8FFEA7}"/>
    <cellStyle name="Total 5 2 2 9" xfId="13323" xr:uid="{CAFDFB50-53D8-43A7-9472-F43937053BE7}"/>
    <cellStyle name="Total 5 2 3" xfId="7192" xr:uid="{3A889C63-4216-450B-B430-ED5443E7223A}"/>
    <cellStyle name="Total 5 2 3 10" xfId="12386" xr:uid="{3BA35B8A-F96E-4EAE-8F53-405E07577581}"/>
    <cellStyle name="Total 5 2 3 2" xfId="8832" xr:uid="{C8CC05A9-A142-42B6-9EDA-1936EBCCF296}"/>
    <cellStyle name="Total 5 2 3 2 2" xfId="13491" xr:uid="{3E949B17-F24F-48A1-ADD6-84DB2DAF905A}"/>
    <cellStyle name="Total 5 2 3 2 3" xfId="14497" xr:uid="{F6FCE335-E372-4DB7-A7B0-01D293F2633C}"/>
    <cellStyle name="Total 5 2 3 2 4" xfId="15455" xr:uid="{8F97846E-BCEB-4FD5-B829-9E9B94AAC732}"/>
    <cellStyle name="Total 5 2 3 2 5" xfId="16381" xr:uid="{0CD474EC-76C1-4912-9B6E-3F907FABE694}"/>
    <cellStyle name="Total 5 2 3 2 6" xfId="17252" xr:uid="{9FAC62A7-E91A-4C03-9E8A-FF21C46748C0}"/>
    <cellStyle name="Total 5 2 3 2 7" xfId="18099" xr:uid="{3BBE06CD-C9CC-489B-BCAB-204E7313AE40}"/>
    <cellStyle name="Total 5 2 3 2 8" xfId="18866" xr:uid="{1C64B500-99DD-42E9-8349-FD147A51F44E}"/>
    <cellStyle name="Total 5 2 3 3" xfId="9693" xr:uid="{93A71045-32F5-4C87-A194-A1A884FCE9EC}"/>
    <cellStyle name="Total 5 2 3 3 2" xfId="14097" xr:uid="{B42CFB6D-A6D4-403B-8109-E86E2ECC4551}"/>
    <cellStyle name="Total 5 2 3 3 3" xfId="15057" xr:uid="{8849B3D3-AD74-4331-82C8-E7772363DA33}"/>
    <cellStyle name="Total 5 2 3 3 4" xfId="16009" xr:uid="{242258A8-17E1-4C0A-8347-BA2938DDDEAC}"/>
    <cellStyle name="Total 5 2 3 3 5" xfId="16883" xr:uid="{B3DE90E9-BB47-4429-B8CD-FC2B93EB3D15}"/>
    <cellStyle name="Total 5 2 3 3 6" xfId="17748" xr:uid="{61E25817-6E4D-4A38-B581-CD7D7B121304}"/>
    <cellStyle name="Total 5 2 3 3 7" xfId="18524" xr:uid="{78E0D2CD-E0BD-4168-A7CC-4961B4B49F5E}"/>
    <cellStyle name="Total 5 2 3 3 8" xfId="19281" xr:uid="{053A4387-CFA4-422D-8513-E3D824749D69}"/>
    <cellStyle name="Total 5 2 3 4" xfId="12462" xr:uid="{94EA8ADA-91FC-4D86-96A9-DC4818D72F15}"/>
    <cellStyle name="Total 5 2 3 5" xfId="10417" xr:uid="{686725E8-92E0-483E-B6C7-041308F5CA8C}"/>
    <cellStyle name="Total 5 2 3 6" xfId="13043" xr:uid="{AC86B3C2-2DE5-4655-A24E-CF4A04460731}"/>
    <cellStyle name="Total 5 2 3 7" xfId="9959" xr:uid="{5779A735-4D60-4FC7-9C5B-69F41F9987E9}"/>
    <cellStyle name="Total 5 2 3 8" xfId="12699" xr:uid="{B37FA600-6417-4127-B18B-B53D3099178F}"/>
    <cellStyle name="Total 5 2 3 9" xfId="10224" xr:uid="{93A4346F-7D57-42EF-9F52-529ED3F88ECC}"/>
    <cellStyle name="Total 5 2 4" xfId="8034" xr:uid="{B4BA2E88-0C5D-4492-9164-1320ED670C1B}"/>
    <cellStyle name="Total 5 2 4 2" xfId="13002" xr:uid="{4AE6E4F8-84F2-4E98-B35D-7FF877844719}"/>
    <cellStyle name="Total 5 2 4 3" xfId="9990" xr:uid="{D09D8BF6-72DA-4AFA-AE23-D3FF7ED2B020}"/>
    <cellStyle name="Total 5 2 4 4" xfId="11816" xr:uid="{8172C8AF-E919-4EF4-9643-95232BF92E82}"/>
    <cellStyle name="Total 5 2 4 5" xfId="10989" xr:uid="{094CC075-C023-44C1-BDE2-7C9B479D6595}"/>
    <cellStyle name="Total 5 2 4 6" xfId="13101" xr:uid="{2DCD3E7D-11A8-459A-85B1-572CCD67F51D}"/>
    <cellStyle name="Total 5 2 4 7" xfId="9920" xr:uid="{AEE69C76-42C7-49B1-AA83-D17E216DC2D7}"/>
    <cellStyle name="Total 5 2 4 8" xfId="13803" xr:uid="{5BCE65D4-5720-4DD7-B78F-CD8E2CF51C49}"/>
    <cellStyle name="Total 5 2 5" xfId="9465" xr:uid="{E3FD5238-96E5-4DB6-ADB1-9A38208057E1}"/>
    <cellStyle name="Total 5 2 5 2" xfId="13869" xr:uid="{E31B0DE3-F4E6-4308-A7C4-0A3A0722D40F}"/>
    <cellStyle name="Total 5 2 5 3" xfId="14829" xr:uid="{C17B6728-29D4-4E44-B307-7120C9CD15CE}"/>
    <cellStyle name="Total 5 2 5 4" xfId="15781" xr:uid="{CA30F99D-92AF-4793-A620-E1B30D40DBCF}"/>
    <cellStyle name="Total 5 2 5 5" xfId="16655" xr:uid="{2F4BD530-69C8-4CF0-A56C-3F02548714DC}"/>
    <cellStyle name="Total 5 2 5 6" xfId="17520" xr:uid="{054E0B4D-CF68-42D1-B368-CB496B890CC3}"/>
    <cellStyle name="Total 5 2 5 7" xfId="18296" xr:uid="{EA62B8B4-5806-4EC6-B381-3913E1CD877D}"/>
    <cellStyle name="Total 5 2 5 8" xfId="19053" xr:uid="{51333F37-C5FD-4FB6-AC2B-21B1403C30D4}"/>
    <cellStyle name="Total 5 2 6" xfId="11929" xr:uid="{C0E5F7CF-413F-44D6-99A6-E2A8AA87E83C}"/>
    <cellStyle name="Total 5 2 7" xfId="10888" xr:uid="{56131BBB-6341-4519-BA55-2E052BDC241F}"/>
    <cellStyle name="Total 5 2 8" xfId="11536" xr:uid="{D3E3C83B-7021-45C3-83BE-13D702CD2860}"/>
    <cellStyle name="Total 5 2 9" xfId="11203" xr:uid="{DFAE640A-5D87-446F-8EED-16E8C1E6B6EB}"/>
    <cellStyle name="Total 5 3" xfId="6927" xr:uid="{98177D94-B45F-4CCF-8EBC-C1687C81456B}"/>
    <cellStyle name="Total 5 3 10" xfId="16457" xr:uid="{1180BE6E-042C-4F80-B60E-309AE636DF78}"/>
    <cellStyle name="Total 5 3 11" xfId="17328" xr:uid="{DABC1CF9-4B84-46AA-89FA-3C58616631C9}"/>
    <cellStyle name="Total 5 3 2" xfId="7729" xr:uid="{F85F4D62-0CDB-4F48-BE16-4EA79D437922}"/>
    <cellStyle name="Total 5 3 2 10" xfId="15531" xr:uid="{D07F0042-6262-4242-8C40-0B6A04126361}"/>
    <cellStyle name="Total 5 3 2 2" xfId="9369" xr:uid="{2A67F970-718A-4544-8845-5A68114C01A1}"/>
    <cellStyle name="Total 5 3 2 2 2" xfId="13790" xr:uid="{0FE2B9B7-9D8E-4D15-AEA5-B25050ECAB72}"/>
    <cellStyle name="Total 5 3 2 2 3" xfId="14752" xr:uid="{4F79E96E-FAAA-4753-9571-895131A81CD5}"/>
    <cellStyle name="Total 5 3 2 2 4" xfId="15704" xr:uid="{6CB02AD1-4AD8-4590-9B0D-E05E3C391712}"/>
    <cellStyle name="Total 5 3 2 2 5" xfId="16582" xr:uid="{E4B3DA9E-D18C-4592-85C4-A97894D3F549}"/>
    <cellStyle name="Total 5 3 2 2 6" xfId="17447" xr:uid="{ED185B68-0BBC-4542-BECC-2AEA500C5F1F}"/>
    <cellStyle name="Total 5 3 2 2 7" xfId="18223" xr:uid="{9870A3B2-5824-4F99-A8AF-14F8E530A724}"/>
    <cellStyle name="Total 5 3 2 2 8" xfId="18980" xr:uid="{DCCCE054-2D27-430B-ACBA-CD8938463550}"/>
    <cellStyle name="Total 5 3 2 3" xfId="9807" xr:uid="{756C5134-5206-4C30-AA34-24593B8D25E9}"/>
    <cellStyle name="Total 5 3 2 3 2" xfId="14211" xr:uid="{C7F6B3A7-3973-4043-8783-26F9CDB25C74}"/>
    <cellStyle name="Total 5 3 2 3 3" xfId="15171" xr:uid="{3DF044ED-49B5-433F-923A-DB30B3B2CFC8}"/>
    <cellStyle name="Total 5 3 2 3 4" xfId="16123" xr:uid="{FFCD1150-316E-48FF-B3B9-DC35F7B6E0FC}"/>
    <cellStyle name="Total 5 3 2 3 5" xfId="16997" xr:uid="{08254E60-B58C-476C-9226-8C1C48F107A9}"/>
    <cellStyle name="Total 5 3 2 3 6" xfId="17862" xr:uid="{A282D59C-B346-47F2-89C8-A936D8BD42A6}"/>
    <cellStyle name="Total 5 3 2 3 7" xfId="18638" xr:uid="{5A7DB0B8-AAB1-43C2-8E0C-F57A36635E64}"/>
    <cellStyle name="Total 5 3 2 3 8" xfId="19395" xr:uid="{7E0E197B-CDF5-4C80-B034-F263C73875A5}"/>
    <cellStyle name="Total 5 3 2 4" xfId="12776" xr:uid="{D0C503E8-1702-40A9-9E79-83F67B77B88A}"/>
    <cellStyle name="Total 5 3 2 5" xfId="10210" xr:uid="{08AC776B-D7D3-4ABD-8CAE-9C082584002E}"/>
    <cellStyle name="Total 5 3 2 6" xfId="11771" xr:uid="{C5CAB35A-1764-4ACD-B2AC-28C3A5186FA7}"/>
    <cellStyle name="Total 5 3 2 7" xfId="11031" xr:uid="{7AD1A592-8BB1-4D4F-B005-73FFB63FFD68}"/>
    <cellStyle name="Total 5 3 2 8" xfId="13592" xr:uid="{EE2C1817-85AF-4394-9C56-A8B93E780361}"/>
    <cellStyle name="Total 5 3 2 9" xfId="14575" xr:uid="{28E0B721-1336-4747-A91E-2491BFC05153}"/>
    <cellStyle name="Total 5 3 3" xfId="8567" xr:uid="{3655CC8A-470F-4BAD-BD98-9DE74E95CA87}"/>
    <cellStyle name="Total 5 3 3 2" xfId="13307" xr:uid="{8932F2A6-EC98-43B8-AE2C-3C3ECDFF5FBD}"/>
    <cellStyle name="Total 5 3 3 3" xfId="14327" xr:uid="{D94EF701-7B6A-4964-AF4F-735A261B44B1}"/>
    <cellStyle name="Total 5 3 3 4" xfId="15287" xr:uid="{04D1061A-51D8-4B8A-A15C-2599FEBEE153}"/>
    <cellStyle name="Total 5 3 3 5" xfId="16236" xr:uid="{CA65D370-449D-4B2F-B0F0-51687BE3AF10}"/>
    <cellStyle name="Total 5 3 3 6" xfId="17109" xr:uid="{2AA45669-CC08-418C-B027-8C96575523D8}"/>
    <cellStyle name="Total 5 3 3 7" xfId="17974" xr:uid="{F92BD4AB-3777-4CC5-868B-FBA669E709B7}"/>
    <cellStyle name="Total 5 3 3 8" xfId="18750" xr:uid="{294A6F78-1B98-439C-A653-2777DD2442ED}"/>
    <cellStyle name="Total 5 3 4" xfId="9577" xr:uid="{47B9EDE8-1881-4E1A-B115-FE10D46205AF}"/>
    <cellStyle name="Total 5 3 4 2" xfId="13981" xr:uid="{2BF0AE71-1186-4832-9E39-02759B625C65}"/>
    <cellStyle name="Total 5 3 4 3" xfId="14941" xr:uid="{09AFBA78-BE35-4816-A919-AFCA19E865C5}"/>
    <cellStyle name="Total 5 3 4 4" xfId="15893" xr:uid="{B2E0667C-390C-4D4E-9D18-8C7E302BFCD2}"/>
    <cellStyle name="Total 5 3 4 5" xfId="16767" xr:uid="{EB2B73B5-F355-4DE7-B798-B8D7A5618955}"/>
    <cellStyle name="Total 5 3 4 6" xfId="17632" xr:uid="{33658E34-730D-4CA1-80E5-7F45035859CF}"/>
    <cellStyle name="Total 5 3 4 7" xfId="18408" xr:uid="{5068A430-1414-4D72-BD6D-96C7C2A15049}"/>
    <cellStyle name="Total 5 3 4 8" xfId="19165" xr:uid="{EB67344A-494A-46DE-A9E3-AA0DD4CE173E}"/>
    <cellStyle name="Total 5 3 5" xfId="12278" xr:uid="{83DE0567-9EFB-4086-8966-695862D95CB0}"/>
    <cellStyle name="Total 5 3 6" xfId="10587" xr:uid="{C93AE59B-3043-43CE-9848-80F2F62BF81B}"/>
    <cellStyle name="Total 5 3 7" xfId="13627" xr:uid="{6BFA3F2A-0081-4631-A51D-F699A1374130}"/>
    <cellStyle name="Total 5 3 8" xfId="14605" xr:uid="{4147C9A3-914D-42FA-A634-5416368D3C31}"/>
    <cellStyle name="Total 5 3 9" xfId="15558" xr:uid="{AC7B42ED-90E2-46C5-8B49-98D124083728}"/>
    <cellStyle name="Total 5 4" xfId="7191" xr:uid="{8C7711FC-9362-4CAF-A061-D5A2ADD3EF26}"/>
    <cellStyle name="Total 5 4 10" xfId="17346" xr:uid="{F800A68A-2F8F-40E4-B454-531B527EDA9B}"/>
    <cellStyle name="Total 5 4 2" xfId="8831" xr:uid="{48A24D8E-C612-4F89-A014-03207DE4E82A}"/>
    <cellStyle name="Total 5 4 2 2" xfId="13490" xr:uid="{C9D3BA47-249C-4412-84D2-1C9AFB9BAE59}"/>
    <cellStyle name="Total 5 4 2 3" xfId="14496" xr:uid="{4FC9B462-F25E-4C8D-8038-AADD1ECC0919}"/>
    <cellStyle name="Total 5 4 2 4" xfId="15454" xr:uid="{418C39F4-F6EC-450D-B6D2-3098AF59041F}"/>
    <cellStyle name="Total 5 4 2 5" xfId="16380" xr:uid="{32DDC7F5-3F38-4FEB-A8C1-A9E28FCDFEE2}"/>
    <cellStyle name="Total 5 4 2 6" xfId="17251" xr:uid="{B05074FA-2730-492B-9205-74E23D991738}"/>
    <cellStyle name="Total 5 4 2 7" xfId="18098" xr:uid="{FFF87F19-4FD3-4CF1-ABCC-4CC49EC7438D}"/>
    <cellStyle name="Total 5 4 2 8" xfId="18865" xr:uid="{80FE71AF-380A-4F39-B2D5-88DE3A1DFEE8}"/>
    <cellStyle name="Total 5 4 3" xfId="9692" xr:uid="{79BAD74F-F3A7-4C86-A59F-E490D737F4A3}"/>
    <cellStyle name="Total 5 4 3 2" xfId="14096" xr:uid="{0199AE9E-0659-48BB-946B-29D364EE88D8}"/>
    <cellStyle name="Total 5 4 3 3" xfId="15056" xr:uid="{2C1FCD41-11AD-4316-90FA-A818BF367B9B}"/>
    <cellStyle name="Total 5 4 3 4" xfId="16008" xr:uid="{38C322B0-DCE1-49EA-8DC0-58D1AC47E3E1}"/>
    <cellStyle name="Total 5 4 3 5" xfId="16882" xr:uid="{E9A85657-F905-44A3-95F9-259B6645FD8D}"/>
    <cellStyle name="Total 5 4 3 6" xfId="17747" xr:uid="{B0A7BD0D-DABF-4601-A273-F4F01BE1B5B3}"/>
    <cellStyle name="Total 5 4 3 7" xfId="18523" xr:uid="{32B2CA92-B9E6-4A43-8D7D-E6032984F428}"/>
    <cellStyle name="Total 5 4 3 8" xfId="19280" xr:uid="{5366A15A-CF26-4B90-9301-8BED3BDDA07B}"/>
    <cellStyle name="Total 5 4 4" xfId="12461" xr:uid="{7A029AEE-7D3A-48C9-A0EF-ED3DCA60B38F}"/>
    <cellStyle name="Total 5 4 5" xfId="10418" xr:uid="{640B6524-D378-45B0-903D-B62345057754}"/>
    <cellStyle name="Total 5 4 6" xfId="13654" xr:uid="{9D3259D2-E23C-4372-AA06-76FAAA16947A}"/>
    <cellStyle name="Total 5 4 7" xfId="14630" xr:uid="{408E7D9C-D67E-4407-95E7-53357681CD62}"/>
    <cellStyle name="Total 5 4 8" xfId="15582" xr:uid="{C8343B2A-117F-49C4-A723-1360BDCF0B0A}"/>
    <cellStyle name="Total 5 4 9" xfId="16477" xr:uid="{B026FDCE-D982-42AC-8079-1ADCD795D51D}"/>
    <cellStyle name="Total 5 5" xfId="8033" xr:uid="{BF4C2827-10CE-455F-98DE-4F5071F3B9CD}"/>
    <cellStyle name="Total 5 5 2" xfId="13001" xr:uid="{DF728091-167E-4409-9CFA-23F2D33F6EA6}"/>
    <cellStyle name="Total 5 5 3" xfId="9991" xr:uid="{3E142432-DF4F-4722-80CD-97E6CFAE6261}"/>
    <cellStyle name="Total 5 5 4" xfId="11815" xr:uid="{6B2204D2-65F6-4CD7-B699-A93900554168}"/>
    <cellStyle name="Total 5 5 5" xfId="10990" xr:uid="{E4802F86-F225-45D2-96EA-3A5AD91FB9C0}"/>
    <cellStyle name="Total 5 5 6" xfId="13599" xr:uid="{0D4C5040-82D2-4E04-82BA-70A16D8D5CED}"/>
    <cellStyle name="Total 5 5 7" xfId="14581" xr:uid="{7854E849-80D1-46F5-A86F-F8AA0B427FCC}"/>
    <cellStyle name="Total 5 5 8" xfId="15534" xr:uid="{4B696ABE-16E3-4D36-8619-7C2683376346}"/>
    <cellStyle name="Total 5 6" xfId="9464" xr:uid="{02E54722-636F-40DB-873D-5B0FC135BC2F}"/>
    <cellStyle name="Total 5 6 2" xfId="13868" xr:uid="{C6B9C176-A580-4F01-B1CB-1FB4DA16406E}"/>
    <cellStyle name="Total 5 6 3" xfId="14828" xr:uid="{D42E186A-138F-4AC1-9DED-4312D409FD23}"/>
    <cellStyle name="Total 5 6 4" xfId="15780" xr:uid="{2FB7FC3D-3DA3-4916-BBDC-8BEAE29DAD70}"/>
    <cellStyle name="Total 5 6 5" xfId="16654" xr:uid="{B4043BB2-9C82-4BD1-B9B8-05F8F022B761}"/>
    <cellStyle name="Total 5 6 6" xfId="17519" xr:uid="{EEB21B0C-E630-4267-9CB1-D5E69CA2F951}"/>
    <cellStyle name="Total 5 6 7" xfId="18295" xr:uid="{734AE0FF-3354-4D38-BDA2-F751040DF8FA}"/>
    <cellStyle name="Total 5 6 8" xfId="19052" xr:uid="{AD7123BE-A8ED-4D1B-AEB4-B1CD70A3D13B}"/>
    <cellStyle name="Total 5 7" xfId="11928" xr:uid="{BBD95995-13E2-400A-922C-C9C3BBBAD925}"/>
    <cellStyle name="Total 5 8" xfId="10889" xr:uid="{131C045B-C461-4DD6-9383-A6E011375F8D}"/>
    <cellStyle name="Total 5 9" xfId="13104" xr:uid="{9F28698D-8963-499D-8846-200EC9374DFC}"/>
    <cellStyle name="Total 6" xfId="6306" xr:uid="{344AA0AF-0784-4057-867A-4BC3069D5D11}"/>
    <cellStyle name="Total 6 10" xfId="11202" xr:uid="{9796B418-1C3D-44F0-B459-3CBF2494414E}"/>
    <cellStyle name="Total 6 11" xfId="13565" xr:uid="{80D29197-74E0-4EAD-93A5-277002A4BBBF}"/>
    <cellStyle name="Total 6 12" xfId="14566" xr:uid="{26732691-C40E-45AA-8A48-4D5FBFB54A12}"/>
    <cellStyle name="Total 6 13" xfId="15524" xr:uid="{A4121BBC-5B16-4B10-8710-4A17F9F6635E}"/>
    <cellStyle name="Total 6 2" xfId="6307" xr:uid="{F15E3EE2-C089-47DB-829F-F5895958B80C}"/>
    <cellStyle name="Total 6 2 10" xfId="13081" xr:uid="{281583D0-3D3B-4572-AB4D-32A4476E8A08}"/>
    <cellStyle name="Total 6 2 11" xfId="9928" xr:uid="{788F435C-1009-4059-ADE6-AB77F4589273}"/>
    <cellStyle name="Total 6 2 12" xfId="13199" xr:uid="{9E50A65C-5E1B-4A47-9842-77A744297D73}"/>
    <cellStyle name="Total 6 2 2" xfId="6930" xr:uid="{6BDB7562-9237-472C-9901-45E4AC4D4893}"/>
    <cellStyle name="Total 6 2 2 10" xfId="11033" xr:uid="{E4740CDF-8DE7-4192-9ACA-0342041F3064}"/>
    <cellStyle name="Total 6 2 2 11" xfId="13097" xr:uid="{5A02D484-BE1B-4930-B5C9-1A74D2E84DF6}"/>
    <cellStyle name="Total 6 2 2 2" xfId="7730" xr:uid="{BF923BB2-8BE2-45C7-965F-BC62CB12C3E9}"/>
    <cellStyle name="Total 6 2 2 2 10" xfId="15364" xr:uid="{A83BF8DA-791D-4744-84A7-7EC82088DFF5}"/>
    <cellStyle name="Total 6 2 2 2 2" xfId="9370" xr:uid="{F8461584-33BC-49EC-8206-F800B63B60E4}"/>
    <cellStyle name="Total 6 2 2 2 2 2" xfId="13791" xr:uid="{C86CE8BF-A0CC-4977-9544-B8B303A711B8}"/>
    <cellStyle name="Total 6 2 2 2 2 3" xfId="14753" xr:uid="{9EB2FF49-7B09-43A9-B61E-D074FE6B6026}"/>
    <cellStyle name="Total 6 2 2 2 2 4" xfId="15705" xr:uid="{D5927DA4-8FAF-4136-B25B-9138812B9461}"/>
    <cellStyle name="Total 6 2 2 2 2 5" xfId="16583" xr:uid="{DAA2A30F-FEDA-4F2E-99CC-962B4159739A}"/>
    <cellStyle name="Total 6 2 2 2 2 6" xfId="17448" xr:uid="{DB821FFC-5CC1-4F7E-95DA-BBFE7B99C71F}"/>
    <cellStyle name="Total 6 2 2 2 2 7" xfId="18224" xr:uid="{752FF771-8BE0-43A4-9501-FEF3698198F3}"/>
    <cellStyle name="Total 6 2 2 2 2 8" xfId="18981" xr:uid="{A85ECE12-D9AA-4A95-9818-17E03569423E}"/>
    <cellStyle name="Total 6 2 2 2 3" xfId="9808" xr:uid="{B994502F-8D64-4344-902D-011212D71319}"/>
    <cellStyle name="Total 6 2 2 2 3 2" xfId="14212" xr:uid="{E314D94C-CD38-48DF-8A9A-BEED1DD47A87}"/>
    <cellStyle name="Total 6 2 2 2 3 3" xfId="15172" xr:uid="{CA7CDC45-16AF-4D80-A923-9EE67335F4FC}"/>
    <cellStyle name="Total 6 2 2 2 3 4" xfId="16124" xr:uid="{F1139883-8C39-42BC-8F6B-423321CAD13A}"/>
    <cellStyle name="Total 6 2 2 2 3 5" xfId="16998" xr:uid="{F5C40B3B-0B18-4C80-91C0-7D046E08C97C}"/>
    <cellStyle name="Total 6 2 2 2 3 6" xfId="17863" xr:uid="{9F85AAE7-DB4A-48A0-A5CB-097904A42374}"/>
    <cellStyle name="Total 6 2 2 2 3 7" xfId="18639" xr:uid="{C3BA09F7-58C5-4E77-9FEB-1BE993459142}"/>
    <cellStyle name="Total 6 2 2 2 3 8" xfId="19396" xr:uid="{D08E42DE-7DF3-4F29-AFE2-2761744D39F3}"/>
    <cellStyle name="Total 6 2 2 2 4" xfId="12777" xr:uid="{6A24595D-869B-4356-B786-DC3097F72C04}"/>
    <cellStyle name="Total 6 2 2 2 5" xfId="10209" xr:uid="{46A36F71-ADD3-46C4-805E-31C3EBC653F8}"/>
    <cellStyle name="Total 6 2 2 2 6" xfId="12130" xr:uid="{3B6F63B3-EC11-46F4-9DE3-294DF71AA0EE}"/>
    <cellStyle name="Total 6 2 2 2 7" xfId="10725" xr:uid="{286FA288-696F-4969-96C3-1B9231D2DEDD}"/>
    <cellStyle name="Total 6 2 2 2 8" xfId="13397" xr:uid="{42025FA0-51FD-4208-81E6-AB5771314497}"/>
    <cellStyle name="Total 6 2 2 2 9" xfId="14406" xr:uid="{A682498F-384D-47CA-9ABE-59998F3CFCAD}"/>
    <cellStyle name="Total 6 2 2 3" xfId="8570" xr:uid="{E424781D-13DD-4A87-965C-BA86F4E8E44C}"/>
    <cellStyle name="Total 6 2 2 3 2" xfId="13310" xr:uid="{FD200C24-C634-4D7F-8ACD-E1B2BD3B061A}"/>
    <cellStyle name="Total 6 2 2 3 3" xfId="14330" xr:uid="{D8E9AD95-DBE3-451B-B136-1C9A778676B1}"/>
    <cellStyle name="Total 6 2 2 3 4" xfId="15290" xr:uid="{CC7BCC1E-EA1A-483E-BA53-66679C60AD7C}"/>
    <cellStyle name="Total 6 2 2 3 5" xfId="16239" xr:uid="{09D4E4DA-D0FF-4949-827D-51923B1DFBBA}"/>
    <cellStyle name="Total 6 2 2 3 6" xfId="17112" xr:uid="{C09DFACB-C41C-43EF-B128-5504A8BF4BF1}"/>
    <cellStyle name="Total 6 2 2 3 7" xfId="17977" xr:uid="{47778517-195F-42B1-9E63-95FEA80E0B20}"/>
    <cellStyle name="Total 6 2 2 3 8" xfId="18753" xr:uid="{28F8997C-2434-49D4-8430-DA01256773CF}"/>
    <cellStyle name="Total 6 2 2 4" xfId="9580" xr:uid="{006F1D32-68F3-4F59-A715-8ED55D3947FE}"/>
    <cellStyle name="Total 6 2 2 4 2" xfId="13984" xr:uid="{87531E02-DB9E-4B0F-AEB3-2B823D2EC34F}"/>
    <cellStyle name="Total 6 2 2 4 3" xfId="14944" xr:uid="{E1C969FE-1034-4A3A-A85A-33D8996B0D59}"/>
    <cellStyle name="Total 6 2 2 4 4" xfId="15896" xr:uid="{82F67A8B-1984-4BCE-9F0E-594320A3621B}"/>
    <cellStyle name="Total 6 2 2 4 5" xfId="16770" xr:uid="{B2E963C2-7508-473D-9CBE-40227EFE8A89}"/>
    <cellStyle name="Total 6 2 2 4 6" xfId="17635" xr:uid="{DE50BDB6-9861-4E3C-8710-4E296F51C677}"/>
    <cellStyle name="Total 6 2 2 4 7" xfId="18411" xr:uid="{9E5E1882-5641-4FD9-A8DE-680E49D738FC}"/>
    <cellStyle name="Total 6 2 2 4 8" xfId="19168" xr:uid="{74D6D8A9-8DBA-4E1E-BE29-52BBFD389C81}"/>
    <cellStyle name="Total 6 2 2 5" xfId="12281" xr:uid="{251BF2A7-4A68-4DC2-9B45-202AAD2E312B}"/>
    <cellStyle name="Total 6 2 2 6" xfId="10584" xr:uid="{C59A1693-0590-450E-B0C5-AA9D15C7DE7B}"/>
    <cellStyle name="Total 6 2 2 7" xfId="12606" xr:uid="{63EB7E42-545F-4292-AB38-EB9803439BCD}"/>
    <cellStyle name="Total 6 2 2 8" xfId="10298" xr:uid="{F2AB5ECB-B415-441E-9087-0C4318B53285}"/>
    <cellStyle name="Total 6 2 2 9" xfId="11764" xr:uid="{E00502EE-721B-4D65-80AF-7D53A2AA7A75}"/>
    <cellStyle name="Total 6 2 3" xfId="7194" xr:uid="{B300E210-A8ED-4BCC-9296-560E4E889479}"/>
    <cellStyle name="Total 6 2 3 10" xfId="17180" xr:uid="{FAE83FCF-241E-4C07-AE64-8AE79C493866}"/>
    <cellStyle name="Total 6 2 3 2" xfId="8834" xr:uid="{8701CF7E-A1EA-4177-BF98-D5B170E94793}"/>
    <cellStyle name="Total 6 2 3 2 2" xfId="13493" xr:uid="{A724DBBC-B583-4616-A43E-3075274B0CF6}"/>
    <cellStyle name="Total 6 2 3 2 3" xfId="14499" xr:uid="{E52839A8-667B-4994-B3E4-BFD50DBBA1DF}"/>
    <cellStyle name="Total 6 2 3 2 4" xfId="15457" xr:uid="{47574DEB-8C1F-4B21-BABD-EA968BA727E5}"/>
    <cellStyle name="Total 6 2 3 2 5" xfId="16383" xr:uid="{F3BA6C8C-2E82-45BB-B6D4-98550DE53D39}"/>
    <cellStyle name="Total 6 2 3 2 6" xfId="17254" xr:uid="{72075A69-5CC3-442A-ABE7-C52494B52679}"/>
    <cellStyle name="Total 6 2 3 2 7" xfId="18101" xr:uid="{CDE558A0-5315-4F75-AEED-75FF64D3AFD0}"/>
    <cellStyle name="Total 6 2 3 2 8" xfId="18868" xr:uid="{B5FBBB39-2EC5-4902-89A2-BC87E7304EB5}"/>
    <cellStyle name="Total 6 2 3 3" xfId="9695" xr:uid="{3B351B96-9B5F-444D-BD2A-B67BC3F9CD40}"/>
    <cellStyle name="Total 6 2 3 3 2" xfId="14099" xr:uid="{408857FA-079C-4911-AB4A-835963401AA1}"/>
    <cellStyle name="Total 6 2 3 3 3" xfId="15059" xr:uid="{4E700D67-F509-4991-9412-65B3EFB37F39}"/>
    <cellStyle name="Total 6 2 3 3 4" xfId="16011" xr:uid="{AE39A15C-265E-4CDF-A7EB-50A846778480}"/>
    <cellStyle name="Total 6 2 3 3 5" xfId="16885" xr:uid="{157999EC-CCBA-4F4F-8E03-6CABED79E7BE}"/>
    <cellStyle name="Total 6 2 3 3 6" xfId="17750" xr:uid="{461374A8-635E-44B7-8E67-C68B82E093A0}"/>
    <cellStyle name="Total 6 2 3 3 7" xfId="18526" xr:uid="{04148E77-C640-42A6-BC06-596B1E4F3806}"/>
    <cellStyle name="Total 6 2 3 3 8" xfId="19283" xr:uid="{4EE22E30-40B9-4D72-AE69-1AB0573122F4}"/>
    <cellStyle name="Total 6 2 3 4" xfId="12464" xr:uid="{17283B79-23D8-42F1-A1C4-A8884CA6836A}"/>
    <cellStyle name="Total 6 2 3 5" xfId="10415" xr:uid="{CF7BEEA8-FF24-49C5-86B0-617A621DAB46}"/>
    <cellStyle name="Total 6 2 3 6" xfId="13410" xr:uid="{CC103B26-909D-452C-A98A-9AEF738720B7}"/>
    <cellStyle name="Total 6 2 3 7" xfId="14419" xr:uid="{6A33978A-6D05-491D-A82E-07AC19523053}"/>
    <cellStyle name="Total 6 2 3 8" xfId="15377" xr:uid="{D8C547FB-3AEC-45E0-92B2-C384C0F9D49A}"/>
    <cellStyle name="Total 6 2 3 9" xfId="16308" xr:uid="{8BAC5678-E652-48DE-BD04-EE73C023B649}"/>
    <cellStyle name="Total 6 2 4" xfId="8036" xr:uid="{737276CA-100E-49A2-A6F6-000415B11545}"/>
    <cellStyle name="Total 6 2 4 2" xfId="13004" xr:uid="{594F1DB7-2CA9-47CE-A8AE-BB2A5964FAC3}"/>
    <cellStyle name="Total 6 2 4 3" xfId="9988" xr:uid="{90635A1E-B29D-4B2B-9354-C202472BC296}"/>
    <cellStyle name="Total 6 2 4 4" xfId="11818" xr:uid="{AA3FBA3E-2E88-45B9-A7A0-C571EAF38785}"/>
    <cellStyle name="Total 6 2 4 5" xfId="10987" xr:uid="{D7D802FC-269E-4CA3-8942-3F644BDF5739}"/>
    <cellStyle name="Total 6 2 4 6" xfId="12574" xr:uid="{9AC436DC-6D7E-4970-A102-AEFD2FAEDE7A}"/>
    <cellStyle name="Total 6 2 4 7" xfId="10325" xr:uid="{DC5E4321-878D-4CFB-BFAE-3D78809D45C6}"/>
    <cellStyle name="Total 6 2 4 8" xfId="11741" xr:uid="{D309D07A-A48C-4F6A-999A-193168CB8A72}"/>
    <cellStyle name="Total 6 2 5" xfId="9467" xr:uid="{FD7EB018-2382-44BF-BFD9-14D614B1CEBF}"/>
    <cellStyle name="Total 6 2 5 2" xfId="13871" xr:uid="{1BAC819A-67DF-4D16-84D7-3D1660437A8D}"/>
    <cellStyle name="Total 6 2 5 3" xfId="14831" xr:uid="{02AD591F-66AC-4D64-A556-B2FC6CC0572B}"/>
    <cellStyle name="Total 6 2 5 4" xfId="15783" xr:uid="{D11996CA-5DA1-406C-A889-83FFB30C41A1}"/>
    <cellStyle name="Total 6 2 5 5" xfId="16657" xr:uid="{3F2EC730-9C7F-46F5-842C-4E15EA00CDA3}"/>
    <cellStyle name="Total 6 2 5 6" xfId="17522" xr:uid="{F36FF092-15D0-4426-A882-558F3205F221}"/>
    <cellStyle name="Total 6 2 5 7" xfId="18298" xr:uid="{5213EAD3-CF42-409F-AD52-6944A9735812}"/>
    <cellStyle name="Total 6 2 5 8" xfId="19055" xr:uid="{3EC0AB28-06A7-40E1-B43A-C2449AC63F1F}"/>
    <cellStyle name="Total 6 2 6" xfId="11931" xr:uid="{021DB8C7-5B1E-4714-98C0-30C2186C3F27}"/>
    <cellStyle name="Total 6 2 7" xfId="10886" xr:uid="{D3B6EA65-D7CC-4E29-A196-146BF4E1F4E8}"/>
    <cellStyle name="Total 6 2 8" xfId="11538" xr:uid="{19ED1EA5-7212-45EE-97F4-0625F44936DF}"/>
    <cellStyle name="Total 6 2 9" xfId="11201" xr:uid="{75FD8FE4-53CA-4D8D-BC47-5DEA252DE0D3}"/>
    <cellStyle name="Total 6 3" xfId="6929" xr:uid="{0DB66813-036B-4A33-9276-58CCF7FAE6C5}"/>
    <cellStyle name="Total 6 3 10" xfId="11179" xr:uid="{62DAC1A3-373F-45DD-8821-0F2E4AA8CC91}"/>
    <cellStyle name="Total 6 3 11" xfId="13383" xr:uid="{CEC30E39-CD95-456B-97E8-C3A30D6C9131}"/>
    <cellStyle name="Total 6 3 2" xfId="7731" xr:uid="{332FBEC4-9415-493E-BDDC-0F044A1E6272}"/>
    <cellStyle name="Total 6 3 2 10" xfId="15596" xr:uid="{80C4943C-C568-45FF-9C14-A0D2D7F1B2E9}"/>
    <cellStyle name="Total 6 3 2 2" xfId="9371" xr:uid="{7F32952F-2F10-4733-AA40-1BFBB2A0C63D}"/>
    <cellStyle name="Total 6 3 2 2 2" xfId="13792" xr:uid="{BD59A923-A7AC-44DA-A939-4552DB9A0963}"/>
    <cellStyle name="Total 6 3 2 2 3" xfId="14754" xr:uid="{A7EAA43B-5B79-47DB-BA15-E5E88BC23272}"/>
    <cellStyle name="Total 6 3 2 2 4" xfId="15706" xr:uid="{340367CC-25A4-46FF-BDAC-6D100903D989}"/>
    <cellStyle name="Total 6 3 2 2 5" xfId="16584" xr:uid="{09A8DC7A-EF03-4A57-A8EE-257FAE62284C}"/>
    <cellStyle name="Total 6 3 2 2 6" xfId="17449" xr:uid="{88505345-1C1C-4419-804B-CBC274EB7359}"/>
    <cellStyle name="Total 6 3 2 2 7" xfId="18225" xr:uid="{B9B54DF7-3139-4BD6-B407-A348253630C3}"/>
    <cellStyle name="Total 6 3 2 2 8" xfId="18982" xr:uid="{35A5C6C2-2625-4EF5-9A62-26B36E973355}"/>
    <cellStyle name="Total 6 3 2 3" xfId="9809" xr:uid="{D3C18BFE-0339-4A38-8AFE-78ED047490DA}"/>
    <cellStyle name="Total 6 3 2 3 2" xfId="14213" xr:uid="{E110B7F4-405F-48D6-8984-73EB08117431}"/>
    <cellStyle name="Total 6 3 2 3 3" xfId="15173" xr:uid="{F8274037-0685-45E2-9D30-FAA635C8FA55}"/>
    <cellStyle name="Total 6 3 2 3 4" xfId="16125" xr:uid="{4C6C9EF8-2131-4441-A62A-CD9C9F3C1701}"/>
    <cellStyle name="Total 6 3 2 3 5" xfId="16999" xr:uid="{FD483FE5-5EDB-47E4-9A84-235B57ED532C}"/>
    <cellStyle name="Total 6 3 2 3 6" xfId="17864" xr:uid="{0EA06D26-3E4F-4761-B79B-2F3497E83716}"/>
    <cellStyle name="Total 6 3 2 3 7" xfId="18640" xr:uid="{6E4A000A-4B7F-481D-AB64-28AE394DAC75}"/>
    <cellStyle name="Total 6 3 2 3 8" xfId="19397" xr:uid="{A05C3FD2-0917-4018-A3FD-DC995D5D5265}"/>
    <cellStyle name="Total 6 3 2 4" xfId="12778" xr:uid="{E76C955C-6123-41F7-9FF2-7003C63CA5C8}"/>
    <cellStyle name="Total 6 3 2 5" xfId="10208" xr:uid="{3DF6F1ED-096A-4143-8F32-A89E70C0171B}"/>
    <cellStyle name="Total 6 3 2 6" xfId="12663" xr:uid="{DDA474F2-2DF7-4375-A24F-22B00A7DE4AD}"/>
    <cellStyle name="Total 6 3 2 7" xfId="10254" xr:uid="{6A63CAB5-A8DE-480B-917D-8033386B0E94}"/>
    <cellStyle name="Total 6 3 2 8" xfId="13675" xr:uid="{12CAC778-F722-4836-8367-DB16F9E108F7}"/>
    <cellStyle name="Total 6 3 2 9" xfId="14644" xr:uid="{3486092A-26F0-40A7-ABF1-B025C517467D}"/>
    <cellStyle name="Total 6 3 3" xfId="8569" xr:uid="{2CB6A2AA-EBD6-44D2-AA3D-1368055A00EC}"/>
    <cellStyle name="Total 6 3 3 2" xfId="13309" xr:uid="{EA7DA25E-C750-4609-B779-0E5E23F933B9}"/>
    <cellStyle name="Total 6 3 3 3" xfId="14329" xr:uid="{8301B33D-425D-4CD4-ACD6-BD0E1EA02851}"/>
    <cellStyle name="Total 6 3 3 4" xfId="15289" xr:uid="{F76C546C-0872-45E3-B4AF-91CBBB745DE9}"/>
    <cellStyle name="Total 6 3 3 5" xfId="16238" xr:uid="{69F2DAD0-F383-4588-BE5A-316F27BFC2AD}"/>
    <cellStyle name="Total 6 3 3 6" xfId="17111" xr:uid="{2FA48D0C-A3D2-48A7-A04E-F38D08025744}"/>
    <cellStyle name="Total 6 3 3 7" xfId="17976" xr:uid="{3636D5CD-2440-41AB-AB68-F0608584F659}"/>
    <cellStyle name="Total 6 3 3 8" xfId="18752" xr:uid="{3B7372D7-A80D-4E58-B2A9-C06EA1D2A148}"/>
    <cellStyle name="Total 6 3 4" xfId="9579" xr:uid="{E37FD585-8F00-4E5C-A79D-FF28D8911C13}"/>
    <cellStyle name="Total 6 3 4 2" xfId="13983" xr:uid="{45E21932-BC21-494A-B95C-FB013238433C}"/>
    <cellStyle name="Total 6 3 4 3" xfId="14943" xr:uid="{DB6D1D20-0661-42D2-A788-FED3DD8A79A6}"/>
    <cellStyle name="Total 6 3 4 4" xfId="15895" xr:uid="{CD569113-4DF8-4FD2-83C2-FEBF5BF61AA5}"/>
    <cellStyle name="Total 6 3 4 5" xfId="16769" xr:uid="{D84ABDA8-2CD6-43C1-AF36-596A3EDE0062}"/>
    <cellStyle name="Total 6 3 4 6" xfId="17634" xr:uid="{199A82D9-5A0A-432D-83F6-2651CDAD0E7E}"/>
    <cellStyle name="Total 6 3 4 7" xfId="18410" xr:uid="{77D1C05B-1F70-476D-AE63-44E6DEB46873}"/>
    <cellStyle name="Total 6 3 4 8" xfId="19167" xr:uid="{9E510801-631C-442E-BF41-0CA1BF66447A}"/>
    <cellStyle name="Total 6 3 5" xfId="12280" xr:uid="{B95E2B2B-9407-40AA-9FEB-6D90E8B4BF3E}"/>
    <cellStyle name="Total 6 3 6" xfId="10585" xr:uid="{11D86069-2013-4E0B-8DFD-1607991D6B42}"/>
    <cellStyle name="Total 6 3 7" xfId="11981" xr:uid="{6481C0F0-5CCA-4FC9-9CEC-1AA0E7FD6879}"/>
    <cellStyle name="Total 6 3 8" xfId="10847" xr:uid="{42934253-2644-4AE9-9524-C22128EDC8C3}"/>
    <cellStyle name="Total 6 3 9" xfId="11575" xr:uid="{0B7F8EB0-15F7-41BB-99CA-5CCD31EF4FD1}"/>
    <cellStyle name="Total 6 4" xfId="7193" xr:uid="{D5D50292-AD66-4F6C-A2BA-EF804B5E6EB3}"/>
    <cellStyle name="Total 6 4 10" xfId="12055" xr:uid="{CB5CE9BC-2EAC-40D7-B9A4-81352FA08CC2}"/>
    <cellStyle name="Total 6 4 2" xfId="8833" xr:uid="{B86A1427-3392-46F7-91D7-15B7259C4832}"/>
    <cellStyle name="Total 6 4 2 2" xfId="13492" xr:uid="{CBC89A38-3CCC-4DF0-899B-AAF493B0B3C7}"/>
    <cellStyle name="Total 6 4 2 3" xfId="14498" xr:uid="{DD35D06E-E6A2-4AC1-906E-A029C0273314}"/>
    <cellStyle name="Total 6 4 2 4" xfId="15456" xr:uid="{40F64136-FFAF-4011-AB96-18A38BB11B00}"/>
    <cellStyle name="Total 6 4 2 5" xfId="16382" xr:uid="{4591D2FC-A815-4EE4-B114-5A30DAD711CF}"/>
    <cellStyle name="Total 6 4 2 6" xfId="17253" xr:uid="{9B185DB2-7396-4E0D-9188-CE1E5CCD080F}"/>
    <cellStyle name="Total 6 4 2 7" xfId="18100" xr:uid="{E4B9BA01-CE3B-4450-AD0B-2CE2BAA36B5B}"/>
    <cellStyle name="Total 6 4 2 8" xfId="18867" xr:uid="{B8720E14-6177-4E54-8B52-6847055C1D48}"/>
    <cellStyle name="Total 6 4 3" xfId="9694" xr:uid="{E92B2F13-BBE7-4BC5-9331-233AE155AD34}"/>
    <cellStyle name="Total 6 4 3 2" xfId="14098" xr:uid="{FEEA3712-89FB-4E3C-8136-F7F995E695B9}"/>
    <cellStyle name="Total 6 4 3 3" xfId="15058" xr:uid="{9B215F2B-70C9-4488-9076-439488D6BFEA}"/>
    <cellStyle name="Total 6 4 3 4" xfId="16010" xr:uid="{B3F465D4-22F9-4C88-9DE8-5DE9C214AE5B}"/>
    <cellStyle name="Total 6 4 3 5" xfId="16884" xr:uid="{7AB71871-C828-4F15-8E10-C90A0267E788}"/>
    <cellStyle name="Total 6 4 3 6" xfId="17749" xr:uid="{DE7852DC-444B-4F49-841B-9F299CBD4B91}"/>
    <cellStyle name="Total 6 4 3 7" xfId="18525" xr:uid="{E4126675-75E6-4F22-ACD5-02E9A363AF05}"/>
    <cellStyle name="Total 6 4 3 8" xfId="19282" xr:uid="{A623ECB9-EC6E-4D91-8CDA-AEEEEC70192C}"/>
    <cellStyle name="Total 6 4 4" xfId="12463" xr:uid="{ACDD6D86-9EBA-4827-8F7A-DB78A53D1058}"/>
    <cellStyle name="Total 6 4 5" xfId="10416" xr:uid="{FF01CF54-2F24-42F8-B32F-415EF191BC66}"/>
    <cellStyle name="Total 6 4 6" xfId="12379" xr:uid="{6DB587FA-8252-4B80-8D32-93E6CDB3B1B1}"/>
    <cellStyle name="Total 6 4 7" xfId="10496" xr:uid="{ABBC7CF9-3564-47B5-A4C2-097F8BE3B791}"/>
    <cellStyle name="Total 6 4 8" xfId="11696" xr:uid="{BEAD00FC-D589-48AA-9A5E-A7B1914F98C4}"/>
    <cellStyle name="Total 6 4 9" xfId="11089" xr:uid="{58EAF994-4607-4AF8-95EC-C3F4A2F3F71C}"/>
    <cellStyle name="Total 6 5" xfId="8035" xr:uid="{437FBE87-C5F2-4971-93AD-EB0B339BE583}"/>
    <cellStyle name="Total 6 5 2" xfId="13003" xr:uid="{F386A7EB-1EAD-458A-9FC0-7AF9DA72BBE3}"/>
    <cellStyle name="Total 6 5 3" xfId="9989" xr:uid="{B84A0762-C188-492F-88CE-8217172D76B8}"/>
    <cellStyle name="Total 6 5 4" xfId="11817" xr:uid="{1ECC4079-5D61-46CB-9C2F-FE4588B92B99}"/>
    <cellStyle name="Total 6 5 5" xfId="10988" xr:uid="{BE1C0DCD-9154-4E87-A2E7-FF28D79C6F5A}"/>
    <cellStyle name="Total 6 5 6" xfId="11970" xr:uid="{C9167284-3831-4927-8E63-6C0EBF3E8C5E}"/>
    <cellStyle name="Total 6 5 7" xfId="10856" xr:uid="{34916118-7176-4A79-916D-598FACA77828}"/>
    <cellStyle name="Total 6 5 8" xfId="11566" xr:uid="{27C4C1EA-5BB0-472D-889C-C0BE183E9607}"/>
    <cellStyle name="Total 6 6" xfId="9466" xr:uid="{86191190-2004-4D26-B2D0-B9E95BC4369F}"/>
    <cellStyle name="Total 6 6 2" xfId="13870" xr:uid="{58485076-F184-49DF-835A-E045EE6B93C2}"/>
    <cellStyle name="Total 6 6 3" xfId="14830" xr:uid="{E0825F9C-B8BE-4492-BF16-9423D79E9E3C}"/>
    <cellStyle name="Total 6 6 4" xfId="15782" xr:uid="{337A8DAF-E28C-4EA1-9A84-7DA40C233245}"/>
    <cellStyle name="Total 6 6 5" xfId="16656" xr:uid="{F3696C02-B432-46A0-AA8C-E11D96BD65C3}"/>
    <cellStyle name="Total 6 6 6" xfId="17521" xr:uid="{2AE8AD3B-961F-4AA5-82E5-53AECC83B518}"/>
    <cellStyle name="Total 6 6 7" xfId="18297" xr:uid="{6D198A14-31D6-4568-8EE2-C7450838A5ED}"/>
    <cellStyle name="Total 6 6 8" xfId="19054" xr:uid="{F5980F7E-8735-42D4-B1E9-9818C0E7957C}"/>
    <cellStyle name="Total 6 7" xfId="11930" xr:uid="{1094E2D9-C6B5-4412-A711-79A64E6F0E46}"/>
    <cellStyle name="Total 6 8" xfId="10887" xr:uid="{C75C5E0A-3666-4F8F-B647-9CE5ACC7FD93}"/>
    <cellStyle name="Total 6 9" xfId="11537" xr:uid="{6CC11011-7508-4321-8E06-2A24D7B1D306}"/>
    <cellStyle name="Total 7" xfId="6308" xr:uid="{DC274877-823E-4A81-AD22-64A61DFA6CAA}"/>
    <cellStyle name="Total 7 10" xfId="11200" xr:uid="{1159BE3C-9CEA-4738-A4B7-32DBC51C813D}"/>
    <cellStyle name="Total 7 11" xfId="12045" xr:uid="{6DE36999-29B9-44DD-BCD1-06444750E105}"/>
    <cellStyle name="Total 7 12" xfId="10791" xr:uid="{8C99999B-BDA8-4BB6-BD43-D119366DB2AF}"/>
    <cellStyle name="Total 7 13" xfId="11627" xr:uid="{43AF2010-AB56-40EE-9E74-7F158464B07F}"/>
    <cellStyle name="Total 7 2" xfId="6309" xr:uid="{54DF1A9D-5C0B-47CE-8441-F7AFE9E942DC}"/>
    <cellStyle name="Total 7 2 10" xfId="12537" xr:uid="{5C63E671-1C0F-438B-BDD1-EFA5AEA83A25}"/>
    <cellStyle name="Total 7 2 11" xfId="10346" xr:uid="{7657F27C-3786-4ED5-A3E0-96A4C41D0304}"/>
    <cellStyle name="Total 7 2 12" xfId="13665" xr:uid="{F280D509-6834-4473-8402-AB6A165BAFD2}"/>
    <cellStyle name="Total 7 2 2" xfId="6932" xr:uid="{BE9C9795-1476-4659-B768-1940C045CF17}"/>
    <cellStyle name="Total 7 2 2 10" xfId="9944" xr:uid="{15A4ED2B-84D3-4E3B-BABD-093F18D63FB9}"/>
    <cellStyle name="Total 7 2 2 11" xfId="12165" xr:uid="{94DE782B-4D0E-48BD-A912-2AC45F0A92C9}"/>
    <cellStyle name="Total 7 2 2 2" xfId="7732" xr:uid="{A37D7EB0-916A-4D0F-895D-12E5039BB7A3}"/>
    <cellStyle name="Total 7 2 2 2 10" xfId="17356" xr:uid="{77322851-397F-4598-8553-AC60DA6D1655}"/>
    <cellStyle name="Total 7 2 2 2 2" xfId="9372" xr:uid="{BEC2964C-0F4C-4C26-9829-F41857348107}"/>
    <cellStyle name="Total 7 2 2 2 2 2" xfId="13793" xr:uid="{F8D51108-66CB-4132-BA29-E1B90306EDBF}"/>
    <cellStyle name="Total 7 2 2 2 2 3" xfId="14755" xr:uid="{16FD0F6C-CCF1-457F-8F02-54C32A85286A}"/>
    <cellStyle name="Total 7 2 2 2 2 4" xfId="15707" xr:uid="{9620841D-3BF6-4B3A-8E14-4D233D85910F}"/>
    <cellStyle name="Total 7 2 2 2 2 5" xfId="16585" xr:uid="{4C16A193-1B62-416B-B8E7-D5EAA14801BC}"/>
    <cellStyle name="Total 7 2 2 2 2 6" xfId="17450" xr:uid="{E7C9BCA4-8D1C-40FA-B941-42446B0A8785}"/>
    <cellStyle name="Total 7 2 2 2 2 7" xfId="18226" xr:uid="{39F56B5D-0C67-4A44-A6E9-8CAA3E0CD73D}"/>
    <cellStyle name="Total 7 2 2 2 2 8" xfId="18983" xr:uid="{42A9CFEE-CF43-4081-B3E7-EE1DB3F4AD9E}"/>
    <cellStyle name="Total 7 2 2 2 3" xfId="9810" xr:uid="{32A65D2E-BE61-4B9E-8FBB-BBEA30D85A08}"/>
    <cellStyle name="Total 7 2 2 2 3 2" xfId="14214" xr:uid="{70CD9DC3-BC07-4367-B5D1-200C1595B50B}"/>
    <cellStyle name="Total 7 2 2 2 3 3" xfId="15174" xr:uid="{092A3C81-54E6-4C28-995E-D0758383DF7B}"/>
    <cellStyle name="Total 7 2 2 2 3 4" xfId="16126" xr:uid="{C5224EA2-06A5-47D5-8E57-4AB0ABA9E87A}"/>
    <cellStyle name="Total 7 2 2 2 3 5" xfId="17000" xr:uid="{F505B1AB-8BCF-4737-96AB-804F7EF295F5}"/>
    <cellStyle name="Total 7 2 2 2 3 6" xfId="17865" xr:uid="{D358D6AA-DEC6-4E80-A74C-CBECE1B85D09}"/>
    <cellStyle name="Total 7 2 2 2 3 7" xfId="18641" xr:uid="{87A4500E-B8C1-4D8F-96FC-A3C8F4D3D753}"/>
    <cellStyle name="Total 7 2 2 2 3 8" xfId="19398" xr:uid="{DDE53F80-54FF-49D1-BEC1-90654CEEA829}"/>
    <cellStyle name="Total 7 2 2 2 4" xfId="12779" xr:uid="{1103F30E-566A-49C0-9FAF-767F59E325D6}"/>
    <cellStyle name="Total 7 2 2 2 5" xfId="10207" xr:uid="{FA29B9B3-B214-46A2-AC87-C2B59606D209}"/>
    <cellStyle name="Total 7 2 2 2 6" xfId="13683" xr:uid="{D5463A2D-C6B4-4EDB-B73E-4D8714A5BBD7}"/>
    <cellStyle name="Total 7 2 2 2 7" xfId="14651" xr:uid="{84A2A83A-F62E-4026-AABC-D08D3BBAC073}"/>
    <cellStyle name="Total 7 2 2 2 8" xfId="15603" xr:uid="{7AAC8A79-0815-47C2-9F34-33D3DF4EA532}"/>
    <cellStyle name="Total 7 2 2 2 9" xfId="16488" xr:uid="{51D1C08C-148C-415C-99FB-08271E9EC48F}"/>
    <cellStyle name="Total 7 2 2 3" xfId="8572" xr:uid="{B487A393-D720-4D66-B5C0-6A335F4BC21A}"/>
    <cellStyle name="Total 7 2 2 3 2" xfId="13312" xr:uid="{57431BC9-EA43-45E7-8FF8-98B884FF61A4}"/>
    <cellStyle name="Total 7 2 2 3 3" xfId="14332" xr:uid="{978AC0E7-D053-462D-8722-EEA840B04B92}"/>
    <cellStyle name="Total 7 2 2 3 4" xfId="15292" xr:uid="{26A7BC99-760F-4F0B-B0C1-D8A02A4BCBE3}"/>
    <cellStyle name="Total 7 2 2 3 5" xfId="16241" xr:uid="{F6797AAE-5463-4ABD-9E14-33F4604C7EE7}"/>
    <cellStyle name="Total 7 2 2 3 6" xfId="17114" xr:uid="{AF9BEABA-676F-44E3-BDF8-F9EAAC8DE6FC}"/>
    <cellStyle name="Total 7 2 2 3 7" xfId="17979" xr:uid="{0805398E-0D80-4E38-AF0D-89DBA0A98F05}"/>
    <cellStyle name="Total 7 2 2 3 8" xfId="18755" xr:uid="{76F21C69-6C88-4532-9A5F-59233E706A8A}"/>
    <cellStyle name="Total 7 2 2 4" xfId="9582" xr:uid="{542686B6-D840-49E0-AF70-C9D334DCFED1}"/>
    <cellStyle name="Total 7 2 2 4 2" xfId="13986" xr:uid="{12428300-BE43-4A1A-88D9-CF86AD5E508A}"/>
    <cellStyle name="Total 7 2 2 4 3" xfId="14946" xr:uid="{2A7A54C9-EE0E-49A8-92CC-745F8EF34BEB}"/>
    <cellStyle name="Total 7 2 2 4 4" xfId="15898" xr:uid="{A22A1C16-2D6C-41C8-8005-81A91C51C015}"/>
    <cellStyle name="Total 7 2 2 4 5" xfId="16772" xr:uid="{6D650B19-4817-4CB1-9514-8CEC47EB86DE}"/>
    <cellStyle name="Total 7 2 2 4 6" xfId="17637" xr:uid="{C6357F60-502A-4F09-95AE-81753573CE64}"/>
    <cellStyle name="Total 7 2 2 4 7" xfId="18413" xr:uid="{2BC76A77-5504-4003-B742-589EEE50542D}"/>
    <cellStyle name="Total 7 2 2 4 8" xfId="19170" xr:uid="{1F324E20-0358-41A3-B54B-C71AD8D545DE}"/>
    <cellStyle name="Total 7 2 2 5" xfId="12283" xr:uid="{D2798A38-3B2A-41C7-9D49-97A688AD4097}"/>
    <cellStyle name="Total 7 2 2 6" xfId="10582" xr:uid="{296F9EA8-4D18-4D3B-A54C-6086B596CF33}"/>
    <cellStyle name="Total 7 2 2 7" xfId="13038" xr:uid="{1D3F2AA8-E3AB-42E5-8CB5-8944D1AD1C50}"/>
    <cellStyle name="Total 7 2 2 8" xfId="9963" xr:uid="{C6E4B65E-AA40-4430-8ACE-D7D863D6E032}"/>
    <cellStyle name="Total 7 2 2 9" xfId="13061" xr:uid="{58049126-B3BC-44A0-8A60-2BDEB8139FFC}"/>
    <cellStyle name="Total 7 2 3" xfId="7196" xr:uid="{3AAE1430-52F5-4037-92C9-47778EBFE4F2}"/>
    <cellStyle name="Total 7 2 3 10" xfId="11949" xr:uid="{9387A4FA-4D2E-437B-ABB3-7CFAFDCC0EC6}"/>
    <cellStyle name="Total 7 2 3 2" xfId="8836" xr:uid="{8394A029-BA7C-4CAA-8F63-423B3B192D0E}"/>
    <cellStyle name="Total 7 2 3 2 2" xfId="13495" xr:uid="{BBFA8C1A-62C1-46FA-B117-3DA3C6EB77F7}"/>
    <cellStyle name="Total 7 2 3 2 3" xfId="14501" xr:uid="{1C4BD87E-C70B-48A7-88FC-365B76264C57}"/>
    <cellStyle name="Total 7 2 3 2 4" xfId="15459" xr:uid="{529A67D4-8C4E-4B57-9A14-6AC89EEA75BA}"/>
    <cellStyle name="Total 7 2 3 2 5" xfId="16385" xr:uid="{8D098CF9-B556-4CE1-A146-1C6690AB53EF}"/>
    <cellStyle name="Total 7 2 3 2 6" xfId="17256" xr:uid="{A86072D0-1DCB-4A72-AA6A-7AC50A3C5ECF}"/>
    <cellStyle name="Total 7 2 3 2 7" xfId="18103" xr:uid="{C44A7D7D-F267-4651-AEFA-FA518FF62E6B}"/>
    <cellStyle name="Total 7 2 3 2 8" xfId="18870" xr:uid="{7C589070-0C16-483F-A9A4-94D70555D8CC}"/>
    <cellStyle name="Total 7 2 3 3" xfId="9697" xr:uid="{53288984-A9A7-4905-90F4-8FEAB83D4122}"/>
    <cellStyle name="Total 7 2 3 3 2" xfId="14101" xr:uid="{BED634C4-4D18-4CF9-A33B-31FDB12D79CB}"/>
    <cellStyle name="Total 7 2 3 3 3" xfId="15061" xr:uid="{ADFC4424-84BB-4BD7-9E9C-C23F0334F286}"/>
    <cellStyle name="Total 7 2 3 3 4" xfId="16013" xr:uid="{4A8D2008-F0A7-4957-9AE3-E02465D58BAA}"/>
    <cellStyle name="Total 7 2 3 3 5" xfId="16887" xr:uid="{41B629E3-5F06-4105-9FA3-91A094525D71}"/>
    <cellStyle name="Total 7 2 3 3 6" xfId="17752" xr:uid="{63DB2081-2688-43E1-AD6E-DA4311639F35}"/>
    <cellStyle name="Total 7 2 3 3 7" xfId="18528" xr:uid="{32F6D5DD-5C98-419B-A4CB-F7EB31577D6C}"/>
    <cellStyle name="Total 7 2 3 3 8" xfId="19285" xr:uid="{B52B6203-92CE-4C7F-A71B-03D50BE9C57D}"/>
    <cellStyle name="Total 7 2 3 4" xfId="12466" xr:uid="{EEBB14D0-1F4B-43E3-9E68-273B81F4D772}"/>
    <cellStyle name="Total 7 2 3 5" xfId="10413" xr:uid="{1BF91BB9-D9EF-40AB-9803-6E663132B62D}"/>
    <cellStyle name="Total 7 2 3 6" xfId="11721" xr:uid="{9076C37E-D8EF-40EB-B6BC-4E06FAC5EE90}"/>
    <cellStyle name="Total 7 2 3 7" xfId="11065" xr:uid="{13E915F8-9A2C-4DA6-936C-BFD6EFCCFB9C}"/>
    <cellStyle name="Total 7 2 3 8" xfId="11452" xr:uid="{3620D613-7144-4671-89F7-9A645B924BA9}"/>
    <cellStyle name="Total 7 2 3 9" xfId="11276" xr:uid="{F9587F44-0627-4716-AF04-15376544D6F8}"/>
    <cellStyle name="Total 7 2 4" xfId="8038" xr:uid="{B20CEAC4-CA7F-4BCF-AAD0-1699B467FE89}"/>
    <cellStyle name="Total 7 2 4 2" xfId="13006" xr:uid="{45992E44-55E7-4020-842F-284B8D00A840}"/>
    <cellStyle name="Total 7 2 4 3" xfId="9986" xr:uid="{0BF2B98E-D55F-4DBE-90AF-66165328A0AC}"/>
    <cellStyle name="Total 7 2 4 4" xfId="11820" xr:uid="{23F22D82-5A9C-4C51-86D7-FC7E69D2E39C}"/>
    <cellStyle name="Total 7 2 4 5" xfId="10985" xr:uid="{E58C96AA-3E1D-458B-8494-A0473D9174BE}"/>
    <cellStyle name="Total 7 2 4 6" xfId="13029" xr:uid="{B44E2F65-9A40-4348-9E92-53D7A3749431}"/>
    <cellStyle name="Total 7 2 4 7" xfId="9969" xr:uid="{899BE036-EE6C-4389-B4F1-8FCB75393A09}"/>
    <cellStyle name="Total 7 2 4 8" xfId="13191" xr:uid="{5404DB3F-6887-4F6A-8EC3-8C6402703406}"/>
    <cellStyle name="Total 7 2 5" xfId="9469" xr:uid="{A0F7ADC8-1A6F-4F4B-9F75-D26A213718A9}"/>
    <cellStyle name="Total 7 2 5 2" xfId="13873" xr:uid="{EDE0F59C-AD9A-4709-8156-3192AE8A3DCD}"/>
    <cellStyle name="Total 7 2 5 3" xfId="14833" xr:uid="{FE6F4487-155B-4DD4-A037-0B90A15A8357}"/>
    <cellStyle name="Total 7 2 5 4" xfId="15785" xr:uid="{8877B214-34AC-4BBF-A7E9-7D8F8273398D}"/>
    <cellStyle name="Total 7 2 5 5" xfId="16659" xr:uid="{A9458517-C8B2-4803-8A89-42BE9DBDA97C}"/>
    <cellStyle name="Total 7 2 5 6" xfId="17524" xr:uid="{87427A17-F6C4-42E0-A280-4DE7474CD19B}"/>
    <cellStyle name="Total 7 2 5 7" xfId="18300" xr:uid="{E4E0BCAA-E298-4296-9902-EB417E81E6AE}"/>
    <cellStyle name="Total 7 2 5 8" xfId="19057" xr:uid="{A3CF2225-1BE3-4CF6-935F-AE8260DDBBAC}"/>
    <cellStyle name="Total 7 2 6" xfId="11933" xr:uid="{99F047EE-15C3-439E-878D-C89F33EA295F}"/>
    <cellStyle name="Total 7 2 7" xfId="10884" xr:uid="{90472494-1B65-4D25-8D0F-07AF80A13EC2}"/>
    <cellStyle name="Total 7 2 8" xfId="11540" xr:uid="{A8C7997A-F304-4BAB-B551-40411D4ACB74}"/>
    <cellStyle name="Total 7 2 9" xfId="11199" xr:uid="{2F4C5018-F05B-4A4D-AF45-959FE02F8A8B}"/>
    <cellStyle name="Total 7 3" xfId="6931" xr:uid="{35DF6767-95CC-4E12-B862-247F8DE24B5D}"/>
    <cellStyle name="Total 7 3 10" xfId="16458" xr:uid="{270331A0-ED18-4DF0-8ACB-4526AB5F40B3}"/>
    <cellStyle name="Total 7 3 11" xfId="17329" xr:uid="{3B3AAFA6-2AB3-4126-9718-D46695AABEC9}"/>
    <cellStyle name="Total 7 3 2" xfId="7733" xr:uid="{65DF4F78-A267-4CEB-B611-1EF0281CFE55}"/>
    <cellStyle name="Total 7 3 2 10" xfId="10107" xr:uid="{96C9DC5C-DADB-42FA-B392-8D3D854AF6FC}"/>
    <cellStyle name="Total 7 3 2 2" xfId="9373" xr:uid="{4DC9385A-6284-46F9-8FE6-3583A15A3482}"/>
    <cellStyle name="Total 7 3 2 2 2" xfId="13794" xr:uid="{1CA02AD3-0758-40FE-AAD9-B71EC540F38D}"/>
    <cellStyle name="Total 7 3 2 2 3" xfId="14756" xr:uid="{360FD3CB-B8D1-4DBF-910A-714BA713BA85}"/>
    <cellStyle name="Total 7 3 2 2 4" xfId="15708" xr:uid="{6D5A2029-0382-4A08-9318-7F6519D9C176}"/>
    <cellStyle name="Total 7 3 2 2 5" xfId="16586" xr:uid="{4436BE6C-2D01-439B-BD7F-E6124DC738B8}"/>
    <cellStyle name="Total 7 3 2 2 6" xfId="17451" xr:uid="{F7DD9514-C1F5-4278-95CF-C30D0B8510BF}"/>
    <cellStyle name="Total 7 3 2 2 7" xfId="18227" xr:uid="{C74BE4B6-19E4-40A8-8F97-9EFC743AA4B3}"/>
    <cellStyle name="Total 7 3 2 2 8" xfId="18984" xr:uid="{561E779D-C4FB-402F-8A43-D80774B3CAE1}"/>
    <cellStyle name="Total 7 3 2 3" xfId="9811" xr:uid="{DCDB294C-AC5A-4EA1-84F4-8B37AED19D6F}"/>
    <cellStyle name="Total 7 3 2 3 2" xfId="14215" xr:uid="{894DCEAF-0603-4215-8F08-19465DDE207F}"/>
    <cellStyle name="Total 7 3 2 3 3" xfId="15175" xr:uid="{E78888B6-F58A-4658-A241-5D660264860A}"/>
    <cellStyle name="Total 7 3 2 3 4" xfId="16127" xr:uid="{7A3E91F2-D88D-42D0-9B5D-BA0CF22EB699}"/>
    <cellStyle name="Total 7 3 2 3 5" xfId="17001" xr:uid="{F410F116-2C81-441A-887D-F538B4E67267}"/>
    <cellStyle name="Total 7 3 2 3 6" xfId="17866" xr:uid="{BCC2E98A-469E-4C88-92BD-6A928862DD55}"/>
    <cellStyle name="Total 7 3 2 3 7" xfId="18642" xr:uid="{113E1874-D72A-4904-872E-676D97E4C50F}"/>
    <cellStyle name="Total 7 3 2 3 8" xfId="19399" xr:uid="{274A526B-7EB4-4ECC-A8DD-2F890DF6D85F}"/>
    <cellStyle name="Total 7 3 2 4" xfId="12780" xr:uid="{E081D7A9-E06B-4FE9-B5D5-9A7CA07A1A1B}"/>
    <cellStyle name="Total 7 3 2 5" xfId="12018" xr:uid="{86B3B2E0-75C8-4C4A-9608-C5844A6C1C95}"/>
    <cellStyle name="Total 7 3 2 6" xfId="10815" xr:uid="{682E4F9F-F19E-4ACF-BF91-CEE1CCEC2467}"/>
    <cellStyle name="Total 7 3 2 7" xfId="11605" xr:uid="{694A4BA1-AE99-4508-AAEA-2675CC5227CF}"/>
    <cellStyle name="Total 7 3 2 8" xfId="11154" xr:uid="{66B6CF75-0B23-469F-908D-790EE1A1E791}"/>
    <cellStyle name="Total 7 3 2 9" xfId="12870" xr:uid="{87A07F1F-4B98-45E1-8480-500D3E710401}"/>
    <cellStyle name="Total 7 3 3" xfId="8571" xr:uid="{CBB71BE8-2CC0-4F6A-8D91-C948FDB4A2A9}"/>
    <cellStyle name="Total 7 3 3 2" xfId="13311" xr:uid="{CC11FFA9-F4E9-4B17-A6B4-D1C9DE301B49}"/>
    <cellStyle name="Total 7 3 3 3" xfId="14331" xr:uid="{7BC5C4EA-DEC0-4CFD-B0D6-F6B88F525ACD}"/>
    <cellStyle name="Total 7 3 3 4" xfId="15291" xr:uid="{7C231095-A91A-43C4-8C14-D8BBBB17E8D1}"/>
    <cellStyle name="Total 7 3 3 5" xfId="16240" xr:uid="{2DE85BD0-ED8D-4880-BB78-8B8BF46370A2}"/>
    <cellStyle name="Total 7 3 3 6" xfId="17113" xr:uid="{1CACFD77-5E78-4458-81AC-0414091B1FB1}"/>
    <cellStyle name="Total 7 3 3 7" xfId="17978" xr:uid="{24863B34-99C0-49B1-BB90-56B5DA91190A}"/>
    <cellStyle name="Total 7 3 3 8" xfId="18754" xr:uid="{0ABAC8F3-C818-4C88-82BA-814CE5056174}"/>
    <cellStyle name="Total 7 3 4" xfId="9581" xr:uid="{BE116075-1A96-42ED-83ED-7FFA32A0F4F8}"/>
    <cellStyle name="Total 7 3 4 2" xfId="13985" xr:uid="{350E5EF1-D298-4384-933D-365A02D4D6D8}"/>
    <cellStyle name="Total 7 3 4 3" xfId="14945" xr:uid="{1BA1FC03-15BB-4969-9FC3-F4F2614F578B}"/>
    <cellStyle name="Total 7 3 4 4" xfId="15897" xr:uid="{A65B001F-344C-41EA-B5B4-625CCC06AC01}"/>
    <cellStyle name="Total 7 3 4 5" xfId="16771" xr:uid="{3B7FDE09-0909-4CE7-AE53-5F6BE327DF14}"/>
    <cellStyle name="Total 7 3 4 6" xfId="17636" xr:uid="{EE4B2872-62AA-4DEF-96DC-95C5377C678D}"/>
    <cellStyle name="Total 7 3 4 7" xfId="18412" xr:uid="{C5E25484-2DD5-4467-B365-E9A19588805B}"/>
    <cellStyle name="Total 7 3 4 8" xfId="19169" xr:uid="{503AAB82-72E3-40C3-8F25-F13905CE862C}"/>
    <cellStyle name="Total 7 3 5" xfId="12282" xr:uid="{4F7E12AE-29E2-48CF-BBE3-B87A0C258A1B}"/>
    <cellStyle name="Total 7 3 6" xfId="10583" xr:uid="{2B21F127-2BFA-4AC9-AF59-57C70F203949}"/>
    <cellStyle name="Total 7 3 7" xfId="13628" xr:uid="{0EC57000-105A-4DC7-ABB3-9CA6369EB12E}"/>
    <cellStyle name="Total 7 3 8" xfId="14606" xr:uid="{86C54662-88F5-40E8-B960-2F6012FC7721}"/>
    <cellStyle name="Total 7 3 9" xfId="15559" xr:uid="{1FD856BB-910E-405C-96ED-32A0940F6E54}"/>
    <cellStyle name="Total 7 4" xfId="7195" xr:uid="{46CED8F8-B096-4562-8DAE-D6B0BF0A8293}"/>
    <cellStyle name="Total 7 4 10" xfId="13203" xr:uid="{0FE386ED-FE35-461E-863A-4892B9ABBB42}"/>
    <cellStyle name="Total 7 4 2" xfId="8835" xr:uid="{9EF14FA2-950A-4A5A-B97E-6B2E7EA25EA0}"/>
    <cellStyle name="Total 7 4 2 2" xfId="13494" xr:uid="{8AE17F65-38CC-4D49-A197-158B9B13A142}"/>
    <cellStyle name="Total 7 4 2 3" xfId="14500" xr:uid="{F3FC6F7D-B614-47AD-B810-C82637B6B82E}"/>
    <cellStyle name="Total 7 4 2 4" xfId="15458" xr:uid="{51CC0EE0-C7AA-420F-8E1D-DB93C127A5C4}"/>
    <cellStyle name="Total 7 4 2 5" xfId="16384" xr:uid="{54B4CE46-625A-48ED-9B22-922C870D977F}"/>
    <cellStyle name="Total 7 4 2 6" xfId="17255" xr:uid="{0E3A3B6C-0042-4E4B-AE4C-B24B4887AE5F}"/>
    <cellStyle name="Total 7 4 2 7" xfId="18102" xr:uid="{C670B3CB-5C56-4DF3-995A-AEC0BEED2BAA}"/>
    <cellStyle name="Total 7 4 2 8" xfId="18869" xr:uid="{B18441BF-49EB-4691-8215-C8CD6027C072}"/>
    <cellStyle name="Total 7 4 3" xfId="9696" xr:uid="{5609CA83-C351-4042-B34F-FD034223D5C2}"/>
    <cellStyle name="Total 7 4 3 2" xfId="14100" xr:uid="{88480C7B-C98E-4739-83D0-DA66B856DBCE}"/>
    <cellStyle name="Total 7 4 3 3" xfId="15060" xr:uid="{66058E9C-7FC3-423E-865D-D67169A3C6EA}"/>
    <cellStyle name="Total 7 4 3 4" xfId="16012" xr:uid="{DA51C47A-ABF5-462D-ACBC-4C4136AB75F6}"/>
    <cellStyle name="Total 7 4 3 5" xfId="16886" xr:uid="{3F8BC77A-E477-49D8-8C1E-0A265E589520}"/>
    <cellStyle name="Total 7 4 3 6" xfId="17751" xr:uid="{723783A3-FEEE-48E9-B631-63682A16246B}"/>
    <cellStyle name="Total 7 4 3 7" xfId="18527" xr:uid="{9A7F9859-13E5-4FDC-81CA-651F6D01DE08}"/>
    <cellStyle name="Total 7 4 3 8" xfId="19284" xr:uid="{5F5034AE-C3DD-480C-9778-BC289F016828}"/>
    <cellStyle name="Total 7 4 4" xfId="12465" xr:uid="{FD1481E2-2C93-4AAE-AC46-4DE6E63B2960}"/>
    <cellStyle name="Total 7 4 5" xfId="10414" xr:uid="{2F2EC39F-491E-440F-B07F-0FB1733BD4B6}"/>
    <cellStyle name="Total 7 4 6" xfId="12921" xr:uid="{A6E1DAC0-1168-4ADD-A754-61CE3F10AE3B}"/>
    <cellStyle name="Total 7 4 7" xfId="10063" xr:uid="{1FC5B25C-A086-403C-BA32-5474857E703B}"/>
    <cellStyle name="Total 7 4 8" xfId="13178" xr:uid="{4F66D127-A2FB-470C-A31B-39F06B66DFA4}"/>
    <cellStyle name="Total 7 4 9" xfId="9859" xr:uid="{4C74F3EC-B3FE-4A78-8269-6C378F394BBF}"/>
    <cellStyle name="Total 7 5" xfId="8037" xr:uid="{C6E7B0CE-3DBC-482F-9FA9-F49CE162DBE8}"/>
    <cellStyle name="Total 7 5 2" xfId="13005" xr:uid="{F3412B88-4670-448B-A85E-902937E43AB3}"/>
    <cellStyle name="Total 7 5 3" xfId="9987" xr:uid="{0981F601-1D7D-4341-9B1F-F566D2F9BDB8}"/>
    <cellStyle name="Total 7 5 4" xfId="11819" xr:uid="{A20FC6C9-7E37-40CE-A710-D6CA1A7CD85D}"/>
    <cellStyle name="Total 7 5 5" xfId="10986" xr:uid="{710DC7D2-F7CE-4221-928D-18203EDDB263}"/>
    <cellStyle name="Total 7 5 6" xfId="13600" xr:uid="{DB38EE13-036C-4023-8ECC-5DD981154CE1}"/>
    <cellStyle name="Total 7 5 7" xfId="14582" xr:uid="{1B77C83A-385B-4AE8-9036-6521C8333CBD}"/>
    <cellStyle name="Total 7 5 8" xfId="15535" xr:uid="{09BC96F0-196F-43A4-89CB-2573D61FF9C5}"/>
    <cellStyle name="Total 7 6" xfId="9468" xr:uid="{B064E474-365A-4AFA-B36E-25459A4FF8B0}"/>
    <cellStyle name="Total 7 6 2" xfId="13872" xr:uid="{82A5920F-9CD5-43EB-A699-BA9A9D786F33}"/>
    <cellStyle name="Total 7 6 3" xfId="14832" xr:uid="{E83801E8-F27B-4674-8210-C61DB991E10B}"/>
    <cellStyle name="Total 7 6 4" xfId="15784" xr:uid="{A1A75074-7044-4682-B5BA-973928C3694F}"/>
    <cellStyle name="Total 7 6 5" xfId="16658" xr:uid="{A272D524-9BBE-4254-8865-4C57326F1E6F}"/>
    <cellStyle name="Total 7 6 6" xfId="17523" xr:uid="{F9F29F04-B6F9-4E6C-86E4-04A43E7C95EE}"/>
    <cellStyle name="Total 7 6 7" xfId="18299" xr:uid="{2580A449-EA2E-4515-9DDC-EA01A31C3A84}"/>
    <cellStyle name="Total 7 6 8" xfId="19056" xr:uid="{DC9D0B6D-F32C-4CA8-BC63-0A85F2541F0E}"/>
    <cellStyle name="Total 7 7" xfId="11932" xr:uid="{C2A7A345-2834-4195-BB41-4C9788A28C8E}"/>
    <cellStyle name="Total 7 8" xfId="10885" xr:uid="{A50A01C3-D812-4612-AF3E-7E343E4215F7}"/>
    <cellStyle name="Total 7 9" xfId="11539" xr:uid="{DF083E17-F52D-47DA-BA84-67E083543113}"/>
    <cellStyle name="Total 8" xfId="6310" xr:uid="{A7B8E839-2270-483C-8D00-95E379A8B507}"/>
    <cellStyle name="Total 8 10" xfId="11198" xr:uid="{4C8B00B9-CE34-4D2B-A04C-AAFE83F27C01}"/>
    <cellStyle name="Total 8 11" xfId="13566" xr:uid="{4E78FBC2-CBE4-45FF-8428-EB357F6F3203}"/>
    <cellStyle name="Total 8 12" xfId="14567" xr:uid="{CDA58183-B415-467A-A126-9D88905F4E51}"/>
    <cellStyle name="Total 8 13" xfId="15525" xr:uid="{A255F0B4-6EA7-4EEC-84AF-8041DC402DF0}"/>
    <cellStyle name="Total 8 2" xfId="6311" xr:uid="{E113E31F-7CE1-43EA-A748-A9894408E440}"/>
    <cellStyle name="Total 8 2 10" xfId="13082" xr:uid="{11A3023E-A106-47B5-8315-EF0666F75517}"/>
    <cellStyle name="Total 8 2 11" xfId="9927" xr:uid="{1CF59FAE-6392-48BF-B2D6-6E5783E75664}"/>
    <cellStyle name="Total 8 2 12" xfId="12166" xr:uid="{0EFFDE64-0CB5-48E2-980A-4C03F4762090}"/>
    <cellStyle name="Total 8 2 2" xfId="6934" xr:uid="{B85889C1-654B-42BA-95E0-89D242FF6836}"/>
    <cellStyle name="Total 8 2 2 10" xfId="16304" xr:uid="{B1A955E8-A269-4B4E-8253-47C1F5FD834A}"/>
    <cellStyle name="Total 8 2 2 11" xfId="17176" xr:uid="{C4621830-42DB-4A76-A1B7-CE5503738CC4}"/>
    <cellStyle name="Total 8 2 2 2" xfId="7734" xr:uid="{F7F40145-6F65-4063-8298-37A5FF190C26}"/>
    <cellStyle name="Total 8 2 2 2 10" xfId="12912" xr:uid="{71A6926D-27EF-4D13-A200-90A8F906AF50}"/>
    <cellStyle name="Total 8 2 2 2 2" xfId="9374" xr:uid="{2A33060E-5F60-4CF0-90DB-7DFDA086664A}"/>
    <cellStyle name="Total 8 2 2 2 2 2" xfId="13795" xr:uid="{979897E5-2855-446F-A44B-42D8025CEFF1}"/>
    <cellStyle name="Total 8 2 2 2 2 3" xfId="14757" xr:uid="{27D8CB06-6F90-468A-8F8A-EA9EB5D72F9A}"/>
    <cellStyle name="Total 8 2 2 2 2 4" xfId="15709" xr:uid="{0360755A-AE5A-458C-A886-A92DBB28A418}"/>
    <cellStyle name="Total 8 2 2 2 2 5" xfId="16587" xr:uid="{BBE3237A-DC93-4F82-BD35-1D3EC3FBC551}"/>
    <cellStyle name="Total 8 2 2 2 2 6" xfId="17452" xr:uid="{A7AD77FA-A937-4DDA-A0BD-3653C94B2EDC}"/>
    <cellStyle name="Total 8 2 2 2 2 7" xfId="18228" xr:uid="{E56B11DC-67B3-4259-AF70-6AD533F7C6BE}"/>
    <cellStyle name="Total 8 2 2 2 2 8" xfId="18985" xr:uid="{BCF45208-0B99-4C3E-ADC9-DBDC69D6763A}"/>
    <cellStyle name="Total 8 2 2 2 3" xfId="9812" xr:uid="{23AB4B05-857A-4BC2-94BA-FB93ACA07333}"/>
    <cellStyle name="Total 8 2 2 2 3 2" xfId="14216" xr:uid="{D4E38CFE-CDE4-4BED-BF2B-EC4F84F3BFFF}"/>
    <cellStyle name="Total 8 2 2 2 3 3" xfId="15176" xr:uid="{382188D5-BC8B-4658-AFD3-3A98E6A22E30}"/>
    <cellStyle name="Total 8 2 2 2 3 4" xfId="16128" xr:uid="{0C764E58-3948-4BB8-BF44-681455EC22AE}"/>
    <cellStyle name="Total 8 2 2 2 3 5" xfId="17002" xr:uid="{8C7DD73E-61A9-4361-B831-319E6A05A431}"/>
    <cellStyle name="Total 8 2 2 2 3 6" xfId="17867" xr:uid="{988EE3A7-4C9C-4F74-8C02-3C700ABCD15B}"/>
    <cellStyle name="Total 8 2 2 2 3 7" xfId="18643" xr:uid="{B1CE67F6-2F9A-4621-BD45-06EBD5E0714E}"/>
    <cellStyle name="Total 8 2 2 2 3 8" xfId="19400" xr:uid="{43B3E400-B85F-4140-8355-2303906F2D02}"/>
    <cellStyle name="Total 8 2 2 2 4" xfId="12781" xr:uid="{C00CFC6C-F62A-449A-BB11-2F75125519EB}"/>
    <cellStyle name="Total 8 2 2 2 5" xfId="10206" xr:uid="{7093E764-DDBA-4675-B2BB-33B447295DE9}"/>
    <cellStyle name="Total 8 2 2 2 6" xfId="13163" xr:uid="{9709EDF7-F430-4A3D-B9F2-D816DF7FCE7A}"/>
    <cellStyle name="Total 8 2 2 2 7" xfId="9872" xr:uid="{0BD49EE4-74D4-451F-A17E-6C3034555F67}"/>
    <cellStyle name="Total 8 2 2 2 8" xfId="12172" xr:uid="{DD9AED13-EA83-408A-A6FA-40F82EC232AC}"/>
    <cellStyle name="Total 8 2 2 2 9" xfId="10693" xr:uid="{D75AB058-AF28-44B2-B05C-71750B4CE004}"/>
    <cellStyle name="Total 8 2 2 3" xfId="8574" xr:uid="{2F86691E-B566-4CCF-BA18-69AFBC92E4F5}"/>
    <cellStyle name="Total 8 2 2 3 2" xfId="13314" xr:uid="{720CD177-C46C-4190-921C-0E8D4E6796CE}"/>
    <cellStyle name="Total 8 2 2 3 3" xfId="14334" xr:uid="{F83C3744-6FBA-4077-8E77-EF74018987EE}"/>
    <cellStyle name="Total 8 2 2 3 4" xfId="15294" xr:uid="{B79F688D-8C98-4F55-9749-8A5E5300A084}"/>
    <cellStyle name="Total 8 2 2 3 5" xfId="16243" xr:uid="{04585138-1ABD-4644-84D7-B9B27DF50239}"/>
    <cellStyle name="Total 8 2 2 3 6" xfId="17116" xr:uid="{A1DEBC75-BA2A-4F1D-92A1-81713E7F3445}"/>
    <cellStyle name="Total 8 2 2 3 7" xfId="17981" xr:uid="{6F719440-3A83-476D-8006-E7741A1D0498}"/>
    <cellStyle name="Total 8 2 2 3 8" xfId="18757" xr:uid="{17847C20-E372-4ABC-AC6E-17DBEBC2BFCC}"/>
    <cellStyle name="Total 8 2 2 4" xfId="9584" xr:uid="{46091AFA-5384-4906-BD2F-E9EB4ED81351}"/>
    <cellStyle name="Total 8 2 2 4 2" xfId="13988" xr:uid="{54565319-DB07-4F20-89B1-5F0CED168E51}"/>
    <cellStyle name="Total 8 2 2 4 3" xfId="14948" xr:uid="{714E3ACB-D67F-4344-91C3-3F04BA30DA07}"/>
    <cellStyle name="Total 8 2 2 4 4" xfId="15900" xr:uid="{5A21F016-09DA-4944-903D-07FD4F095452}"/>
    <cellStyle name="Total 8 2 2 4 5" xfId="16774" xr:uid="{1161D4E0-6750-4E84-B74A-2CE1A6DEF630}"/>
    <cellStyle name="Total 8 2 2 4 6" xfId="17639" xr:uid="{1AFD7A44-2487-4305-8D4D-5125564CB610}"/>
    <cellStyle name="Total 8 2 2 4 7" xfId="18415" xr:uid="{1EC42430-169F-4E05-8CAA-41ECC4EDC6D9}"/>
    <cellStyle name="Total 8 2 2 4 8" xfId="19172" xr:uid="{8782F43B-FDDA-4D48-83C5-4567EC2FB58E}"/>
    <cellStyle name="Total 8 2 2 5" xfId="12285" xr:uid="{D601488D-B9FA-40F2-9D17-A689779B5CC2}"/>
    <cellStyle name="Total 8 2 2 6" xfId="10580" xr:uid="{41DB2560-C736-4894-81F4-873C44E4A4E5}"/>
    <cellStyle name="Total 8 2 2 7" xfId="13406" xr:uid="{05683E59-4935-44ED-AB98-0695382ACD9E}"/>
    <cellStyle name="Total 8 2 2 8" xfId="14415" xr:uid="{9DFA2D38-32B2-4D6B-A824-62FA73FBDD3E}"/>
    <cellStyle name="Total 8 2 2 9" xfId="15373" xr:uid="{232E659F-0D10-4F23-8D1A-229D2F755C7F}"/>
    <cellStyle name="Total 8 2 3" xfId="7198" xr:uid="{36BFCEB8-AE63-451E-88FA-AD86E29DAE22}"/>
    <cellStyle name="Total 8 2 3 10" xfId="13667" xr:uid="{17CA0B1B-2EA4-4E9C-BC42-C778EB6B21AF}"/>
    <cellStyle name="Total 8 2 3 2" xfId="8838" xr:uid="{271D5AA7-2A77-4B20-BCD3-05D7F2E5B216}"/>
    <cellStyle name="Total 8 2 3 2 2" xfId="13497" xr:uid="{5AEB39B6-5290-4D2E-B337-207367CEE412}"/>
    <cellStyle name="Total 8 2 3 2 3" xfId="14503" xr:uid="{D1FDA2F4-1D35-4351-89C0-B8188D88A809}"/>
    <cellStyle name="Total 8 2 3 2 4" xfId="15461" xr:uid="{CD298AA7-D1C0-46DE-845D-5F503A9A22E1}"/>
    <cellStyle name="Total 8 2 3 2 5" xfId="16387" xr:uid="{30DC915C-621B-4C4F-A8D0-170EB85E1D72}"/>
    <cellStyle name="Total 8 2 3 2 6" xfId="17258" xr:uid="{14CC5A6E-1803-4F0F-BEF7-191449ADAB72}"/>
    <cellStyle name="Total 8 2 3 2 7" xfId="18105" xr:uid="{DB469FA8-B33F-4697-A514-1ED36C1789CF}"/>
    <cellStyle name="Total 8 2 3 2 8" xfId="18872" xr:uid="{2DE886DD-37B2-44B9-8EAA-62F6FF6DB993}"/>
    <cellStyle name="Total 8 2 3 3" xfId="9699" xr:uid="{74EFCF12-771E-43A1-9ABB-DB96FB888F0E}"/>
    <cellStyle name="Total 8 2 3 3 2" xfId="14103" xr:uid="{CF6D24DF-1958-4158-97CB-AA91C3399ACD}"/>
    <cellStyle name="Total 8 2 3 3 3" xfId="15063" xr:uid="{65A9CF58-3024-43ED-98C3-B1232B61FCF6}"/>
    <cellStyle name="Total 8 2 3 3 4" xfId="16015" xr:uid="{FB646FEB-1AA2-4021-BE5B-D81489E0974D}"/>
    <cellStyle name="Total 8 2 3 3 5" xfId="16889" xr:uid="{B46D2BED-8890-4CBC-A71F-F7A73D0EA006}"/>
    <cellStyle name="Total 8 2 3 3 6" xfId="17754" xr:uid="{C1F2CFBD-07A7-4801-A231-D11F7E204556}"/>
    <cellStyle name="Total 8 2 3 3 7" xfId="18530" xr:uid="{FFC83724-94E0-4E0C-8F86-7B4F4592B910}"/>
    <cellStyle name="Total 8 2 3 3 8" xfId="19287" xr:uid="{1EB850F6-C7E2-431B-B53E-C903837EDB9B}"/>
    <cellStyle name="Total 8 2 3 4" xfId="12468" xr:uid="{2830BA19-2972-42E5-AFAF-0467EECBA2F3}"/>
    <cellStyle name="Total 8 2 3 5" xfId="10411" xr:uid="{8D774AE7-64CD-4F35-A5F4-E9C6D92DBB1D}"/>
    <cellStyle name="Total 8 2 3 6" xfId="11723" xr:uid="{20504114-E144-4F38-9694-406EA81F06C4}"/>
    <cellStyle name="Total 8 2 3 7" xfId="11063" xr:uid="{11F0C0BD-73D8-4350-9799-BE7ECFDB065F}"/>
    <cellStyle name="Total 8 2 3 8" xfId="12560" xr:uid="{62DF6C5A-7B6D-422D-B205-4723BF070EB0}"/>
    <cellStyle name="Total 8 2 3 9" xfId="10335" xr:uid="{07FA3B9E-A147-4510-86D1-D791F0B22F4E}"/>
    <cellStyle name="Total 8 2 4" xfId="8040" xr:uid="{0A21F357-F257-4950-9706-C9412D5976C9}"/>
    <cellStyle name="Total 8 2 4 2" xfId="13008" xr:uid="{2146A929-D400-4597-BC32-FC72953FD5C6}"/>
    <cellStyle name="Total 8 2 4 3" xfId="9984" xr:uid="{DE5A0FB3-0BD1-425F-A8E2-486616C0BDAA}"/>
    <cellStyle name="Total 8 2 4 4" xfId="11822" xr:uid="{4363F82F-C92B-48E1-8238-24EFD312834B}"/>
    <cellStyle name="Total 8 2 4 5" xfId="10983" xr:uid="{7AE824CA-9D82-415F-A134-A05FDDD5B080}"/>
    <cellStyle name="Total 8 2 4 6" xfId="13394" xr:uid="{5EEBBE4D-1A29-4484-94D8-610B3175C643}"/>
    <cellStyle name="Total 8 2 4 7" xfId="14403" xr:uid="{6BDBECD2-1A5D-43B1-8293-8F7D13925D89}"/>
    <cellStyle name="Total 8 2 4 8" xfId="15361" xr:uid="{57915CB3-03A5-4BBF-8443-F6866AF57123}"/>
    <cellStyle name="Total 8 2 5" xfId="9471" xr:uid="{3B7E79E4-54B7-48F4-A8B6-6D33BB1C8A53}"/>
    <cellStyle name="Total 8 2 5 2" xfId="13875" xr:uid="{54D1EB71-C511-4B59-B6EC-5F2551534705}"/>
    <cellStyle name="Total 8 2 5 3" xfId="14835" xr:uid="{D9F04C25-5C39-47FD-8EEE-5552960238B9}"/>
    <cellStyle name="Total 8 2 5 4" xfId="15787" xr:uid="{5CA657C6-B812-43AC-890D-2277128F4AC5}"/>
    <cellStyle name="Total 8 2 5 5" xfId="16661" xr:uid="{7B5D7725-7573-4F1E-ADEF-91FE4CA5E246}"/>
    <cellStyle name="Total 8 2 5 6" xfId="17526" xr:uid="{566B1A25-3DD6-4741-890D-4CC5EA4D4EFA}"/>
    <cellStyle name="Total 8 2 5 7" xfId="18302" xr:uid="{9D7EC8E5-DF55-4AE8-9E4D-0303E8099A20}"/>
    <cellStyle name="Total 8 2 5 8" xfId="19059" xr:uid="{B05D1BAA-6C27-4F0B-B099-07E7B0A0EBA8}"/>
    <cellStyle name="Total 8 2 6" xfId="11935" xr:uid="{7DCD169E-F9BF-4AF1-9CC8-0F581E93003F}"/>
    <cellStyle name="Total 8 2 7" xfId="10882" xr:uid="{1DA55530-4C75-4F2F-94BD-A4C8F3A9F2A8}"/>
    <cellStyle name="Total 8 2 8" xfId="11542" xr:uid="{A2DAA355-850E-4B31-BD73-F24F0952FB3C}"/>
    <cellStyle name="Total 8 2 9" xfId="11197" xr:uid="{0BB1198E-5F8F-4470-A90D-5FA5016B73DF}"/>
    <cellStyle name="Total 8 3" xfId="6933" xr:uid="{C13AC449-E377-41AF-A824-2D9AA4F48BC4}"/>
    <cellStyle name="Total 8 3 10" xfId="9965" xr:uid="{2CC57F56-8165-4B80-8108-AE82074EA0D4}"/>
    <cellStyle name="Total 8 3 11" xfId="13193" xr:uid="{E0BAF2E8-1374-4667-B982-7542F3DE0E21}"/>
    <cellStyle name="Total 8 3 2" xfId="7735" xr:uid="{7D144ADF-7344-4F31-8544-69B774F0F5E0}"/>
    <cellStyle name="Total 8 3 2 10" xfId="12679" xr:uid="{E96614D6-ED72-4AAE-9886-1A4830C500AE}"/>
    <cellStyle name="Total 8 3 2 2" xfId="9375" xr:uid="{7740C233-4F4E-4732-93C3-9FCBC76EE279}"/>
    <cellStyle name="Total 8 3 2 2 2" xfId="13796" xr:uid="{3BC4FF23-1587-4304-A70F-A9F511253C3E}"/>
    <cellStyle name="Total 8 3 2 2 3" xfId="14758" xr:uid="{57175129-8841-4DA0-9351-8CCE15E374E9}"/>
    <cellStyle name="Total 8 3 2 2 4" xfId="15710" xr:uid="{8C7EB94A-EE35-4BC4-AA2C-40F36DA887FA}"/>
    <cellStyle name="Total 8 3 2 2 5" xfId="16588" xr:uid="{BA7F5F7F-4F72-4B25-AE85-807A030F547B}"/>
    <cellStyle name="Total 8 3 2 2 6" xfId="17453" xr:uid="{7E0EC103-3B95-478A-85F5-CDFEA54C8F69}"/>
    <cellStyle name="Total 8 3 2 2 7" xfId="18229" xr:uid="{5D50C5A3-59D1-434A-A740-AAC0094B8468}"/>
    <cellStyle name="Total 8 3 2 2 8" xfId="18986" xr:uid="{725ECF06-7A0A-4075-BD44-F45099739192}"/>
    <cellStyle name="Total 8 3 2 3" xfId="9813" xr:uid="{EEB95D86-47F8-4BE6-8284-F5E12652BD7F}"/>
    <cellStyle name="Total 8 3 2 3 2" xfId="14217" xr:uid="{8E96CA28-7DCB-4B7D-9006-2D350C622529}"/>
    <cellStyle name="Total 8 3 2 3 3" xfId="15177" xr:uid="{CDB526BE-E2EC-47A8-AB4C-F4940F89D79E}"/>
    <cellStyle name="Total 8 3 2 3 4" xfId="16129" xr:uid="{FB79B95C-B09E-45B9-B411-EF2909FDFE4F}"/>
    <cellStyle name="Total 8 3 2 3 5" xfId="17003" xr:uid="{0D83A55D-EB5D-4E89-85BC-B0C55DDAD7D6}"/>
    <cellStyle name="Total 8 3 2 3 6" xfId="17868" xr:uid="{8D5CFF15-9B2B-4EED-9C7B-ADFBDDE98026}"/>
    <cellStyle name="Total 8 3 2 3 7" xfId="18644" xr:uid="{C29DF94E-F0FE-4055-BAE4-B7EE748AE602}"/>
    <cellStyle name="Total 8 3 2 3 8" xfId="19401" xr:uid="{670FFF44-FED6-40F0-A937-C47A8909A9C0}"/>
    <cellStyle name="Total 8 3 2 4" xfId="12782" xr:uid="{8F089B64-6049-430A-91E2-6E39E7C7A474}"/>
    <cellStyle name="Total 8 3 2 5" xfId="10205" xr:uid="{298D349B-4EBA-4F3E-8106-414BD1B67688}"/>
    <cellStyle name="Total 8 3 2 6" xfId="12131" xr:uid="{01FD9A0A-9B93-404F-86EB-063969E00E96}"/>
    <cellStyle name="Total 8 3 2 7" xfId="10724" xr:uid="{271C47BC-9582-4155-92BE-82CF4EF131F6}"/>
    <cellStyle name="Total 8 3 2 8" xfId="12907" xr:uid="{71733674-3B1B-4C44-A926-E6B0A1B5D2B4}"/>
    <cellStyle name="Total 8 3 2 9" xfId="10076" xr:uid="{9556FEDE-7FCC-4D5A-8CFD-7179485E45C0}"/>
    <cellStyle name="Total 8 3 3" xfId="8573" xr:uid="{5C90C329-D0B3-4950-8E8F-6EAB387BF3BB}"/>
    <cellStyle name="Total 8 3 3 2" xfId="13313" xr:uid="{8F0000EB-80C7-4D57-A7BD-F6C11F36BEC1}"/>
    <cellStyle name="Total 8 3 3 3" xfId="14333" xr:uid="{65EE9094-5D43-4607-9370-09C465726FC2}"/>
    <cellStyle name="Total 8 3 3 4" xfId="15293" xr:uid="{39D57000-0BD2-45A2-83F6-8965BB46CEB3}"/>
    <cellStyle name="Total 8 3 3 5" xfId="16242" xr:uid="{C6B9D24E-F0C9-47DC-8594-9EB7DAD6A081}"/>
    <cellStyle name="Total 8 3 3 6" xfId="17115" xr:uid="{E925A4CB-5CDF-4356-ACF2-412E9D23C08A}"/>
    <cellStyle name="Total 8 3 3 7" xfId="17980" xr:uid="{14259811-7FF6-41C5-8CA2-BF2C34147FC5}"/>
    <cellStyle name="Total 8 3 3 8" xfId="18756" xr:uid="{51E62E39-0591-4D3F-9A84-095A9E5EA7E1}"/>
    <cellStyle name="Total 8 3 4" xfId="9583" xr:uid="{1328E1E6-4A02-407B-AE9D-3A9241E483B0}"/>
    <cellStyle name="Total 8 3 4 2" xfId="13987" xr:uid="{4F50A455-2EDB-483E-A5EA-A5A46157F18D}"/>
    <cellStyle name="Total 8 3 4 3" xfId="14947" xr:uid="{5580B4C6-F630-480C-B805-5269F0186A04}"/>
    <cellStyle name="Total 8 3 4 4" xfId="15899" xr:uid="{E922E2D4-C036-437A-9EF4-B070B0630196}"/>
    <cellStyle name="Total 8 3 4 5" xfId="16773" xr:uid="{4582943A-D45B-4536-B9E3-6CC077F16EAF}"/>
    <cellStyle name="Total 8 3 4 6" xfId="17638" xr:uid="{03C4BEF4-860F-4DF4-B8F7-0B2CB7797F8A}"/>
    <cellStyle name="Total 8 3 4 7" xfId="18414" xr:uid="{4E3C715E-CCD3-4FA3-90DE-9BCA437991BD}"/>
    <cellStyle name="Total 8 3 4 8" xfId="19171" xr:uid="{3FB4B792-56C1-4CC3-9EC5-9EBF8B802F22}"/>
    <cellStyle name="Total 8 3 5" xfId="12284" xr:uid="{AE34A6AC-2C58-4048-B287-3D467E210F82}"/>
    <cellStyle name="Total 8 3 6" xfId="10581" xr:uid="{7498BE1C-5C14-416A-AD9B-9FE214E11F15}"/>
    <cellStyle name="Total 8 3 7" xfId="12375" xr:uid="{7FFD5B5B-6785-46C6-9EF2-56A9F2D0C186}"/>
    <cellStyle name="Total 8 3 8" xfId="10500" xr:uid="{CBBE474F-0690-4D71-9C5B-E71E91F4B84C}"/>
    <cellStyle name="Total 8 3 9" xfId="13035" xr:uid="{B08C1030-E414-4D80-B9C6-93A14E6095EC}"/>
    <cellStyle name="Total 8 4" xfId="7197" xr:uid="{38A1BB99-2E17-431C-BCF3-7AF19077FD70}"/>
    <cellStyle name="Total 8 4 10" xfId="11631" xr:uid="{70357059-4F67-4EDB-9080-B31BA3B8B49D}"/>
    <cellStyle name="Total 8 4 2" xfId="8837" xr:uid="{96236F28-669B-427E-A60F-B7958EFE0702}"/>
    <cellStyle name="Total 8 4 2 2" xfId="13496" xr:uid="{1AAFC862-41B8-4644-9DA5-0317703C4D43}"/>
    <cellStyle name="Total 8 4 2 3" xfId="14502" xr:uid="{DA4FB86C-94F6-445F-8097-FEAD151ECC5B}"/>
    <cellStyle name="Total 8 4 2 4" xfId="15460" xr:uid="{F0135916-7DB6-494F-A80F-64AEF39CF32D}"/>
    <cellStyle name="Total 8 4 2 5" xfId="16386" xr:uid="{831DFF9B-950B-49D3-9950-E8222D1B40AC}"/>
    <cellStyle name="Total 8 4 2 6" xfId="17257" xr:uid="{35838B32-4795-43A1-B3C7-F14371CDDD2A}"/>
    <cellStyle name="Total 8 4 2 7" xfId="18104" xr:uid="{4AFFFB99-17DD-44B2-95E6-EAB15EE0E01F}"/>
    <cellStyle name="Total 8 4 2 8" xfId="18871" xr:uid="{9C49D96F-D385-4241-AF29-A06F20F319E7}"/>
    <cellStyle name="Total 8 4 3" xfId="9698" xr:uid="{6D495124-B260-4743-8C83-BCE040687A7F}"/>
    <cellStyle name="Total 8 4 3 2" xfId="14102" xr:uid="{000F00D3-CFE0-4B2C-A6AB-A2336D8795BA}"/>
    <cellStyle name="Total 8 4 3 3" xfId="15062" xr:uid="{EAC62094-1D36-4164-AACD-DF905BE73BE5}"/>
    <cellStyle name="Total 8 4 3 4" xfId="16014" xr:uid="{992B8531-1A81-4359-9332-4143850CDD45}"/>
    <cellStyle name="Total 8 4 3 5" xfId="16888" xr:uid="{26752B54-0F56-4EBB-9B29-E0EFA9DB61AC}"/>
    <cellStyle name="Total 8 4 3 6" xfId="17753" xr:uid="{A60829B2-62AB-452B-9581-1EC0745AC0C1}"/>
    <cellStyle name="Total 8 4 3 7" xfId="18529" xr:uid="{F46F134C-BAAE-4E95-9407-F33D1C87C4D8}"/>
    <cellStyle name="Total 8 4 3 8" xfId="19286" xr:uid="{5C0286A6-67E1-4D72-9554-E806E9B007C7}"/>
    <cellStyle name="Total 8 4 4" xfId="12467" xr:uid="{84087D10-B104-4BD8-97A6-F4243FB4AB51}"/>
    <cellStyle name="Total 8 4 5" xfId="10412" xr:uid="{61490667-3CEC-43E3-9006-0504A2A6D9CB}"/>
    <cellStyle name="Total 8 4 6" xfId="11722" xr:uid="{1C3F4DCD-0827-43FB-95FC-715167424DA5}"/>
    <cellStyle name="Total 8 4 7" xfId="11064" xr:uid="{F859C3D5-32A7-4841-BEA4-BA9516D98D10}"/>
    <cellStyle name="Total 8 4 8" xfId="12058" xr:uid="{76D067BC-E957-4FBD-9409-BABCC3439202}"/>
    <cellStyle name="Total 8 4 9" xfId="10785" xr:uid="{D3F4329F-4C7B-44E9-ACD1-2F20001C986E}"/>
    <cellStyle name="Total 8 5" xfId="8039" xr:uid="{EA8F3C26-EFF0-4C5D-8A1A-3444C944B8DF}"/>
    <cellStyle name="Total 8 5 2" xfId="13007" xr:uid="{9421F94F-31AC-4622-ADAF-CE05FEA76514}"/>
    <cellStyle name="Total 8 5 3" xfId="9985" xr:uid="{FC83711A-5282-45D0-BE75-17B3B8ED8218}"/>
    <cellStyle name="Total 8 5 4" xfId="11821" xr:uid="{38681D41-BCD7-4FCF-B784-D54BA28E7B25}"/>
    <cellStyle name="Total 8 5 5" xfId="10984" xr:uid="{BB567467-B192-4F04-9477-D9D6C26F6ADA}"/>
    <cellStyle name="Total 8 5 6" xfId="12362" xr:uid="{D2F30D85-6EC4-4849-9D78-DE409B083FBE}"/>
    <cellStyle name="Total 8 5 7" xfId="10511" xr:uid="{C5222C95-393A-45AA-96A5-F38266E335C2}"/>
    <cellStyle name="Total 8 5 8" xfId="13137" xr:uid="{3D0C94BA-BD8C-40A0-8BCE-6ED0DF69B6FD}"/>
    <cellStyle name="Total 8 6" xfId="9470" xr:uid="{B7D4EF50-4AE1-4D30-87EF-8F1A6AAA8641}"/>
    <cellStyle name="Total 8 6 2" xfId="13874" xr:uid="{339E33EC-CD37-4539-A605-FE1CF2EA56CF}"/>
    <cellStyle name="Total 8 6 3" xfId="14834" xr:uid="{CB5995CD-72E2-4EF5-A3E3-444813316C25}"/>
    <cellStyle name="Total 8 6 4" xfId="15786" xr:uid="{EC771FE3-FFDC-4312-8A38-C7E2B4223542}"/>
    <cellStyle name="Total 8 6 5" xfId="16660" xr:uid="{C612EAD8-1990-486F-A384-1322B9616854}"/>
    <cellStyle name="Total 8 6 6" xfId="17525" xr:uid="{D7B81462-ECAD-49B8-AC8D-C93A09F751FE}"/>
    <cellStyle name="Total 8 6 7" xfId="18301" xr:uid="{ED832F91-2F85-40AE-8CDB-322F4BB55233}"/>
    <cellStyle name="Total 8 6 8" xfId="19058" xr:uid="{84310550-A245-4F3D-953E-BE34E0294BCB}"/>
    <cellStyle name="Total 8 7" xfId="11934" xr:uid="{E772118E-5F34-4FD9-A57C-DD7EFF2D5EC1}"/>
    <cellStyle name="Total 8 8" xfId="10883" xr:uid="{4015E4B6-723E-4C9C-9F14-39248B6694A5}"/>
    <cellStyle name="Total 8 9" xfId="11541" xr:uid="{AC5E4B56-CA17-4849-AA40-F1DEE0B3F401}"/>
    <cellStyle name="Total 9" xfId="6312" xr:uid="{9311793E-5EA7-4D38-A7A7-A7B5FE220C7D}"/>
    <cellStyle name="Total 9 10" xfId="11196" xr:uid="{3BC91FF8-A3AD-43CF-817D-1240817C6178}"/>
    <cellStyle name="Total 9 11" xfId="11961" xr:uid="{444724FD-B194-4538-BF91-18B038A3E990}"/>
    <cellStyle name="Total 9 12" xfId="10861" xr:uid="{60DDF5EA-FE05-4E8E-8830-DDBE6ACB3875}"/>
    <cellStyle name="Total 9 13" xfId="11561" xr:uid="{EE8F9008-515F-4813-96DD-C301748C64E2}"/>
    <cellStyle name="Total 9 2" xfId="6313" xr:uid="{9BA8A77F-79B3-4E57-9539-A6D64749616A}"/>
    <cellStyle name="Total 9 2 10" xfId="12538" xr:uid="{4518E725-C1A6-470E-9B1D-016761AFC2BE}"/>
    <cellStyle name="Total 9 2 11" xfId="10345" xr:uid="{B1FE5FA1-B255-4BDE-ABE3-951FF93D1D5A}"/>
    <cellStyle name="Total 9 2 12" xfId="13153" xr:uid="{4A736A0F-09F3-451E-B48B-2C9949945C7A}"/>
    <cellStyle name="Total 9 2 2" xfId="6936" xr:uid="{B5201D01-D1E3-4FEB-9F7B-CF4EF6B096B0}"/>
    <cellStyle name="Total 9 2 2 10" xfId="10788" xr:uid="{41FE5033-3340-42FD-A481-45B858BF6CD6}"/>
    <cellStyle name="Total 9 2 2 11" xfId="11628" xr:uid="{82B58A23-0C6B-4164-8405-B3C7A6B94583}"/>
    <cellStyle name="Total 9 2 2 2" xfId="7736" xr:uid="{127AFF89-93D7-4C5C-9F18-D71510923DF5}"/>
    <cellStyle name="Total 9 2 2 2 10" xfId="12785" xr:uid="{3104DF4F-45F0-4A2B-BE37-60262C46AF07}"/>
    <cellStyle name="Total 9 2 2 2 2" xfId="9376" xr:uid="{C068F5CC-1E38-4BFA-A328-A16E4A3A53F0}"/>
    <cellStyle name="Total 9 2 2 2 2 2" xfId="13797" xr:uid="{5A97B29E-478B-4595-923F-4429A40AC2D8}"/>
    <cellStyle name="Total 9 2 2 2 2 3" xfId="14759" xr:uid="{E17BB8CD-8905-4536-8859-353F9A4FCD91}"/>
    <cellStyle name="Total 9 2 2 2 2 4" xfId="15711" xr:uid="{05CB2B1E-C352-4870-BF1F-8E1545FC3352}"/>
    <cellStyle name="Total 9 2 2 2 2 5" xfId="16589" xr:uid="{2A892ECD-5B3C-4F03-A9A5-4CBC1BE085AB}"/>
    <cellStyle name="Total 9 2 2 2 2 6" xfId="17454" xr:uid="{606ABF3C-34A1-4C3E-AB47-F242C639C318}"/>
    <cellStyle name="Total 9 2 2 2 2 7" xfId="18230" xr:uid="{092BC53C-097D-41E7-AD15-923AF17D1949}"/>
    <cellStyle name="Total 9 2 2 2 2 8" xfId="18987" xr:uid="{46B895AB-DBD9-4E8A-B0F8-2EA37E52C76E}"/>
    <cellStyle name="Total 9 2 2 2 3" xfId="9814" xr:uid="{A65B9BDE-C736-4281-ABBF-1A49305C1F26}"/>
    <cellStyle name="Total 9 2 2 2 3 2" xfId="14218" xr:uid="{4097CADE-2014-4594-8084-15945BF2F5A1}"/>
    <cellStyle name="Total 9 2 2 2 3 3" xfId="15178" xr:uid="{E254230B-D6D7-4F0B-B94A-D0E94FB006BD}"/>
    <cellStyle name="Total 9 2 2 2 3 4" xfId="16130" xr:uid="{DBBEBA28-5AED-4758-AF8D-63C40A81C688}"/>
    <cellStyle name="Total 9 2 2 2 3 5" xfId="17004" xr:uid="{FC57556E-7054-4834-BF8B-E8BB6FB10EFF}"/>
    <cellStyle name="Total 9 2 2 2 3 6" xfId="17869" xr:uid="{88547EF3-393A-4C07-85DB-E1B2480DF8C3}"/>
    <cellStyle name="Total 9 2 2 2 3 7" xfId="18645" xr:uid="{AD94044D-68AA-41A9-837B-9316C0680435}"/>
    <cellStyle name="Total 9 2 2 2 3 8" xfId="19402" xr:uid="{2EFE06C2-608E-469C-A102-1120EDD75C77}"/>
    <cellStyle name="Total 9 2 2 2 4" xfId="12783" xr:uid="{58C90ED0-E9A4-49DC-9039-C1ACABE06378}"/>
    <cellStyle name="Total 9 2 2 2 5" xfId="10204" xr:uid="{C1C820ED-819A-48A6-B756-04387B3E6C0C}"/>
    <cellStyle name="Total 9 2 2 2 6" xfId="12664" xr:uid="{3969CFDC-1299-4EE0-B093-8DB5AE3E3869}"/>
    <cellStyle name="Total 9 2 2 2 7" xfId="10253" xr:uid="{7008BB96-45B8-497F-A4A1-8E23673DBEF1}"/>
    <cellStyle name="Total 9 2 2 2 8" xfId="13159" xr:uid="{BAB0039C-2BC0-4EBB-A857-6808A0A6F938}"/>
    <cellStyle name="Total 9 2 2 2 9" xfId="9876" xr:uid="{27F7D348-3B5D-4F55-B0E2-FAFB0389C055}"/>
    <cellStyle name="Total 9 2 2 3" xfId="8576" xr:uid="{06965290-D3FA-4A46-BA35-21121BE1A765}"/>
    <cellStyle name="Total 9 2 2 3 2" xfId="13316" xr:uid="{404CA47E-1D7B-4B13-ACE9-7AE6288BF6F4}"/>
    <cellStyle name="Total 9 2 2 3 3" xfId="14336" xr:uid="{899A8C87-AADE-481C-88E7-D921D1C4AA1C}"/>
    <cellStyle name="Total 9 2 2 3 4" xfId="15296" xr:uid="{B5602B5D-EF57-415E-BE9A-BD40EEFB2355}"/>
    <cellStyle name="Total 9 2 2 3 5" xfId="16245" xr:uid="{F95F9053-D34E-4754-88DC-7A670CE78ED5}"/>
    <cellStyle name="Total 9 2 2 3 6" xfId="17118" xr:uid="{9869038C-5160-4155-A5C1-37858575B023}"/>
    <cellStyle name="Total 9 2 2 3 7" xfId="17983" xr:uid="{844937D2-B64E-46DD-B4B5-65C240067B53}"/>
    <cellStyle name="Total 9 2 2 3 8" xfId="18759" xr:uid="{909B81B6-C7C3-4E1F-A82C-449A054CCA24}"/>
    <cellStyle name="Total 9 2 2 4" xfId="9586" xr:uid="{EDE95435-A1D5-4C0C-B99B-218BC54FCA6E}"/>
    <cellStyle name="Total 9 2 2 4 2" xfId="13990" xr:uid="{46A82C2B-0D22-4C58-9C9D-2A09186C63DC}"/>
    <cellStyle name="Total 9 2 2 4 3" xfId="14950" xr:uid="{3136BB99-3C2C-4FD3-9088-BD464A8E0127}"/>
    <cellStyle name="Total 9 2 2 4 4" xfId="15902" xr:uid="{73F0A1D8-5A4A-40C2-845D-B63AD47DBB25}"/>
    <cellStyle name="Total 9 2 2 4 5" xfId="16776" xr:uid="{A57B4235-2593-476D-88AF-9DE0E1FDB2DF}"/>
    <cellStyle name="Total 9 2 2 4 6" xfId="17641" xr:uid="{D97DAE24-4C6D-48E7-8CB8-6CFA9E487CB4}"/>
    <cellStyle name="Total 9 2 2 4 7" xfId="18417" xr:uid="{EDFA5C78-A610-4014-97A1-429974286DBC}"/>
    <cellStyle name="Total 9 2 2 4 8" xfId="19174" xr:uid="{44A81D13-33F4-46F1-8E89-7B01B119734D}"/>
    <cellStyle name="Total 9 2 2 5" xfId="12287" xr:uid="{1C5E07CF-351F-44C4-9E62-F28BF1B55F83}"/>
    <cellStyle name="Total 9 2 2 6" xfId="10578" xr:uid="{8087CB27-C628-49DA-A073-883A8A1BDD09}"/>
    <cellStyle name="Total 9 2 2 7" xfId="11688" xr:uid="{3DF7DFE7-975C-4327-B38C-6EF0F4F3E7D6}"/>
    <cellStyle name="Total 9 2 2 8" xfId="11093" xr:uid="{4A54D826-F0CD-48B4-B595-787DA3AF5C08}"/>
    <cellStyle name="Total 9 2 2 9" xfId="12054" xr:uid="{F3CCB9E4-4D22-4C98-87E5-DB75335DADBA}"/>
    <cellStyle name="Total 9 2 3" xfId="7200" xr:uid="{2D060508-2D41-4D53-B022-10AAB6C5DF18}"/>
    <cellStyle name="Total 9 2 3 10" xfId="13802" xr:uid="{FC70E07F-B750-4225-8DBA-F18EFA0FFACB}"/>
    <cellStyle name="Total 9 2 3 2" xfId="8840" xr:uid="{5C51C54C-A7FB-41D4-82E5-73D4E0B9548A}"/>
    <cellStyle name="Total 9 2 3 2 2" xfId="13499" xr:uid="{3F5EE557-DE23-453F-8A8A-A607D4D8FE5A}"/>
    <cellStyle name="Total 9 2 3 2 3" xfId="14505" xr:uid="{CE50BB9A-F6A9-48A4-AC4B-76A1D8634038}"/>
    <cellStyle name="Total 9 2 3 2 4" xfId="15463" xr:uid="{573D1122-A668-49EC-A678-C741D08BFEFD}"/>
    <cellStyle name="Total 9 2 3 2 5" xfId="16389" xr:uid="{0B1DD123-5753-4244-8E31-485D99CFF5BD}"/>
    <cellStyle name="Total 9 2 3 2 6" xfId="17260" xr:uid="{F467F8F9-DCC3-4787-BA08-84845825E9F8}"/>
    <cellStyle name="Total 9 2 3 2 7" xfId="18107" xr:uid="{8C4C3623-4254-4222-A87D-C17C1E1979A1}"/>
    <cellStyle name="Total 9 2 3 2 8" xfId="18874" xr:uid="{365619CE-17AA-43D8-B708-63A4953DC14F}"/>
    <cellStyle name="Total 9 2 3 3" xfId="9701" xr:uid="{36CB1C7D-C6BA-417E-B12B-F30F59A8FBD7}"/>
    <cellStyle name="Total 9 2 3 3 2" xfId="14105" xr:uid="{6F61BF3F-1886-4270-85A9-0FF205CCE256}"/>
    <cellStyle name="Total 9 2 3 3 3" xfId="15065" xr:uid="{A2E1371B-B956-4076-8148-C6D47F1DEE21}"/>
    <cellStyle name="Total 9 2 3 3 4" xfId="16017" xr:uid="{78E91DA8-E683-4A2E-88C7-EE06A85F6A90}"/>
    <cellStyle name="Total 9 2 3 3 5" xfId="16891" xr:uid="{BE3C5AEC-6673-44C0-8EFE-7F36929B0579}"/>
    <cellStyle name="Total 9 2 3 3 6" xfId="17756" xr:uid="{FAA54789-980A-4FA8-898D-1431BC849108}"/>
    <cellStyle name="Total 9 2 3 3 7" xfId="18532" xr:uid="{0A37CA2C-7FC5-4E97-ABE7-5923DD91A270}"/>
    <cellStyle name="Total 9 2 3 3 8" xfId="19289" xr:uid="{016FB6CE-755A-4F01-AD83-D679AAFACEB9}"/>
    <cellStyle name="Total 9 2 3 4" xfId="12470" xr:uid="{B39848AA-2B6A-45F5-98B1-3191DD6F49FC}"/>
    <cellStyle name="Total 9 2 3 5" xfId="10409" xr:uid="{E22DEBA6-3E87-4B9C-B39C-AB364A71E27E}"/>
    <cellStyle name="Total 9 2 3 6" xfId="11725" xr:uid="{8725C215-DB18-4273-A888-DE0921C66040}"/>
    <cellStyle name="Total 9 2 3 7" xfId="11061" xr:uid="{E79ED629-D0D2-4B9A-B7D2-56078B976541}"/>
    <cellStyle name="Total 9 2 3 8" xfId="13094" xr:uid="{637BA749-0DF1-438D-AF7F-A695FBDC7EE2}"/>
    <cellStyle name="Total 9 2 3 9" xfId="9924" xr:uid="{EF2FECA9-019B-4B20-ABA8-7BDF1C824335}"/>
    <cellStyle name="Total 9 2 4" xfId="8042" xr:uid="{528FD5FA-2740-4E55-8E22-25B6EC72ECF6}"/>
    <cellStyle name="Total 9 2 4 2" xfId="13010" xr:uid="{AC24B7A6-0FD2-436D-8BF8-A19CE4EF2566}"/>
    <cellStyle name="Total 9 2 4 3" xfId="9982" xr:uid="{1164E46C-50F5-4FC8-8D25-35579976CDA0}"/>
    <cellStyle name="Total 9 2 4 4" xfId="11824" xr:uid="{40BD9CEC-2248-4463-A379-AF098879F583}"/>
    <cellStyle name="Total 9 2 4 5" xfId="10981" xr:uid="{BB7F34A1-FADE-42FE-87FB-0D17CA93F462}"/>
    <cellStyle name="Total 9 2 4 6" xfId="11462" xr:uid="{B72CC385-9F22-4758-A313-573160BE1CC9}"/>
    <cellStyle name="Total 9 2 4 7" xfId="11267" xr:uid="{27950CC5-7E43-44D7-BF69-23B0A20003D5}"/>
    <cellStyle name="Total 9 2 4 8" xfId="13554" xr:uid="{FA70BE3A-45CA-481C-9B0A-FEEB789A73FD}"/>
    <cellStyle name="Total 9 2 5" xfId="9473" xr:uid="{93044799-3690-453E-899E-CAA3264C79C3}"/>
    <cellStyle name="Total 9 2 5 2" xfId="13877" xr:uid="{4A91C2AC-AA6B-4179-B61F-771563978943}"/>
    <cellStyle name="Total 9 2 5 3" xfId="14837" xr:uid="{8D1F7D2F-D94E-4857-A974-4EC573FA8827}"/>
    <cellStyle name="Total 9 2 5 4" xfId="15789" xr:uid="{790E151D-7F81-4658-8DE8-3F842430F22F}"/>
    <cellStyle name="Total 9 2 5 5" xfId="16663" xr:uid="{1A833137-69D2-4126-BBC7-5E8A019706D8}"/>
    <cellStyle name="Total 9 2 5 6" xfId="17528" xr:uid="{979DFECD-8370-451C-848C-6084F7E1DBE2}"/>
    <cellStyle name="Total 9 2 5 7" xfId="18304" xr:uid="{BEB571DF-731A-4967-870A-1D479A9616C6}"/>
    <cellStyle name="Total 9 2 5 8" xfId="19061" xr:uid="{5D43C5B2-8A7F-4189-AB8C-1AAA45D591AB}"/>
    <cellStyle name="Total 9 2 6" xfId="11937" xr:uid="{33EFBE85-505E-4B38-B551-81AECC46AB5B}"/>
    <cellStyle name="Total 9 2 7" xfId="10880" xr:uid="{6E3BF797-98A0-44E6-8FD0-B108415A8DDD}"/>
    <cellStyle name="Total 9 2 8" xfId="11544" xr:uid="{35D015D6-A789-4B1F-BCB5-B90ABE4FB1E1}"/>
    <cellStyle name="Total 9 2 9" xfId="11195" xr:uid="{6C825526-F56F-46E2-B404-2FDB73B89169}"/>
    <cellStyle name="Total 9 3" xfId="6935" xr:uid="{693C53A6-2325-40D4-9F99-6DE24951F1C3}"/>
    <cellStyle name="Total 9 3 10" xfId="10710" xr:uid="{D07EB964-3933-4758-9390-C441DCBFE424}"/>
    <cellStyle name="Total 9 3 11" xfId="12585" xr:uid="{8D8970D9-4B11-4FC1-B53B-85B6FFF7309F}"/>
    <cellStyle name="Total 9 3 2" xfId="7737" xr:uid="{A5F952D7-E63E-494A-82D2-94888D22062D}"/>
    <cellStyle name="Total 9 3 2 10" xfId="17357" xr:uid="{62122C4C-E89A-4A17-A255-B774830CCAB4}"/>
    <cellStyle name="Total 9 3 2 2" xfId="9377" xr:uid="{8A453AB1-964F-4D70-B2A8-7498CED347E3}"/>
    <cellStyle name="Total 9 3 2 2 2" xfId="13798" xr:uid="{3BF13CB9-F711-427C-851E-88643FC79092}"/>
    <cellStyle name="Total 9 3 2 2 3" xfId="14760" xr:uid="{860AEBA5-04CC-4BAB-8333-7F5F02977455}"/>
    <cellStyle name="Total 9 3 2 2 4" xfId="15712" xr:uid="{CA7CE5E3-B6BC-436D-B918-93B9E402DA59}"/>
    <cellStyle name="Total 9 3 2 2 5" xfId="16590" xr:uid="{6EBB303F-7ABC-4447-9941-4A96ED5E1DE6}"/>
    <cellStyle name="Total 9 3 2 2 6" xfId="17455" xr:uid="{9A9CFFA3-3818-4404-BF1F-DED304D9A967}"/>
    <cellStyle name="Total 9 3 2 2 7" xfId="18231" xr:uid="{E890A006-0BA8-4F00-9D5B-CD1CB8CD1E06}"/>
    <cellStyle name="Total 9 3 2 2 8" xfId="18988" xr:uid="{1C1054B1-8517-45FB-805F-E88584E56D62}"/>
    <cellStyle name="Total 9 3 2 3" xfId="9815" xr:uid="{6FF1C59F-8886-4851-848A-6DC4200D24D0}"/>
    <cellStyle name="Total 9 3 2 3 2" xfId="14219" xr:uid="{793EA37A-D2BA-47CD-8905-6786B9A1F9F3}"/>
    <cellStyle name="Total 9 3 2 3 3" xfId="15179" xr:uid="{BD2B5D6D-1D6F-43A4-8156-6AC5D7C7FAA6}"/>
    <cellStyle name="Total 9 3 2 3 4" xfId="16131" xr:uid="{DB5FBB9E-7091-4F62-A59E-588292126604}"/>
    <cellStyle name="Total 9 3 2 3 5" xfId="17005" xr:uid="{837433A5-D52B-4CBC-8A8A-2E46D89E96C4}"/>
    <cellStyle name="Total 9 3 2 3 6" xfId="17870" xr:uid="{FF73A8BA-0C35-4105-9E0E-41B75C09C525}"/>
    <cellStyle name="Total 9 3 2 3 7" xfId="18646" xr:uid="{AB7331A2-BFAF-4256-B8B8-CAC3DB8BE642}"/>
    <cellStyle name="Total 9 3 2 3 8" xfId="19403" xr:uid="{FD64862A-823B-43D5-987A-0AE651E7AEA4}"/>
    <cellStyle name="Total 9 3 2 4" xfId="12784" xr:uid="{9147B0B1-6F68-4687-9D60-9C4DDD40FDD6}"/>
    <cellStyle name="Total 9 3 2 5" xfId="10203" xr:uid="{D292CD6F-F241-4C26-A86D-4CBFAF51CF27}"/>
    <cellStyle name="Total 9 3 2 6" xfId="13684" xr:uid="{DEF978EF-09BC-46A6-8FFC-565AD418F4CA}"/>
    <cellStyle name="Total 9 3 2 7" xfId="14652" xr:uid="{A9BF3226-8BDD-4171-9202-77CEB559A1D6}"/>
    <cellStyle name="Total 9 3 2 8" xfId="15604" xr:uid="{F186A19D-5A6D-4FD3-837E-9D107D963B37}"/>
    <cellStyle name="Total 9 3 2 9" xfId="16489" xr:uid="{9ABA1337-696D-4296-A0C7-4941D483EF35}"/>
    <cellStyle name="Total 9 3 3" xfId="8575" xr:uid="{E43AF76A-BF22-4F69-9B1A-184C09E33CF9}"/>
    <cellStyle name="Total 9 3 3 2" xfId="13315" xr:uid="{51DF7220-324A-4D73-91DA-F6350EF26CC4}"/>
    <cellStyle name="Total 9 3 3 3" xfId="14335" xr:uid="{867E5765-A8F8-4D3B-BBA6-44FA838B7695}"/>
    <cellStyle name="Total 9 3 3 4" xfId="15295" xr:uid="{7C63A81A-D046-4E53-B130-394D32503131}"/>
    <cellStyle name="Total 9 3 3 5" xfId="16244" xr:uid="{D82ECC0C-69D2-4A81-8564-A37DA50E7D93}"/>
    <cellStyle name="Total 9 3 3 6" xfId="17117" xr:uid="{895C1756-A484-4DBE-9B44-FC0136046A05}"/>
    <cellStyle name="Total 9 3 3 7" xfId="17982" xr:uid="{EA09DA51-594A-47CF-8ED4-99C85E95B00C}"/>
    <cellStyle name="Total 9 3 3 8" xfId="18758" xr:uid="{B7F8658B-A9ED-4988-9636-AEA51D8F1388}"/>
    <cellStyle name="Total 9 3 4" xfId="9585" xr:uid="{CD92B2E6-2F28-442F-B41E-ED646F7CDF77}"/>
    <cellStyle name="Total 9 3 4 2" xfId="13989" xr:uid="{DD11AB2B-CC0C-4A54-A72D-A5A5D04FEE0D}"/>
    <cellStyle name="Total 9 3 4 3" xfId="14949" xr:uid="{15850C9E-9EC9-4BE7-BB6E-0E22A90C8FC2}"/>
    <cellStyle name="Total 9 3 4 4" xfId="15901" xr:uid="{84D18C97-34C6-4D27-B941-50760EF41352}"/>
    <cellStyle name="Total 9 3 4 5" xfId="16775" xr:uid="{6EA932B4-41E9-4196-A67B-6CB2B88AD466}"/>
    <cellStyle name="Total 9 3 4 6" xfId="17640" xr:uid="{EE1EC0C9-0AA7-4960-8DD2-1D5B0B4DC522}"/>
    <cellStyle name="Total 9 3 4 7" xfId="18416" xr:uid="{9D40E735-2881-4ADE-84DB-B1632E7CCC1C}"/>
    <cellStyle name="Total 9 3 4 8" xfId="19173" xr:uid="{9A0651CD-D19D-4309-B646-9F5CF32AE7CA}"/>
    <cellStyle name="Total 9 3 5" xfId="12286" xr:uid="{A09E8D5C-CC39-4B8A-BAC0-6844F1CFB97C}"/>
    <cellStyle name="Total 9 3 6" xfId="10579" xr:uid="{35386D02-DE2C-4B1F-99B0-2FAF54B14EE6}"/>
    <cellStyle name="Total 9 3 7" xfId="12917" xr:uid="{CB4C9A3C-AF2C-4C59-AD90-C53AAF206BD8}"/>
    <cellStyle name="Total 9 3 8" xfId="10067" xr:uid="{CBF27B07-72D4-4893-A342-128E2608493A}"/>
    <cellStyle name="Total 9 3 9" xfId="12149" xr:uid="{EFD24CAC-8E2A-4324-B8CB-B5B77319FC72}"/>
    <cellStyle name="Total 9 4" xfId="7199" xr:uid="{41E4E1BA-3D36-4161-B0EF-E2CF7392A458}"/>
    <cellStyle name="Total 9 4 10" xfId="15530" xr:uid="{722E5766-3712-4A1C-AD78-708E1A75900F}"/>
    <cellStyle name="Total 9 4 2" xfId="8839" xr:uid="{F572FA4E-1099-4718-B83D-5446B7E9917A}"/>
    <cellStyle name="Total 9 4 2 2" xfId="13498" xr:uid="{580ABA96-BD49-43AD-B72D-5EFC57A2AD6C}"/>
    <cellStyle name="Total 9 4 2 3" xfId="14504" xr:uid="{9347E0F8-B3EC-4245-BBA1-C905702FCF2D}"/>
    <cellStyle name="Total 9 4 2 4" xfId="15462" xr:uid="{D3939AAA-8B5A-4417-AFC6-906B06FD8EEF}"/>
    <cellStyle name="Total 9 4 2 5" xfId="16388" xr:uid="{73CBBFE2-C257-42D6-A9AC-E5FAAF5B94A5}"/>
    <cellStyle name="Total 9 4 2 6" xfId="17259" xr:uid="{4B58E39C-8ABE-4527-8B82-992EAB30000D}"/>
    <cellStyle name="Total 9 4 2 7" xfId="18106" xr:uid="{AD5292D4-B266-424C-9B3E-A6AB8AEBBF4D}"/>
    <cellStyle name="Total 9 4 2 8" xfId="18873" xr:uid="{7516B95C-1999-4E6C-BB7A-F1C65E0CE984}"/>
    <cellStyle name="Total 9 4 3" xfId="9700" xr:uid="{E2FC83C6-6D7F-4111-9E18-F36FEAD5D795}"/>
    <cellStyle name="Total 9 4 3 2" xfId="14104" xr:uid="{E6703863-8346-4F75-9DD7-5B9761D5147B}"/>
    <cellStyle name="Total 9 4 3 3" xfId="15064" xr:uid="{BAA75437-6C7F-40C9-9C84-F5EEA300A6B7}"/>
    <cellStyle name="Total 9 4 3 4" xfId="16016" xr:uid="{42526736-22DE-43CF-91F3-063D167DFBD5}"/>
    <cellStyle name="Total 9 4 3 5" xfId="16890" xr:uid="{5E57E729-90E5-484F-ABD6-DF9453D551D4}"/>
    <cellStyle name="Total 9 4 3 6" xfId="17755" xr:uid="{AFA7F1DE-C832-42D6-B783-F9A473291E1A}"/>
    <cellStyle name="Total 9 4 3 7" xfId="18531" xr:uid="{903DB44B-6F63-49D4-AE21-4299F55E1211}"/>
    <cellStyle name="Total 9 4 3 8" xfId="19288" xr:uid="{560D6CEC-217C-4748-BB0E-C42D0EC0651D}"/>
    <cellStyle name="Total 9 4 4" xfId="12469" xr:uid="{E98FBB13-13A7-4482-844E-C8C4204B2669}"/>
    <cellStyle name="Total 9 4 5" xfId="10410" xr:uid="{8E6EABCC-2B92-4D95-A825-8764857EB233}"/>
    <cellStyle name="Total 9 4 6" xfId="11724" xr:uid="{7985FF1C-87F1-41F2-964F-00A195E57354}"/>
    <cellStyle name="Total 9 4 7" xfId="11062" xr:uid="{32E6E7FF-C300-4A68-8BA1-ABD0EECBA90A}"/>
    <cellStyle name="Total 9 4 8" xfId="13585" xr:uid="{9641F696-F97B-407A-BAA5-6AD23093A086}"/>
    <cellStyle name="Total 9 4 9" xfId="14573" xr:uid="{4CAD7A33-8744-423F-8B4C-92149868B21C}"/>
    <cellStyle name="Total 9 5" xfId="8041" xr:uid="{FFCB62BC-3B3D-44C0-B9DF-0BB6FC03946C}"/>
    <cellStyle name="Total 9 5 2" xfId="13009" xr:uid="{B2E9AD31-DA56-4587-AE96-B1347B7E8BC2}"/>
    <cellStyle name="Total 9 5 3" xfId="9983" xr:uid="{6706D109-AF71-438C-A40D-FFD28630C3BD}"/>
    <cellStyle name="Total 9 5 4" xfId="11823" xr:uid="{11FCB0E7-20F1-4D29-9253-F9808034D070}"/>
    <cellStyle name="Total 9 5 5" xfId="10982" xr:uid="{3C4DFCE6-2951-4260-BC47-A4E7BE465A83}"/>
    <cellStyle name="Total 9 5 6" xfId="12881" xr:uid="{11FCF028-B6D8-45AC-81DE-629C27346FE5}"/>
    <cellStyle name="Total 9 5 7" xfId="10099" xr:uid="{C122CB36-C350-42D3-951E-F8C1118A6182}"/>
    <cellStyle name="Total 9 5 8" xfId="13696" xr:uid="{E8B09A40-3E4C-4747-807D-740E31778C4D}"/>
    <cellStyle name="Total 9 6" xfId="9472" xr:uid="{A41EFE41-13A2-40CA-ABFA-B8173A8529A4}"/>
    <cellStyle name="Total 9 6 2" xfId="13876" xr:uid="{0C9E9BEF-83A9-4869-8727-F8D59D45C42B}"/>
    <cellStyle name="Total 9 6 3" xfId="14836" xr:uid="{E4754AE2-1048-4238-9C42-BA400C4E426B}"/>
    <cellStyle name="Total 9 6 4" xfId="15788" xr:uid="{70917F9F-5FCE-430E-BA63-F07CDF25BEC2}"/>
    <cellStyle name="Total 9 6 5" xfId="16662" xr:uid="{2A00B320-CE7C-4504-987C-CED3672D0E37}"/>
    <cellStyle name="Total 9 6 6" xfId="17527" xr:uid="{181E6E7D-7319-4559-A662-529943EA255B}"/>
    <cellStyle name="Total 9 6 7" xfId="18303" xr:uid="{BBDBAB6B-74F8-439A-9E30-6E51FFEAC986}"/>
    <cellStyle name="Total 9 6 8" xfId="19060" xr:uid="{3DA243D0-EC8B-4EA1-B5E0-FE05B505F576}"/>
    <cellStyle name="Total 9 7" xfId="11936" xr:uid="{999B96B1-1FAC-4E1C-B42F-F47FF9953D92}"/>
    <cellStyle name="Total 9 8" xfId="10881" xr:uid="{3977209C-8952-470C-9890-ACD6A9A336EE}"/>
    <cellStyle name="Total 9 9" xfId="11543" xr:uid="{758A28C8-6772-41BB-945B-CAD2633480BB}"/>
    <cellStyle name="V?st." xfId="6823" xr:uid="{57FF103B-8FFD-48C8-B119-1E322C51C0FD}"/>
    <cellStyle name="Warning Text 10" xfId="6314" xr:uid="{50FFDBC4-8652-480A-8F20-7A2214066D58}"/>
    <cellStyle name="Warning Text 11" xfId="6315" xr:uid="{51BE0373-29E4-4AD7-980B-E4BF1017E451}"/>
    <cellStyle name="Warning Text 12" xfId="6316" xr:uid="{7D3D18EB-7752-4DDD-94AA-1911B9C22888}"/>
    <cellStyle name="Warning Text 13" xfId="6317" xr:uid="{DEF49A27-10B7-4D1F-945A-14DDA03651C7}"/>
    <cellStyle name="Warning Text 14" xfId="6318" xr:uid="{F1418F64-C21F-4998-9D4C-8014FF5C6403}"/>
    <cellStyle name="Warning Text 15" xfId="6319" xr:uid="{4B6E2DB8-FC98-4C8D-98FB-A5A0911825CA}"/>
    <cellStyle name="Warning Text 16" xfId="6320" xr:uid="{F2AE3827-0874-4744-AF8B-0F80170F4E7C}"/>
    <cellStyle name="Warning Text 17" xfId="6321" xr:uid="{2AF1CE71-6A24-4A19-9FD9-6E7723703900}"/>
    <cellStyle name="Warning Text 18" xfId="6322" xr:uid="{D4045DED-B766-4727-AF9D-866DD65955E1}"/>
    <cellStyle name="Warning Text 18 2" xfId="6323" xr:uid="{C41DE236-EA7C-4DFB-8772-798D0F5C9421}"/>
    <cellStyle name="Warning Text 19" xfId="6324" xr:uid="{D3AFB019-3B4A-4ACB-A1FA-FD6AB687AD94}"/>
    <cellStyle name="Warning Text 19 2" xfId="6325" xr:uid="{8EE2A9E4-11EF-4609-B2D5-4DDF9EB8B388}"/>
    <cellStyle name="Warning Text 2" xfId="6326" xr:uid="{E0D36650-3998-45C2-BE3D-D69C8879EF65}"/>
    <cellStyle name="Warning Text 2 2" xfId="6327" xr:uid="{4CF5D5BC-3534-4BED-A107-8D3360755786}"/>
    <cellStyle name="Warning Text 3" xfId="6328" xr:uid="{E56176A6-B97F-4416-9E14-3E2B90E73B6A}"/>
    <cellStyle name="Warning Text 4" xfId="6329" xr:uid="{50939E1D-EE48-4BD4-9D8E-75BA848852D7}"/>
    <cellStyle name="Warning Text 5" xfId="6330" xr:uid="{AC73E49B-B143-4E74-A962-DB3D46D4A1E7}"/>
    <cellStyle name="Warning Text 6" xfId="6331" xr:uid="{47F1768B-79B5-4387-8D17-A265543E720C}"/>
    <cellStyle name="Warning Text 7" xfId="6332" xr:uid="{B7471BB6-5603-40D1-A344-4672CDDE5AE8}"/>
    <cellStyle name="Warning Text 8" xfId="6333" xr:uid="{00103B9D-6B46-4ACD-A280-EECCC55503D3}"/>
    <cellStyle name="Warning Text 9" xfId="6334" xr:uid="{7020E56B-E722-42DD-A0E5-7164DBFE8660}"/>
  </cellStyles>
  <dxfs count="0"/>
  <tableStyles count="0" defaultTableStyle="TableStyleMedium2" defaultPivotStyle="PivotStyleLight16"/>
  <colors>
    <mruColors>
      <color rgb="FFCCCCFF"/>
      <color rgb="FFFF7C8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1.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M_Ivita_Lazdina\Downloads\2021.05._PP48_Kr&#363;&#353;u_rekonstrukt&#299;v&#257;_&#311;irur&#291;ija%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Nozares%20budzeta%20planosanas%20departaments\Ivita\ONKO_PLANS\210621_papild\ONKO_HIPE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ete%20Baskevica\Desktop\Darbi\Kolonoskopija\08113%20parrekins_Ane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M_Ivita_Lazdina\Downloads\2021.05._PP65_Kons&#299;lijs_hronisko_pacientu_nodo&#353;anai_pec_18_gadiem%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ūts rekonstruktīvā ķirurģija"/>
      <sheetName val="Tarifi"/>
    </sheetNames>
    <sheetDataSet>
      <sheetData sheetId="0">
        <row r="5">
          <cell r="D5" t="str">
            <v>Papildu finansējuma nodrošinājums krūts rekonstruktīvajai ķirurģijai</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atojums"/>
      <sheetName val="Tarifs"/>
      <sheetName val="Finansu ietekme"/>
    </sheetNames>
    <sheetDataSet>
      <sheetData sheetId="0"/>
      <sheetData sheetId="1">
        <row r="11">
          <cell r="B11" t="str">
            <v>Hipertermiska intraperitoneāla ķīmijterapija</v>
          </cell>
          <cell r="Q11">
            <v>1787.9</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_tarifs"/>
      <sheetName val="Ārstn.pers."/>
      <sheetName val="Ārstn.līdz."/>
      <sheetName val="Ierīce"/>
    </sheetNames>
    <sheetDataSet>
      <sheetData sheetId="0" refreshError="1"/>
      <sheetData sheetId="1" refreshError="1">
        <row r="3">
          <cell r="F3">
            <v>120</v>
          </cell>
        </row>
        <row r="4">
          <cell r="F4">
            <v>120</v>
          </cell>
        </row>
      </sheetData>
      <sheetData sheetId="2" refreshError="1">
        <row r="12">
          <cell r="H12">
            <v>39.5</v>
          </cell>
        </row>
        <row r="25">
          <cell r="H25">
            <v>21.52</v>
          </cell>
        </row>
      </sheetData>
      <sheetData sheetId="3" refreshError="1">
        <row r="18">
          <cell r="H18">
            <v>7.1149114173228361</v>
          </cell>
        </row>
        <row r="38">
          <cell r="F38">
            <v>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atojums"/>
      <sheetName val="Tarifs"/>
      <sheetName val="Finanšu ietekme"/>
    </sheetNames>
    <sheetDataSet>
      <sheetData sheetId="0"/>
      <sheetData sheetId="1">
        <row r="11">
          <cell r="S11">
            <v>97.929999999999993</v>
          </cell>
          <cell r="T11">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4A060-384A-4DCD-B988-FED60E6C4FB0}">
  <dimension ref="A1:S1173"/>
  <sheetViews>
    <sheetView tabSelected="1" topLeftCell="D1" zoomScale="70" zoomScaleNormal="70" workbookViewId="0">
      <pane ySplit="4" topLeftCell="A5" activePane="bottomLeft" state="frozen"/>
      <selection pane="bottomLeft" activeCell="N7" sqref="N7"/>
    </sheetView>
  </sheetViews>
  <sheetFormatPr defaultColWidth="8.7265625" defaultRowHeight="14.5"/>
  <cols>
    <col min="1" max="1" width="16.453125" style="2" customWidth="1"/>
    <col min="2" max="2" width="11.81640625" style="2" customWidth="1"/>
    <col min="3" max="3" width="39.453125" customWidth="1"/>
    <col min="4" max="4" width="43.26953125" customWidth="1"/>
    <col min="5" max="5" width="31.1796875" customWidth="1"/>
    <col min="6" max="6" width="26.7265625" customWidth="1"/>
    <col min="7" max="7" width="17" customWidth="1"/>
    <col min="8" max="8" width="19.1796875" customWidth="1"/>
    <col min="9" max="9" width="14.1796875" customWidth="1"/>
    <col min="10" max="10" width="17.7265625" style="182" customWidth="1"/>
    <col min="11" max="11" width="20.1796875" customWidth="1"/>
    <col min="12" max="12" width="18.54296875" customWidth="1"/>
    <col min="13" max="13" width="13.26953125" customWidth="1"/>
    <col min="14" max="14" width="16.81640625" customWidth="1"/>
    <col min="15" max="15" width="21.81640625" customWidth="1"/>
    <col min="16" max="16" width="14.453125" customWidth="1"/>
    <col min="17" max="17" width="30.54296875" customWidth="1"/>
    <col min="18" max="18" width="20.54296875" style="1" customWidth="1"/>
  </cols>
  <sheetData>
    <row r="1" spans="1:19" s="1070" customFormat="1" ht="18">
      <c r="A1" s="2"/>
      <c r="B1" s="2"/>
      <c r="J1" s="1074"/>
      <c r="O1" s="1893" t="s">
        <v>1648</v>
      </c>
      <c r="P1" s="1893"/>
      <c r="Q1" s="1893"/>
      <c r="R1" s="1893"/>
    </row>
    <row r="2" spans="1:19" s="1070" customFormat="1" ht="18">
      <c r="A2" s="2"/>
      <c r="B2" s="2"/>
      <c r="J2" s="1074"/>
      <c r="N2" s="1894" t="s">
        <v>1649</v>
      </c>
      <c r="O2" s="1894"/>
      <c r="P2" s="1894"/>
      <c r="Q2" s="1894"/>
      <c r="R2" s="1894"/>
    </row>
    <row r="3" spans="1:19" s="1070" customFormat="1">
      <c r="A3" s="2"/>
      <c r="B3" s="2"/>
      <c r="J3" s="1074"/>
      <c r="R3" s="71"/>
    </row>
    <row r="4" spans="1:19" ht="23" thickBot="1">
      <c r="A4" s="1456" t="s">
        <v>412</v>
      </c>
      <c r="B4" s="1457"/>
      <c r="C4" s="1457"/>
      <c r="D4" s="1457"/>
      <c r="E4" s="1457"/>
      <c r="F4" s="1458"/>
      <c r="G4" s="1458"/>
      <c r="H4" s="1458"/>
      <c r="I4" s="1458"/>
      <c r="J4" s="1458"/>
      <c r="K4" s="1458"/>
      <c r="L4" s="1458"/>
      <c r="M4" s="1458"/>
      <c r="N4" s="1458"/>
      <c r="O4" s="1458"/>
      <c r="P4" s="1458"/>
      <c r="Q4" s="1458"/>
      <c r="R4" s="1458"/>
      <c r="S4" s="71"/>
    </row>
    <row r="5" spans="1:19" s="86" customFormat="1" ht="45.75" customHeight="1" thickBot="1">
      <c r="A5" s="1485" t="s">
        <v>316</v>
      </c>
      <c r="B5" s="1486"/>
      <c r="C5" s="1487" t="s">
        <v>317</v>
      </c>
      <c r="D5" s="1488"/>
      <c r="E5" s="1489"/>
      <c r="F5" s="264"/>
      <c r="G5" s="265"/>
      <c r="H5" s="265"/>
      <c r="I5" s="265"/>
      <c r="J5" s="265"/>
      <c r="K5" s="265"/>
      <c r="L5" s="265"/>
      <c r="M5" s="265"/>
      <c r="N5" s="265"/>
      <c r="O5" s="267"/>
      <c r="P5" s="267"/>
      <c r="Q5" s="267"/>
      <c r="R5" s="267"/>
    </row>
    <row r="6" spans="1:19" s="86" customFormat="1" ht="51" customHeight="1" thickBot="1">
      <c r="A6" s="1481" t="s">
        <v>315</v>
      </c>
      <c r="B6" s="1482"/>
      <c r="C6" s="1487" t="s">
        <v>318</v>
      </c>
      <c r="D6" s="1488"/>
      <c r="E6" s="1489"/>
      <c r="F6" s="264"/>
      <c r="G6" s="265"/>
      <c r="H6" s="265"/>
      <c r="I6" s="265"/>
      <c r="J6" s="265"/>
      <c r="K6" s="265"/>
      <c r="L6" s="265"/>
      <c r="M6" s="265"/>
      <c r="N6" s="265"/>
      <c r="O6" s="267"/>
      <c r="P6" s="267"/>
      <c r="Q6" s="267"/>
      <c r="R6" s="267"/>
    </row>
    <row r="7" spans="1:19" s="86" customFormat="1" ht="193" customHeight="1" thickBot="1">
      <c r="A7" s="1483"/>
      <c r="B7" s="1484"/>
      <c r="C7" s="1490" t="s">
        <v>1640</v>
      </c>
      <c r="D7" s="1488"/>
      <c r="E7" s="1489"/>
      <c r="F7" s="264"/>
      <c r="G7" s="265"/>
      <c r="H7" s="265"/>
      <c r="I7" s="265"/>
      <c r="J7" s="1248"/>
      <c r="K7" s="1248"/>
      <c r="L7" s="1248"/>
      <c r="M7" s="1248"/>
      <c r="N7" s="1248"/>
      <c r="O7" s="267"/>
      <c r="P7" s="1323"/>
      <c r="Q7" s="1323"/>
      <c r="R7" s="267"/>
    </row>
    <row r="8" spans="1:19" s="86" customFormat="1" ht="45.75" customHeight="1" thickBot="1">
      <c r="A8" s="1398"/>
      <c r="B8" s="1399"/>
      <c r="C8" s="1399"/>
      <c r="D8" s="1399"/>
      <c r="E8" s="1400"/>
      <c r="F8" s="1424" t="s">
        <v>121</v>
      </c>
      <c r="G8" s="1465" t="s">
        <v>122</v>
      </c>
      <c r="H8" s="1466"/>
      <c r="I8" s="1467"/>
      <c r="J8" s="1466" t="s">
        <v>406</v>
      </c>
      <c r="K8" s="1466"/>
      <c r="L8" s="1466"/>
      <c r="M8" s="1466"/>
      <c r="N8" s="1466"/>
      <c r="O8" s="1427" t="s">
        <v>30</v>
      </c>
      <c r="P8" s="1531" t="s">
        <v>29</v>
      </c>
      <c r="Q8" s="1531" t="s">
        <v>407</v>
      </c>
      <c r="R8" s="1534" t="s">
        <v>62</v>
      </c>
    </row>
    <row r="9" spans="1:19" ht="33.75" customHeight="1" thickBot="1">
      <c r="A9" s="138"/>
      <c r="B9" s="138"/>
      <c r="C9" s="1244" t="s">
        <v>0</v>
      </c>
      <c r="D9" s="1244" t="s">
        <v>28</v>
      </c>
      <c r="E9" s="1245" t="s">
        <v>912</v>
      </c>
      <c r="F9" s="1425"/>
      <c r="G9" s="1430" t="s">
        <v>123</v>
      </c>
      <c r="H9" s="1432" t="s">
        <v>124</v>
      </c>
      <c r="I9" s="1432" t="s">
        <v>125</v>
      </c>
      <c r="J9" s="1525" t="s">
        <v>124</v>
      </c>
      <c r="K9" s="1525" t="s">
        <v>125</v>
      </c>
      <c r="L9" s="1525" t="s">
        <v>126</v>
      </c>
      <c r="M9" s="1525" t="s">
        <v>127</v>
      </c>
      <c r="N9" s="1528" t="s">
        <v>128</v>
      </c>
      <c r="O9" s="1428"/>
      <c r="P9" s="1532"/>
      <c r="Q9" s="1532"/>
      <c r="R9" s="1535"/>
    </row>
    <row r="10" spans="1:19" ht="28" customHeight="1" thickBot="1">
      <c r="A10" s="262"/>
      <c r="B10" s="263" t="s">
        <v>173</v>
      </c>
      <c r="C10" s="254"/>
      <c r="D10" s="261"/>
      <c r="E10" s="266"/>
      <c r="F10" s="1426"/>
      <c r="G10" s="1431"/>
      <c r="H10" s="1433"/>
      <c r="I10" s="1433"/>
      <c r="J10" s="1433"/>
      <c r="K10" s="1433"/>
      <c r="L10" s="1433"/>
      <c r="M10" s="1433"/>
      <c r="N10" s="1529"/>
      <c r="O10" s="1429"/>
      <c r="P10" s="1533"/>
      <c r="Q10" s="1533"/>
      <c r="R10" s="1536"/>
    </row>
    <row r="11" spans="1:19" s="86" customFormat="1" ht="28" customHeight="1">
      <c r="A11" s="1462" t="s">
        <v>405</v>
      </c>
      <c r="B11" s="1463"/>
      <c r="C11" s="1463"/>
      <c r="D11" s="1463"/>
      <c r="E11" s="1464"/>
      <c r="F11" s="270"/>
      <c r="G11" s="271">
        <f t="shared" ref="G11:L11" si="0">SUM(G21:G145)</f>
        <v>3512277</v>
      </c>
      <c r="H11" s="271">
        <f t="shared" si="0"/>
        <v>2485006</v>
      </c>
      <c r="I11" s="271">
        <f t="shared" si="0"/>
        <v>1942250</v>
      </c>
      <c r="J11" s="271">
        <f t="shared" si="0"/>
        <v>102558655</v>
      </c>
      <c r="K11" s="271">
        <f>SUM(K21:K145)</f>
        <v>127482942</v>
      </c>
      <c r="L11" s="271">
        <f t="shared" si="0"/>
        <v>142867171</v>
      </c>
      <c r="M11" s="271"/>
      <c r="N11" s="271">
        <f>SUM(N21:N145)</f>
        <v>142167171</v>
      </c>
      <c r="O11" s="1530"/>
      <c r="P11" s="1530"/>
      <c r="Q11" s="1530"/>
      <c r="R11" s="1530"/>
    </row>
    <row r="12" spans="1:19" s="86" customFormat="1" ht="28" customHeight="1">
      <c r="A12" s="1396"/>
      <c r="B12" s="1396"/>
      <c r="C12" s="1396"/>
      <c r="D12" s="1396"/>
      <c r="E12" s="1396"/>
      <c r="F12" s="59" t="s">
        <v>411</v>
      </c>
      <c r="G12" s="1246">
        <f>G69+G71+G72+G78</f>
        <v>0</v>
      </c>
      <c r="H12" s="1246">
        <f t="shared" ref="H12:N12" si="1">H69+H71+H72+H78</f>
        <v>0</v>
      </c>
      <c r="I12" s="1246">
        <f t="shared" si="1"/>
        <v>0</v>
      </c>
      <c r="J12" s="1246">
        <f t="shared" si="1"/>
        <v>61962413</v>
      </c>
      <c r="K12" s="1246">
        <f t="shared" si="1"/>
        <v>84240243</v>
      </c>
      <c r="L12" s="1246">
        <f t="shared" si="1"/>
        <v>98852135</v>
      </c>
      <c r="M12" s="1246">
        <f t="shared" si="1"/>
        <v>0</v>
      </c>
      <c r="N12" s="1246">
        <f t="shared" si="1"/>
        <v>98852135</v>
      </c>
      <c r="O12" s="1530"/>
      <c r="P12" s="1530"/>
      <c r="Q12" s="1530"/>
      <c r="R12" s="1530"/>
    </row>
    <row r="13" spans="1:19" s="1070" customFormat="1" ht="28" customHeight="1">
      <c r="A13" s="1397"/>
      <c r="B13" s="1397"/>
      <c r="C13" s="1397"/>
      <c r="D13" s="1397"/>
      <c r="E13" s="1397"/>
      <c r="F13" s="59" t="s">
        <v>158</v>
      </c>
      <c r="G13" s="1246">
        <f>G26</f>
        <v>0</v>
      </c>
      <c r="H13" s="1246">
        <f t="shared" ref="H13:N13" si="2">H26</f>
        <v>0</v>
      </c>
      <c r="I13" s="1246">
        <f t="shared" si="2"/>
        <v>0</v>
      </c>
      <c r="J13" s="1246">
        <f t="shared" si="2"/>
        <v>646017</v>
      </c>
      <c r="K13" s="1246">
        <f t="shared" si="2"/>
        <v>525754</v>
      </c>
      <c r="L13" s="1246">
        <f t="shared" si="2"/>
        <v>525754</v>
      </c>
      <c r="M13" s="1246">
        <f t="shared" si="2"/>
        <v>0</v>
      </c>
      <c r="N13" s="1246">
        <f t="shared" si="2"/>
        <v>525754</v>
      </c>
      <c r="O13" s="1530"/>
      <c r="P13" s="1530"/>
      <c r="Q13" s="1530"/>
      <c r="R13" s="1530"/>
    </row>
    <row r="14" spans="1:19" s="86" customFormat="1" ht="28" customHeight="1">
      <c r="A14" s="1397"/>
      <c r="B14" s="1397"/>
      <c r="C14" s="1397"/>
      <c r="D14" s="1397"/>
      <c r="E14" s="1397"/>
      <c r="F14" s="1164" t="s">
        <v>1406</v>
      </c>
      <c r="G14" s="1246">
        <f>G27+G31</f>
        <v>0</v>
      </c>
      <c r="H14" s="1246">
        <f t="shared" ref="H14:N14" si="3">H27+H31</f>
        <v>0</v>
      </c>
      <c r="I14" s="1246">
        <f t="shared" si="3"/>
        <v>0</v>
      </c>
      <c r="J14" s="1246">
        <f t="shared" si="3"/>
        <v>727391</v>
      </c>
      <c r="K14" s="1246">
        <f t="shared" si="3"/>
        <v>727391</v>
      </c>
      <c r="L14" s="1246">
        <f t="shared" si="3"/>
        <v>727391</v>
      </c>
      <c r="M14" s="1246">
        <f t="shared" si="3"/>
        <v>0</v>
      </c>
      <c r="N14" s="1246">
        <f t="shared" si="3"/>
        <v>727391</v>
      </c>
      <c r="O14" s="1530"/>
      <c r="P14" s="1530"/>
      <c r="Q14" s="1530"/>
      <c r="R14" s="1530"/>
    </row>
    <row r="15" spans="1:19" s="86" customFormat="1" ht="33" customHeight="1">
      <c r="A15" s="1397"/>
      <c r="B15" s="1397"/>
      <c r="C15" s="1397"/>
      <c r="D15" s="1397"/>
      <c r="E15" s="1397"/>
      <c r="F15" s="1164" t="s">
        <v>409</v>
      </c>
      <c r="G15" s="1246">
        <f>G40+G41+G51+G58+G62+G76+G85+G89+G90+G95+G96+G98+G101+G103+G105+G125+G64</f>
        <v>0</v>
      </c>
      <c r="H15" s="1246">
        <f>H40+H41+H51+H58+H62+H76+H85+H89+H90+H95+H96+H98+H101+H103+H105+H125+H64</f>
        <v>0</v>
      </c>
      <c r="I15" s="1246">
        <f>I40+I41+I51+I58+I62+I76+I85+I89+I90+I95+I96+I98+I101+I103+I105+I125+I64</f>
        <v>0</v>
      </c>
      <c r="J15" s="1246">
        <f>J40+J41+J51+J58+J62+J76+J85+J89+J90+J95+J96+J98+J101+J103+J105+J125+J64+J60</f>
        <v>20742806</v>
      </c>
      <c r="K15" s="1246">
        <f t="shared" ref="K15:N15" si="4">K40+K41+K51+K58+K62+K76+K85+K89+K90+K95+K96+K98+K101+K103+K105+K125+K64+K60</f>
        <v>21142161</v>
      </c>
      <c r="L15" s="1246">
        <f t="shared" si="4"/>
        <v>21655567</v>
      </c>
      <c r="M15" s="1246">
        <f t="shared" si="4"/>
        <v>0</v>
      </c>
      <c r="N15" s="1246">
        <f t="shared" si="4"/>
        <v>21655567</v>
      </c>
      <c r="O15" s="1530"/>
      <c r="P15" s="1530"/>
      <c r="Q15" s="1530"/>
      <c r="R15" s="1530"/>
    </row>
    <row r="16" spans="1:19" s="86" customFormat="1" ht="28" customHeight="1">
      <c r="A16" s="1397"/>
      <c r="B16" s="1397"/>
      <c r="C16" s="1397"/>
      <c r="D16" s="1397"/>
      <c r="E16" s="1397"/>
      <c r="F16" s="1164" t="s">
        <v>410</v>
      </c>
      <c r="G16" s="1246">
        <f>G56</f>
        <v>0</v>
      </c>
      <c r="H16" s="1246">
        <f t="shared" ref="H16:N16" si="5">H56</f>
        <v>0</v>
      </c>
      <c r="I16" s="1246">
        <f t="shared" si="5"/>
        <v>0</v>
      </c>
      <c r="J16" s="1246">
        <f>J56</f>
        <v>1571150</v>
      </c>
      <c r="K16" s="1246">
        <f t="shared" si="5"/>
        <v>1571150</v>
      </c>
      <c r="L16" s="1246">
        <f t="shared" si="5"/>
        <v>1571150</v>
      </c>
      <c r="M16" s="1246">
        <f t="shared" si="5"/>
        <v>0</v>
      </c>
      <c r="N16" s="1246">
        <f t="shared" si="5"/>
        <v>1571150</v>
      </c>
      <c r="O16" s="1530"/>
      <c r="P16" s="1530"/>
      <c r="Q16" s="1530"/>
      <c r="R16" s="1530"/>
    </row>
    <row r="17" spans="1:18" s="86" customFormat="1" ht="39" customHeight="1">
      <c r="A17" s="1397"/>
      <c r="B17" s="1397"/>
      <c r="C17" s="1397"/>
      <c r="D17" s="1397"/>
      <c r="E17" s="1397"/>
      <c r="F17" s="1164" t="s">
        <v>157</v>
      </c>
      <c r="G17" s="1246">
        <f>G57+G63+G66+G67+G68+G79+G80+G92+G94+G97+G99+G102+G106+G126+G127+G77+G104+G53+G54+G55</f>
        <v>0</v>
      </c>
      <c r="H17" s="1246">
        <f>H57+H63+H66+H67+H68+H79+H80+H92+H94+H97+H99+H102+H106+H126+H127+H77+H104+H53+H54+H55</f>
        <v>0</v>
      </c>
      <c r="I17" s="1246">
        <f>I57+I63+I66+I67+I68+I79+I80+I92+I94+I97+I99+I102+I106+I126+I127+I77+I104+I53+I54+I55</f>
        <v>0</v>
      </c>
      <c r="J17" s="1246">
        <f>J57+J63+J66+J67+J68+J79+J80+J92+J94+J97+J99+J102+J106+J126+J127+J77+J104+J53+J54+J55+J61</f>
        <v>15229066</v>
      </c>
      <c r="K17" s="1246">
        <f t="shared" ref="K17:M17" si="6">K57+K63+K66+K67+K68+K79+K80+K92+K94+K97+K99+K102+K106+K126+K127+K77+K104+K53+K54+K55+K61</f>
        <v>15886891</v>
      </c>
      <c r="L17" s="1246">
        <f t="shared" si="6"/>
        <v>17325002</v>
      </c>
      <c r="M17" s="1246">
        <f t="shared" si="6"/>
        <v>0</v>
      </c>
      <c r="N17" s="1246">
        <f>N57+N63+N66+N67+N68+N79+N80+N92+N94+N97+N99+N102+N106+N126+N127+N77+N104+N53+N54+N55+N61</f>
        <v>16625002</v>
      </c>
      <c r="O17" s="1530"/>
      <c r="P17" s="1530"/>
      <c r="Q17" s="1530"/>
      <c r="R17" s="1530"/>
    </row>
    <row r="18" spans="1:18" s="86" customFormat="1" ht="28" customHeight="1">
      <c r="A18" s="1397"/>
      <c r="B18" s="1397"/>
      <c r="C18" s="1397"/>
      <c r="D18" s="1397"/>
      <c r="E18" s="1397"/>
      <c r="F18" s="1164" t="s">
        <v>1405</v>
      </c>
      <c r="G18" s="1246">
        <f>G35+G43+G44+G45</f>
        <v>0</v>
      </c>
      <c r="H18" s="1246">
        <f>H35+H43+H44+H45</f>
        <v>0</v>
      </c>
      <c r="I18" s="1246">
        <f>I35+I43+I44+I45</f>
        <v>0</v>
      </c>
      <c r="J18" s="1246">
        <f>J35+J43+J44+J45+J132+J133+J134+J135</f>
        <v>1500000</v>
      </c>
      <c r="K18" s="1246">
        <f t="shared" ref="K18:N18" si="7">K35+K43+K44+K45+K132+K133+K134+K135</f>
        <v>3120000</v>
      </c>
      <c r="L18" s="1246">
        <f t="shared" si="7"/>
        <v>1890000</v>
      </c>
      <c r="M18" s="1246">
        <f t="shared" si="7"/>
        <v>0</v>
      </c>
      <c r="N18" s="1246">
        <f t="shared" si="7"/>
        <v>1890000</v>
      </c>
      <c r="O18" s="1530"/>
      <c r="P18" s="1530"/>
      <c r="Q18" s="1530"/>
      <c r="R18" s="1530"/>
    </row>
    <row r="19" spans="1:18" s="86" customFormat="1" ht="28" customHeight="1">
      <c r="A19" s="1397"/>
      <c r="B19" s="1397"/>
      <c r="C19" s="1397"/>
      <c r="D19" s="1397"/>
      <c r="E19" s="1397"/>
      <c r="F19" s="1069" t="s">
        <v>129</v>
      </c>
      <c r="G19" s="1246">
        <f>G22+G21+G23+G24+G25+G28+G30</f>
        <v>16851</v>
      </c>
      <c r="H19" s="1246">
        <f t="shared" ref="H19:N19" si="8">H22+H21+H23+H24+H25+H28+H30</f>
        <v>16851</v>
      </c>
      <c r="I19" s="1246">
        <f t="shared" si="8"/>
        <v>16851</v>
      </c>
      <c r="J19" s="1246">
        <f t="shared" si="8"/>
        <v>179812</v>
      </c>
      <c r="K19" s="1246">
        <f t="shared" si="8"/>
        <v>269352</v>
      </c>
      <c r="L19" s="1246">
        <f t="shared" si="8"/>
        <v>320172</v>
      </c>
      <c r="M19" s="1246">
        <f t="shared" si="8"/>
        <v>0</v>
      </c>
      <c r="N19" s="1246">
        <f t="shared" si="8"/>
        <v>320172</v>
      </c>
      <c r="O19" s="1530"/>
      <c r="P19" s="1530"/>
      <c r="Q19" s="1530"/>
      <c r="R19" s="1530"/>
    </row>
    <row r="20" spans="1:18" s="86" customFormat="1" ht="28" customHeight="1" thickBot="1">
      <c r="A20" s="1397"/>
      <c r="B20" s="1397"/>
      <c r="C20" s="1397"/>
      <c r="D20" s="1397"/>
      <c r="E20" s="1397"/>
      <c r="F20" s="1242" t="s">
        <v>1350</v>
      </c>
      <c r="G20" s="1247">
        <f t="shared" ref="G20:I20" si="9">G48+G60+G108+G109+G110+G111+G112+G113+G115+G116+G117+G118+G119+G120+G121+G122+G123+G141+G142</f>
        <v>3495426</v>
      </c>
      <c r="H20" s="1247">
        <f t="shared" si="9"/>
        <v>2468155</v>
      </c>
      <c r="I20" s="1247">
        <f t="shared" si="9"/>
        <v>1925399</v>
      </c>
      <c r="J20" s="1247">
        <f>J48+J108+J109+J110+J111+J112+J113+J115+J116+J117+J118+J119+J120+J121+J122+J123+J141+J142</f>
        <v>0</v>
      </c>
      <c r="K20" s="1247">
        <f t="shared" ref="K20:N20" si="10">K48+K108+K109+K110+K111+K112+K113+K115+K116+K117+K118+K119+K120+K121+K122+K123+K141+K142</f>
        <v>0</v>
      </c>
      <c r="L20" s="1247">
        <f t="shared" si="10"/>
        <v>0</v>
      </c>
      <c r="M20" s="1247">
        <f t="shared" si="10"/>
        <v>0</v>
      </c>
      <c r="N20" s="1247">
        <f t="shared" si="10"/>
        <v>0</v>
      </c>
      <c r="O20" s="1530"/>
      <c r="P20" s="1530"/>
      <c r="Q20" s="1530"/>
      <c r="R20" s="1530"/>
    </row>
    <row r="21" spans="1:18" ht="56.5" customHeight="1">
      <c r="A21" s="1409" t="s">
        <v>119</v>
      </c>
      <c r="B21" s="31" t="s">
        <v>4</v>
      </c>
      <c r="C21" s="133" t="s">
        <v>143</v>
      </c>
      <c r="D21" s="12" t="s">
        <v>100</v>
      </c>
      <c r="E21" s="1243" t="s">
        <v>101</v>
      </c>
      <c r="F21" s="108" t="s">
        <v>129</v>
      </c>
      <c r="G21" s="43"/>
      <c r="H21" s="43"/>
      <c r="I21" s="43"/>
      <c r="J21" s="165">
        <v>28333</v>
      </c>
      <c r="K21" s="165">
        <v>28333</v>
      </c>
      <c r="L21" s="165">
        <v>28333</v>
      </c>
      <c r="M21" s="40"/>
      <c r="N21" s="165">
        <v>28333</v>
      </c>
      <c r="O21" s="43" t="s">
        <v>11</v>
      </c>
      <c r="P21" s="43" t="s">
        <v>396</v>
      </c>
      <c r="Q21" s="284" t="s">
        <v>131</v>
      </c>
      <c r="R21" s="272" t="s">
        <v>105</v>
      </c>
    </row>
    <row r="22" spans="1:18" ht="40.5" customHeight="1">
      <c r="A22" s="1410"/>
      <c r="B22" s="32" t="s">
        <v>5</v>
      </c>
      <c r="C22" s="68" t="s">
        <v>1625</v>
      </c>
      <c r="D22" s="1165" t="s">
        <v>1624</v>
      </c>
      <c r="E22" s="23" t="s">
        <v>102</v>
      </c>
      <c r="F22" s="46" t="s">
        <v>129</v>
      </c>
      <c r="G22" s="104">
        <v>16851</v>
      </c>
      <c r="H22" s="104">
        <v>16851</v>
      </c>
      <c r="I22" s="104">
        <v>16851</v>
      </c>
      <c r="J22" s="1072"/>
      <c r="K22" s="1072"/>
      <c r="L22" s="1072"/>
      <c r="M22" s="5"/>
      <c r="N22" s="1072"/>
      <c r="O22" s="1167" t="s">
        <v>11</v>
      </c>
      <c r="P22" s="1167" t="s">
        <v>21</v>
      </c>
      <c r="Q22" s="269" t="s">
        <v>50</v>
      </c>
      <c r="R22" s="186" t="s">
        <v>177</v>
      </c>
    </row>
    <row r="23" spans="1:18" s="24" customFormat="1" ht="52" customHeight="1">
      <c r="A23" s="1410"/>
      <c r="B23" s="32" t="s">
        <v>6</v>
      </c>
      <c r="C23" s="116" t="s">
        <v>326</v>
      </c>
      <c r="D23" s="1165" t="s">
        <v>327</v>
      </c>
      <c r="E23" s="137" t="s">
        <v>179</v>
      </c>
      <c r="F23" s="46" t="s">
        <v>129</v>
      </c>
      <c r="G23" s="1167"/>
      <c r="H23" s="1167"/>
      <c r="I23" s="1167"/>
      <c r="J23" s="1072"/>
      <c r="K23" s="1072">
        <v>36300</v>
      </c>
      <c r="L23" s="1072">
        <v>36300</v>
      </c>
      <c r="M23" s="5"/>
      <c r="N23" s="1072">
        <v>36300</v>
      </c>
      <c r="O23" s="217" t="s">
        <v>11</v>
      </c>
      <c r="P23" s="217" t="s">
        <v>64</v>
      </c>
      <c r="Q23" s="185" t="s">
        <v>131</v>
      </c>
      <c r="R23" s="186" t="s">
        <v>159</v>
      </c>
    </row>
    <row r="24" spans="1:18" s="24" customFormat="1" ht="51.65" customHeight="1">
      <c r="A24" s="1410"/>
      <c r="B24" s="32" t="s">
        <v>7</v>
      </c>
      <c r="C24" s="116" t="s">
        <v>65</v>
      </c>
      <c r="D24" s="1165" t="s">
        <v>179</v>
      </c>
      <c r="E24" s="23" t="s">
        <v>178</v>
      </c>
      <c r="F24" s="46" t="s">
        <v>129</v>
      </c>
      <c r="G24" s="1167"/>
      <c r="H24" s="1167"/>
      <c r="I24" s="1167"/>
      <c r="J24" s="1072"/>
      <c r="K24" s="1072">
        <v>50820</v>
      </c>
      <c r="L24" s="1072">
        <v>50820</v>
      </c>
      <c r="M24" s="5"/>
      <c r="N24" s="1072">
        <v>50820</v>
      </c>
      <c r="O24" s="217" t="s">
        <v>11</v>
      </c>
      <c r="P24" s="217" t="s">
        <v>80</v>
      </c>
      <c r="Q24" s="185" t="s">
        <v>131</v>
      </c>
      <c r="R24" s="186" t="s">
        <v>159</v>
      </c>
    </row>
    <row r="25" spans="1:18" s="24" customFormat="1" ht="41.15" customHeight="1">
      <c r="A25" s="1410"/>
      <c r="B25" s="1390" t="s">
        <v>25</v>
      </c>
      <c r="C25" s="1448" t="s">
        <v>63</v>
      </c>
      <c r="D25" s="46" t="s">
        <v>103</v>
      </c>
      <c r="E25" s="23" t="s">
        <v>328</v>
      </c>
      <c r="F25" s="46" t="s">
        <v>129</v>
      </c>
      <c r="G25" s="1167"/>
      <c r="H25" s="1167"/>
      <c r="I25" s="1167"/>
      <c r="J25" s="1072">
        <v>48400</v>
      </c>
      <c r="K25" s="1072">
        <v>0</v>
      </c>
      <c r="L25" s="1072">
        <v>50820</v>
      </c>
      <c r="M25" s="1072"/>
      <c r="N25" s="1072">
        <v>50820</v>
      </c>
      <c r="O25" s="217" t="s">
        <v>11</v>
      </c>
      <c r="P25" s="217" t="s">
        <v>64</v>
      </c>
      <c r="Q25" s="185" t="s">
        <v>131</v>
      </c>
      <c r="R25" s="186" t="s">
        <v>51</v>
      </c>
    </row>
    <row r="26" spans="1:18" ht="60" customHeight="1">
      <c r="A26" s="1410"/>
      <c r="B26" s="1391"/>
      <c r="C26" s="1449"/>
      <c r="D26" s="47" t="s">
        <v>1626</v>
      </c>
      <c r="E26" s="81" t="s">
        <v>329</v>
      </c>
      <c r="F26" s="48" t="s">
        <v>158</v>
      </c>
      <c r="G26" s="220"/>
      <c r="H26" s="220"/>
      <c r="I26" s="220"/>
      <c r="J26" s="167">
        <v>646017</v>
      </c>
      <c r="K26" s="167">
        <v>525754</v>
      </c>
      <c r="L26" s="167">
        <v>525754</v>
      </c>
      <c r="M26" s="167"/>
      <c r="N26" s="167">
        <v>525754</v>
      </c>
      <c r="O26" s="1163" t="s">
        <v>32</v>
      </c>
      <c r="P26" s="1167" t="s">
        <v>104</v>
      </c>
      <c r="Q26" s="185" t="s">
        <v>131</v>
      </c>
      <c r="R26" s="187" t="s">
        <v>105</v>
      </c>
    </row>
    <row r="27" spans="1:18" s="49" customFormat="1" ht="48.65" customHeight="1">
      <c r="A27" s="1410"/>
      <c r="B27" s="1391"/>
      <c r="C27" s="1449"/>
      <c r="D27" s="99" t="s">
        <v>139</v>
      </c>
      <c r="E27" s="99" t="s">
        <v>330</v>
      </c>
      <c r="F27" s="1006" t="s">
        <v>397</v>
      </c>
      <c r="G27" s="1007"/>
      <c r="H27" s="1007"/>
      <c r="I27" s="1007"/>
      <c r="J27" s="222">
        <v>207391</v>
      </c>
      <c r="K27" s="222">
        <v>207391</v>
      </c>
      <c r="L27" s="222">
        <v>207391</v>
      </c>
      <c r="M27" s="136"/>
      <c r="N27" s="222">
        <v>207391</v>
      </c>
      <c r="O27" s="80" t="s">
        <v>14</v>
      </c>
      <c r="P27" s="211" t="s">
        <v>1641</v>
      </c>
      <c r="Q27" s="1008" t="s">
        <v>131</v>
      </c>
      <c r="R27" s="187" t="s">
        <v>105</v>
      </c>
    </row>
    <row r="28" spans="1:18" s="49" customFormat="1" ht="48.65" customHeight="1" thickBot="1">
      <c r="A28" s="1411"/>
      <c r="B28" s="1169" t="s">
        <v>1377</v>
      </c>
      <c r="C28" s="1170" t="s">
        <v>1380</v>
      </c>
      <c r="D28" s="1170" t="s">
        <v>1381</v>
      </c>
      <c r="E28" s="1170" t="s">
        <v>1382</v>
      </c>
      <c r="F28" s="1171" t="s">
        <v>129</v>
      </c>
      <c r="G28" s="1172"/>
      <c r="H28" s="1172"/>
      <c r="I28" s="1172"/>
      <c r="J28" s="168"/>
      <c r="K28" s="168">
        <v>50820</v>
      </c>
      <c r="L28" s="168">
        <v>50820</v>
      </c>
      <c r="M28" s="169"/>
      <c r="N28" s="168">
        <v>50820</v>
      </c>
      <c r="O28" s="214" t="s">
        <v>11</v>
      </c>
      <c r="P28" s="178" t="s">
        <v>182</v>
      </c>
      <c r="Q28" s="1173" t="s">
        <v>131</v>
      </c>
      <c r="R28" s="1174" t="s">
        <v>159</v>
      </c>
    </row>
    <row r="29" spans="1:18" ht="16" thickBot="1">
      <c r="A29" s="249"/>
      <c r="B29" s="250" t="s">
        <v>174</v>
      </c>
      <c r="C29" s="250"/>
      <c r="D29" s="251"/>
      <c r="E29" s="252"/>
      <c r="F29" s="44"/>
      <c r="G29" s="18"/>
      <c r="H29" s="18"/>
      <c r="I29" s="18"/>
      <c r="J29" s="244"/>
      <c r="K29" s="244"/>
      <c r="L29" s="244"/>
      <c r="M29" s="244"/>
      <c r="N29" s="244"/>
      <c r="O29" s="45"/>
      <c r="P29" s="45"/>
      <c r="Q29" s="285"/>
      <c r="R29" s="45"/>
    </row>
    <row r="30" spans="1:18" ht="47.25" customHeight="1">
      <c r="A30" s="1404" t="s">
        <v>183</v>
      </c>
      <c r="B30" s="31" t="s">
        <v>9</v>
      </c>
      <c r="C30" s="87" t="s">
        <v>180</v>
      </c>
      <c r="D30" s="38" t="s">
        <v>331</v>
      </c>
      <c r="E30" s="12" t="s">
        <v>323</v>
      </c>
      <c r="F30" s="108" t="s">
        <v>129</v>
      </c>
      <c r="G30" s="19"/>
      <c r="H30" s="19"/>
      <c r="I30" s="19"/>
      <c r="J30" s="170">
        <v>103079</v>
      </c>
      <c r="K30" s="170">
        <v>103079</v>
      </c>
      <c r="L30" s="170">
        <v>103079</v>
      </c>
      <c r="M30" s="171"/>
      <c r="N30" s="170">
        <v>103079</v>
      </c>
      <c r="O30" s="36" t="s">
        <v>11</v>
      </c>
      <c r="P30" s="36" t="s">
        <v>21</v>
      </c>
      <c r="Q30" s="40" t="s">
        <v>131</v>
      </c>
      <c r="R30" s="272" t="s">
        <v>181</v>
      </c>
    </row>
    <row r="31" spans="1:18" ht="46.5" customHeight="1">
      <c r="A31" s="1405"/>
      <c r="B31" s="32" t="s">
        <v>8</v>
      </c>
      <c r="C31" s="90" t="s">
        <v>140</v>
      </c>
      <c r="D31" s="90" t="s">
        <v>332</v>
      </c>
      <c r="E31" s="90" t="s">
        <v>333</v>
      </c>
      <c r="F31" s="289" t="s">
        <v>408</v>
      </c>
      <c r="G31" s="105"/>
      <c r="H31" s="105"/>
      <c r="I31" s="105"/>
      <c r="J31" s="166">
        <v>520000</v>
      </c>
      <c r="K31" s="166">
        <v>520000</v>
      </c>
      <c r="L31" s="166">
        <v>520000</v>
      </c>
      <c r="M31" s="5"/>
      <c r="N31" s="166">
        <v>520000</v>
      </c>
      <c r="O31" s="105" t="s">
        <v>14</v>
      </c>
      <c r="P31" s="105" t="s">
        <v>190</v>
      </c>
      <c r="Q31" s="5" t="s">
        <v>131</v>
      </c>
      <c r="R31" s="275" t="s">
        <v>181</v>
      </c>
    </row>
    <row r="32" spans="1:18" s="86" customFormat="1" ht="49.5" customHeight="1">
      <c r="A32" s="1405"/>
      <c r="B32" s="32" t="s">
        <v>10</v>
      </c>
      <c r="C32" s="90" t="s">
        <v>170</v>
      </c>
      <c r="D32" s="90" t="s">
        <v>171</v>
      </c>
      <c r="E32" s="90" t="s">
        <v>82</v>
      </c>
      <c r="F32" s="107"/>
      <c r="G32" s="105"/>
      <c r="H32" s="105"/>
      <c r="I32" s="105"/>
      <c r="J32" s="166"/>
      <c r="K32" s="166"/>
      <c r="L32" s="166"/>
      <c r="M32" s="5"/>
      <c r="N32" s="166"/>
      <c r="O32" s="105" t="s">
        <v>11</v>
      </c>
      <c r="P32" s="105" t="s">
        <v>395</v>
      </c>
      <c r="Q32" s="5" t="s">
        <v>24</v>
      </c>
      <c r="R32" s="275" t="s">
        <v>1393</v>
      </c>
    </row>
    <row r="33" spans="1:18" s="86" customFormat="1" ht="50.25" customHeight="1">
      <c r="A33" s="1405"/>
      <c r="B33" s="32" t="s">
        <v>71</v>
      </c>
      <c r="C33" s="90" t="s">
        <v>172</v>
      </c>
      <c r="D33" s="90" t="s">
        <v>79</v>
      </c>
      <c r="E33" s="89"/>
      <c r="F33" s="107"/>
      <c r="G33" s="105"/>
      <c r="H33" s="105"/>
      <c r="I33" s="105"/>
      <c r="J33" s="166"/>
      <c r="K33" s="166"/>
      <c r="L33" s="166"/>
      <c r="M33" s="5"/>
      <c r="N33" s="166"/>
      <c r="O33" s="105" t="s">
        <v>11</v>
      </c>
      <c r="P33" s="105" t="s">
        <v>184</v>
      </c>
      <c r="Q33" s="5" t="s">
        <v>24</v>
      </c>
      <c r="R33" s="275" t="s">
        <v>1394</v>
      </c>
    </row>
    <row r="34" spans="1:18" ht="48.75" customHeight="1">
      <c r="A34" s="1405"/>
      <c r="B34" s="41" t="s">
        <v>72</v>
      </c>
      <c r="C34" s="34" t="s">
        <v>185</v>
      </c>
      <c r="D34" s="34" t="s">
        <v>1627</v>
      </c>
      <c r="E34" s="82" t="s">
        <v>1628</v>
      </c>
      <c r="F34" s="1134"/>
      <c r="G34" s="35"/>
      <c r="H34" s="35"/>
      <c r="I34" s="35"/>
      <c r="J34" s="166"/>
      <c r="K34" s="5"/>
      <c r="L34" s="5"/>
      <c r="M34" s="5"/>
      <c r="N34" s="5"/>
      <c r="O34" s="35" t="s">
        <v>14</v>
      </c>
      <c r="P34" s="35" t="s">
        <v>81</v>
      </c>
      <c r="Q34" s="5" t="s">
        <v>26</v>
      </c>
      <c r="R34" s="275" t="s">
        <v>1393</v>
      </c>
    </row>
    <row r="35" spans="1:18" s="3" customFormat="1" ht="240.5" customHeight="1">
      <c r="A35" s="1405"/>
      <c r="B35" s="32" t="s">
        <v>120</v>
      </c>
      <c r="C35" s="90" t="s">
        <v>352</v>
      </c>
      <c r="D35" s="90" t="s">
        <v>353</v>
      </c>
      <c r="E35" s="90" t="s">
        <v>1630</v>
      </c>
      <c r="F35" s="1068" t="s">
        <v>1405</v>
      </c>
      <c r="G35" s="35"/>
      <c r="H35" s="35"/>
      <c r="I35" s="35"/>
      <c r="J35" s="166">
        <v>120000</v>
      </c>
      <c r="K35" s="166">
        <v>60000</v>
      </c>
      <c r="L35" s="166"/>
      <c r="M35" s="5"/>
      <c r="N35" s="166"/>
      <c r="O35" s="35" t="s">
        <v>14</v>
      </c>
      <c r="P35" s="35" t="s">
        <v>1629</v>
      </c>
      <c r="Q35" s="188" t="s">
        <v>131</v>
      </c>
      <c r="R35" s="275" t="s">
        <v>996</v>
      </c>
    </row>
    <row r="36" spans="1:18" s="4" customFormat="1" ht="54" customHeight="1">
      <c r="A36" s="1405"/>
      <c r="B36" s="1406" t="s">
        <v>163</v>
      </c>
      <c r="C36" s="1395" t="s">
        <v>186</v>
      </c>
      <c r="D36" s="33" t="s">
        <v>23</v>
      </c>
      <c r="E36" s="82" t="s">
        <v>135</v>
      </c>
      <c r="F36" s="34"/>
      <c r="G36" s="35"/>
      <c r="H36" s="35"/>
      <c r="I36" s="35"/>
      <c r="J36" s="5"/>
      <c r="K36" s="5"/>
      <c r="L36" s="5"/>
      <c r="M36" s="5"/>
      <c r="N36" s="5"/>
      <c r="O36" s="35" t="s">
        <v>11</v>
      </c>
      <c r="P36" s="35" t="s">
        <v>190</v>
      </c>
      <c r="Q36" s="188" t="s">
        <v>24</v>
      </c>
      <c r="R36" s="275" t="s">
        <v>1393</v>
      </c>
    </row>
    <row r="37" spans="1:18" s="4" customFormat="1" ht="49.5" customHeight="1">
      <c r="A37" s="1405"/>
      <c r="B37" s="1406"/>
      <c r="C37" s="1395"/>
      <c r="D37" s="33" t="s">
        <v>334</v>
      </c>
      <c r="E37" s="33" t="s">
        <v>335</v>
      </c>
      <c r="F37" s="34"/>
      <c r="G37" s="35"/>
      <c r="H37" s="35"/>
      <c r="I37" s="35"/>
      <c r="J37" s="5"/>
      <c r="K37" s="5"/>
      <c r="L37" s="5"/>
      <c r="M37" s="5"/>
      <c r="N37" s="5"/>
      <c r="O37" s="35" t="s">
        <v>11</v>
      </c>
      <c r="P37" s="35" t="s">
        <v>14</v>
      </c>
      <c r="Q37" s="188" t="s">
        <v>24</v>
      </c>
      <c r="R37" s="275" t="s">
        <v>187</v>
      </c>
    </row>
    <row r="38" spans="1:18" s="4" customFormat="1" ht="48" customHeight="1">
      <c r="A38" s="1405"/>
      <c r="B38" s="32" t="s">
        <v>164</v>
      </c>
      <c r="C38" s="34" t="s">
        <v>188</v>
      </c>
      <c r="D38" s="33" t="s">
        <v>1631</v>
      </c>
      <c r="E38" s="33" t="s">
        <v>336</v>
      </c>
      <c r="F38" s="34"/>
      <c r="G38" s="35"/>
      <c r="H38" s="35"/>
      <c r="I38" s="35"/>
      <c r="J38" s="5"/>
      <c r="K38" s="5"/>
      <c r="L38" s="5"/>
      <c r="M38" s="5"/>
      <c r="N38" s="5"/>
      <c r="O38" s="35" t="s">
        <v>14</v>
      </c>
      <c r="P38" s="35" t="s">
        <v>189</v>
      </c>
      <c r="Q38" s="188" t="s">
        <v>24</v>
      </c>
      <c r="R38" s="275" t="s">
        <v>187</v>
      </c>
    </row>
    <row r="39" spans="1:18" s="4" customFormat="1" ht="48" customHeight="1">
      <c r="A39" s="1405"/>
      <c r="B39" s="32" t="s">
        <v>165</v>
      </c>
      <c r="C39" s="23" t="s">
        <v>22</v>
      </c>
      <c r="D39" s="33" t="s">
        <v>27</v>
      </c>
      <c r="E39" s="33" t="s">
        <v>1632</v>
      </c>
      <c r="F39" s="35"/>
      <c r="G39" s="35"/>
      <c r="H39" s="35"/>
      <c r="I39" s="35"/>
      <c r="J39" s="5"/>
      <c r="K39" s="5"/>
      <c r="L39" s="5"/>
      <c r="M39" s="5"/>
      <c r="N39" s="5"/>
      <c r="O39" s="151" t="s">
        <v>14</v>
      </c>
      <c r="P39" s="152" t="s">
        <v>191</v>
      </c>
      <c r="Q39" s="5" t="s">
        <v>24</v>
      </c>
      <c r="R39" s="276" t="s">
        <v>1393</v>
      </c>
    </row>
    <row r="40" spans="1:18" s="4" customFormat="1" ht="64.5" customHeight="1" thickBot="1">
      <c r="A40" s="1405"/>
      <c r="B40" s="154" t="s">
        <v>354</v>
      </c>
      <c r="C40" s="99" t="s">
        <v>355</v>
      </c>
      <c r="D40" s="99" t="s">
        <v>346</v>
      </c>
      <c r="E40" s="141" t="s">
        <v>49</v>
      </c>
      <c r="F40" s="192" t="s">
        <v>409</v>
      </c>
      <c r="G40" s="221"/>
      <c r="H40" s="221"/>
      <c r="I40" s="221"/>
      <c r="J40" s="136">
        <v>53621</v>
      </c>
      <c r="K40" s="136">
        <v>53621</v>
      </c>
      <c r="L40" s="136">
        <v>53621</v>
      </c>
      <c r="M40" s="136"/>
      <c r="N40" s="136">
        <v>53621</v>
      </c>
      <c r="O40" s="142" t="s">
        <v>14</v>
      </c>
      <c r="P40" s="50" t="s">
        <v>198</v>
      </c>
      <c r="Q40" s="136" t="s">
        <v>131</v>
      </c>
      <c r="R40" s="187" t="s">
        <v>181</v>
      </c>
    </row>
    <row r="41" spans="1:18" ht="68.25" customHeight="1">
      <c r="A41" s="1413" t="s">
        <v>167</v>
      </c>
      <c r="B41" s="195" t="s">
        <v>12</v>
      </c>
      <c r="C41" s="12" t="s">
        <v>161</v>
      </c>
      <c r="D41" s="12" t="s">
        <v>162</v>
      </c>
      <c r="E41" s="189" t="s">
        <v>160</v>
      </c>
      <c r="F41" s="158" t="s">
        <v>409</v>
      </c>
      <c r="G41" s="19"/>
      <c r="H41" s="19"/>
      <c r="I41" s="19"/>
      <c r="J41" s="170">
        <v>225549</v>
      </c>
      <c r="K41" s="170">
        <v>710073</v>
      </c>
      <c r="L41" s="170">
        <v>1194596</v>
      </c>
      <c r="M41" s="171"/>
      <c r="N41" s="170">
        <v>1194596</v>
      </c>
      <c r="O41" s="159" t="s">
        <v>14</v>
      </c>
      <c r="P41" s="159" t="s">
        <v>198</v>
      </c>
      <c r="Q41" s="159" t="s">
        <v>131</v>
      </c>
      <c r="R41" s="272" t="s">
        <v>181</v>
      </c>
    </row>
    <row r="42" spans="1:18" ht="54" customHeight="1" thickBot="1">
      <c r="A42" s="1414"/>
      <c r="B42" s="1175" t="s">
        <v>13</v>
      </c>
      <c r="C42" s="1176" t="s">
        <v>1395</v>
      </c>
      <c r="D42" s="1170" t="s">
        <v>1396</v>
      </c>
      <c r="E42" s="1170" t="s">
        <v>1605</v>
      </c>
      <c r="F42" s="1177"/>
      <c r="G42" s="15"/>
      <c r="H42" s="15"/>
      <c r="I42" s="15"/>
      <c r="J42" s="178"/>
      <c r="K42" s="178"/>
      <c r="L42" s="178"/>
      <c r="M42" s="178"/>
      <c r="N42" s="178"/>
      <c r="O42" s="15" t="s">
        <v>14</v>
      </c>
      <c r="P42" s="190" t="s">
        <v>1606</v>
      </c>
      <c r="Q42" s="196" t="s">
        <v>24</v>
      </c>
      <c r="R42" s="277" t="s">
        <v>1394</v>
      </c>
    </row>
    <row r="43" spans="1:18" ht="51" customHeight="1">
      <c r="A43" s="1522" t="s">
        <v>168</v>
      </c>
      <c r="B43" s="996" t="s">
        <v>15</v>
      </c>
      <c r="C43" s="1048" t="s">
        <v>337</v>
      </c>
      <c r="D43" s="1049" t="s">
        <v>341</v>
      </c>
      <c r="E43" s="1050" t="s">
        <v>1633</v>
      </c>
      <c r="F43" s="1025" t="s">
        <v>694</v>
      </c>
      <c r="G43" s="40"/>
      <c r="H43" s="40"/>
      <c r="I43" s="40"/>
      <c r="J43" s="165">
        <v>200000</v>
      </c>
      <c r="K43" s="165">
        <v>200000</v>
      </c>
      <c r="L43" s="165">
        <v>100000</v>
      </c>
      <c r="M43" s="40"/>
      <c r="N43" s="165">
        <v>100000</v>
      </c>
      <c r="O43" s="40" t="s">
        <v>14</v>
      </c>
      <c r="P43" s="1051" t="s">
        <v>38</v>
      </c>
      <c r="Q43" s="1051" t="s">
        <v>131</v>
      </c>
      <c r="R43" s="272" t="s">
        <v>181</v>
      </c>
    </row>
    <row r="44" spans="1:18" s="3" customFormat="1" ht="48.75" customHeight="1">
      <c r="A44" s="1402"/>
      <c r="B44" s="997" t="s">
        <v>16</v>
      </c>
      <c r="C44" s="145" t="s">
        <v>340</v>
      </c>
      <c r="D44" s="51" t="s">
        <v>3</v>
      </c>
      <c r="E44" s="106" t="s">
        <v>1634</v>
      </c>
      <c r="F44" s="42" t="s">
        <v>694</v>
      </c>
      <c r="G44" s="5"/>
      <c r="H44" s="5"/>
      <c r="I44" s="5"/>
      <c r="J44" s="166">
        <v>60000</v>
      </c>
      <c r="K44" s="166">
        <v>100000</v>
      </c>
      <c r="L44" s="166">
        <v>90000</v>
      </c>
      <c r="M44" s="5"/>
      <c r="N44" s="166">
        <v>90000</v>
      </c>
      <c r="O44" s="5" t="s">
        <v>31</v>
      </c>
      <c r="P44" s="6" t="s">
        <v>34</v>
      </c>
      <c r="Q44" s="194" t="s">
        <v>131</v>
      </c>
      <c r="R44" s="278" t="s">
        <v>181</v>
      </c>
    </row>
    <row r="45" spans="1:18" ht="49.5" customHeight="1" thickBot="1">
      <c r="A45" s="1402"/>
      <c r="B45" s="997" t="s">
        <v>17</v>
      </c>
      <c r="C45" s="145" t="s">
        <v>339</v>
      </c>
      <c r="D45" s="82" t="s">
        <v>1635</v>
      </c>
      <c r="E45" s="1041" t="s">
        <v>338</v>
      </c>
      <c r="F45" s="30" t="s">
        <v>694</v>
      </c>
      <c r="G45" s="5"/>
      <c r="H45" s="5"/>
      <c r="I45" s="5"/>
      <c r="J45" s="166">
        <v>20000</v>
      </c>
      <c r="K45" s="166">
        <v>60000</v>
      </c>
      <c r="L45" s="166">
        <v>0</v>
      </c>
      <c r="M45" s="166"/>
      <c r="N45" s="166">
        <v>0</v>
      </c>
      <c r="O45" s="5" t="s">
        <v>14</v>
      </c>
      <c r="P45" s="5" t="s">
        <v>35</v>
      </c>
      <c r="Q45" s="5" t="s">
        <v>131</v>
      </c>
      <c r="R45" s="275" t="s">
        <v>996</v>
      </c>
    </row>
    <row r="46" spans="1:18" s="86" customFormat="1" ht="49.5" customHeight="1" thickBot="1">
      <c r="A46" s="1403"/>
      <c r="B46" s="1178" t="s">
        <v>1388</v>
      </c>
      <c r="C46" s="1179" t="s">
        <v>1389</v>
      </c>
      <c r="D46" s="1180" t="s">
        <v>1390</v>
      </c>
      <c r="E46" s="1176"/>
      <c r="F46" s="1181"/>
      <c r="G46" s="1182"/>
      <c r="H46" s="1182"/>
      <c r="I46" s="1182"/>
      <c r="J46" s="1183"/>
      <c r="K46" s="1183"/>
      <c r="L46" s="1183"/>
      <c r="M46" s="1183"/>
      <c r="N46" s="1183"/>
      <c r="O46" s="5" t="s">
        <v>14</v>
      </c>
      <c r="P46" s="173" t="s">
        <v>198</v>
      </c>
      <c r="Q46" s="1047" t="s">
        <v>24</v>
      </c>
      <c r="R46" s="1184" t="s">
        <v>187</v>
      </c>
    </row>
    <row r="47" spans="1:18" ht="65.25" customHeight="1">
      <c r="A47" s="1402" t="s">
        <v>169</v>
      </c>
      <c r="B47" s="1042" t="s">
        <v>18</v>
      </c>
      <c r="C47" s="1043" t="s">
        <v>166</v>
      </c>
      <c r="D47" s="1044" t="s">
        <v>1397</v>
      </c>
      <c r="E47" s="1044" t="s">
        <v>1398</v>
      </c>
      <c r="F47" s="1045"/>
      <c r="G47" s="1046"/>
      <c r="H47" s="1046"/>
      <c r="I47" s="1046"/>
      <c r="J47" s="193"/>
      <c r="K47" s="193"/>
      <c r="L47" s="193"/>
      <c r="M47" s="193"/>
      <c r="N47" s="193"/>
      <c r="O47" s="1046" t="s">
        <v>14</v>
      </c>
      <c r="P47" s="1046" t="s">
        <v>192</v>
      </c>
      <c r="Q47" s="1047" t="s">
        <v>24</v>
      </c>
      <c r="R47" s="1024" t="s">
        <v>193</v>
      </c>
    </row>
    <row r="48" spans="1:18" ht="65.5" customHeight="1">
      <c r="A48" s="1402"/>
      <c r="B48" s="997" t="s">
        <v>19</v>
      </c>
      <c r="C48" s="51" t="s">
        <v>142</v>
      </c>
      <c r="D48" s="140" t="s">
        <v>36</v>
      </c>
      <c r="E48" s="140" t="s">
        <v>1399</v>
      </c>
      <c r="F48" s="8" t="s">
        <v>1350</v>
      </c>
      <c r="G48" s="35"/>
      <c r="H48" s="35"/>
      <c r="I48" s="1367">
        <v>14326</v>
      </c>
      <c r="J48" s="5"/>
      <c r="K48" s="5"/>
      <c r="L48" s="1353"/>
      <c r="M48" s="5"/>
      <c r="N48" s="5"/>
      <c r="O48" s="35" t="s">
        <v>14</v>
      </c>
      <c r="P48" s="35" t="s">
        <v>141</v>
      </c>
      <c r="Q48" s="35" t="s">
        <v>977</v>
      </c>
      <c r="R48" s="58" t="s">
        <v>194</v>
      </c>
    </row>
    <row r="49" spans="1:18" ht="60.75" customHeight="1" thickBot="1">
      <c r="A49" s="1403"/>
      <c r="B49" s="997" t="s">
        <v>20</v>
      </c>
      <c r="C49" s="42" t="s">
        <v>1400</v>
      </c>
      <c r="D49" s="39" t="s">
        <v>1401</v>
      </c>
      <c r="E49" s="140" t="s">
        <v>1402</v>
      </c>
      <c r="F49" s="112"/>
      <c r="G49" s="35"/>
      <c r="H49" s="35"/>
      <c r="I49" s="35"/>
      <c r="J49" s="5"/>
      <c r="K49" s="5"/>
      <c r="L49" s="5"/>
      <c r="M49" s="5"/>
      <c r="N49" s="5"/>
      <c r="O49" s="35" t="s">
        <v>14</v>
      </c>
      <c r="P49" s="35" t="s">
        <v>195</v>
      </c>
      <c r="Q49" s="196" t="s">
        <v>24</v>
      </c>
      <c r="R49" s="58" t="s">
        <v>194</v>
      </c>
    </row>
    <row r="50" spans="1:18" ht="16" thickBot="1">
      <c r="A50" s="253"/>
      <c r="B50" s="254" t="s">
        <v>70</v>
      </c>
      <c r="C50" s="255"/>
      <c r="D50" s="256"/>
      <c r="E50" s="257"/>
      <c r="F50" s="130"/>
      <c r="G50" s="13"/>
      <c r="H50" s="13"/>
      <c r="I50" s="13"/>
      <c r="J50" s="245"/>
      <c r="K50" s="245"/>
      <c r="L50" s="245"/>
      <c r="M50" s="245"/>
      <c r="N50" s="245"/>
      <c r="O50" s="130"/>
      <c r="P50" s="130"/>
      <c r="Q50" s="200"/>
      <c r="R50" s="279"/>
    </row>
    <row r="51" spans="1:18" s="86" customFormat="1" ht="64.5" customHeight="1">
      <c r="A51" s="1496" t="s">
        <v>196</v>
      </c>
      <c r="B51" s="1032" t="s">
        <v>197</v>
      </c>
      <c r="C51" s="114" t="s">
        <v>155</v>
      </c>
      <c r="D51" s="114" t="s">
        <v>1639</v>
      </c>
      <c r="E51" s="115" t="s">
        <v>1596</v>
      </c>
      <c r="F51" s="28" t="s">
        <v>409</v>
      </c>
      <c r="G51" s="223"/>
      <c r="H51" s="223"/>
      <c r="I51" s="223"/>
      <c r="J51" s="172">
        <v>248248</v>
      </c>
      <c r="K51" s="172">
        <v>248248</v>
      </c>
      <c r="L51" s="172">
        <v>248248</v>
      </c>
      <c r="M51" s="173"/>
      <c r="N51" s="172">
        <v>248248</v>
      </c>
      <c r="O51" s="1034" t="s">
        <v>14</v>
      </c>
      <c r="P51" s="19" t="s">
        <v>1606</v>
      </c>
      <c r="Q51" s="19" t="s">
        <v>131</v>
      </c>
      <c r="R51" s="55" t="s">
        <v>398</v>
      </c>
    </row>
    <row r="52" spans="1:18" s="86" customFormat="1" ht="60.75" customHeight="1">
      <c r="A52" s="1497"/>
      <c r="B52" s="1029" t="s">
        <v>200</v>
      </c>
      <c r="C52" s="116" t="s">
        <v>342</v>
      </c>
      <c r="D52" s="143" t="s">
        <v>347</v>
      </c>
      <c r="E52" s="1030" t="s">
        <v>348</v>
      </c>
      <c r="F52" s="183"/>
      <c r="G52" s="224"/>
      <c r="H52" s="224"/>
      <c r="I52" s="224"/>
      <c r="J52" s="184"/>
      <c r="K52" s="184"/>
      <c r="L52" s="184"/>
      <c r="M52" s="198"/>
      <c r="N52" s="184"/>
      <c r="O52" s="1035" t="s">
        <v>14</v>
      </c>
      <c r="P52" s="217" t="s">
        <v>1593</v>
      </c>
      <c r="Q52" s="1060" t="s">
        <v>24</v>
      </c>
      <c r="R52" s="1028" t="s">
        <v>1403</v>
      </c>
    </row>
    <row r="53" spans="1:18" ht="250" customHeight="1">
      <c r="A53" s="1497"/>
      <c r="B53" s="1401" t="s">
        <v>205</v>
      </c>
      <c r="C53" s="1416" t="s">
        <v>202</v>
      </c>
      <c r="D53" s="1038" t="s">
        <v>1618</v>
      </c>
      <c r="E53" s="1030" t="s">
        <v>1597</v>
      </c>
      <c r="F53" s="1071" t="s">
        <v>157</v>
      </c>
      <c r="G53" s="217"/>
      <c r="H53" s="217"/>
      <c r="I53" s="217"/>
      <c r="J53" s="176">
        <v>3063786</v>
      </c>
      <c r="K53" s="176">
        <v>3982922</v>
      </c>
      <c r="L53" s="176">
        <v>5177799</v>
      </c>
      <c r="M53" s="181"/>
      <c r="N53" s="176">
        <v>5177799</v>
      </c>
      <c r="O53" s="1035" t="s">
        <v>14</v>
      </c>
      <c r="P53" s="217" t="s">
        <v>1620</v>
      </c>
      <c r="Q53" s="217" t="s">
        <v>131</v>
      </c>
      <c r="R53" s="1204" t="s">
        <v>398</v>
      </c>
    </row>
    <row r="54" spans="1:18" ht="48.75" customHeight="1">
      <c r="A54" s="1497"/>
      <c r="B54" s="1401"/>
      <c r="C54" s="1416"/>
      <c r="D54" s="59" t="s">
        <v>266</v>
      </c>
      <c r="E54" s="1185" t="s">
        <v>47</v>
      </c>
      <c r="F54" s="1273" t="s">
        <v>157</v>
      </c>
      <c r="G54" s="181"/>
      <c r="H54" s="181"/>
      <c r="I54" s="181"/>
      <c r="J54" s="1073">
        <v>400000</v>
      </c>
      <c r="K54" s="1073">
        <v>400000</v>
      </c>
      <c r="L54" s="1073">
        <v>200000</v>
      </c>
      <c r="M54" s="181"/>
      <c r="N54" s="176">
        <v>200000</v>
      </c>
      <c r="O54" s="1035" t="s">
        <v>14</v>
      </c>
      <c r="P54" s="217" t="s">
        <v>1621</v>
      </c>
      <c r="Q54" s="217" t="s">
        <v>131</v>
      </c>
      <c r="R54" s="1204" t="s">
        <v>398</v>
      </c>
    </row>
    <row r="55" spans="1:18" ht="50.5" customHeight="1">
      <c r="A55" s="1497"/>
      <c r="B55" s="1401"/>
      <c r="C55" s="1416"/>
      <c r="D55" s="59" t="s">
        <v>56</v>
      </c>
      <c r="E55" s="1273" t="s">
        <v>57</v>
      </c>
      <c r="F55" s="1273" t="s">
        <v>157</v>
      </c>
      <c r="G55" s="198"/>
      <c r="H55" s="198"/>
      <c r="I55" s="198"/>
      <c r="J55" s="184"/>
      <c r="K55" s="184">
        <v>300000</v>
      </c>
      <c r="L55" s="184">
        <v>700000</v>
      </c>
      <c r="M55" s="198"/>
      <c r="N55" s="184"/>
      <c r="O55" s="1035" t="s">
        <v>14</v>
      </c>
      <c r="P55" s="217" t="s">
        <v>1621</v>
      </c>
      <c r="Q55" s="217" t="s">
        <v>131</v>
      </c>
      <c r="R55" s="1204" t="s">
        <v>1251</v>
      </c>
    </row>
    <row r="56" spans="1:18" ht="39.75" customHeight="1">
      <c r="A56" s="1497"/>
      <c r="B56" s="1401"/>
      <c r="C56" s="1416"/>
      <c r="D56" s="59" t="s">
        <v>204</v>
      </c>
      <c r="E56" s="17" t="s">
        <v>203</v>
      </c>
      <c r="F56" s="17" t="s">
        <v>410</v>
      </c>
      <c r="G56" s="225"/>
      <c r="H56" s="225"/>
      <c r="I56" s="225"/>
      <c r="J56" s="176">
        <v>1571150</v>
      </c>
      <c r="K56" s="176">
        <v>1571150</v>
      </c>
      <c r="L56" s="176">
        <v>1571150</v>
      </c>
      <c r="M56" s="181"/>
      <c r="N56" s="176">
        <v>1571150</v>
      </c>
      <c r="O56" s="1035" t="s">
        <v>14</v>
      </c>
      <c r="P56" s="217" t="s">
        <v>1621</v>
      </c>
      <c r="Q56" s="1061" t="s">
        <v>131</v>
      </c>
      <c r="R56" s="1028" t="s">
        <v>400</v>
      </c>
    </row>
    <row r="57" spans="1:18" ht="51" customHeight="1">
      <c r="A57" s="1497"/>
      <c r="B57" s="1401"/>
      <c r="C57" s="1416"/>
      <c r="D57" s="1447" t="s">
        <v>201</v>
      </c>
      <c r="E57" s="1447" t="s">
        <v>1617</v>
      </c>
      <c r="F57" s="9" t="s">
        <v>157</v>
      </c>
      <c r="G57" s="1352"/>
      <c r="H57" s="1352"/>
      <c r="I57" s="1352"/>
      <c r="J57" s="184">
        <v>249</v>
      </c>
      <c r="K57" s="184">
        <v>249</v>
      </c>
      <c r="L57" s="184">
        <v>249</v>
      </c>
      <c r="M57" s="198"/>
      <c r="N57" s="198">
        <v>249</v>
      </c>
      <c r="O57" s="1442" t="s">
        <v>14</v>
      </c>
      <c r="P57" s="1541" t="s">
        <v>1593</v>
      </c>
      <c r="Q57" s="1541" t="s">
        <v>131</v>
      </c>
      <c r="R57" s="1539" t="s">
        <v>400</v>
      </c>
    </row>
    <row r="58" spans="1:18" s="69" customFormat="1" ht="51" customHeight="1">
      <c r="A58" s="1497"/>
      <c r="B58" s="1401"/>
      <c r="C58" s="1416"/>
      <c r="D58" s="1447"/>
      <c r="E58" s="1447"/>
      <c r="F58" s="9" t="s">
        <v>409</v>
      </c>
      <c r="G58" s="199"/>
      <c r="H58" s="199"/>
      <c r="I58" s="199"/>
      <c r="J58" s="184">
        <v>24013</v>
      </c>
      <c r="K58" s="184">
        <v>24013</v>
      </c>
      <c r="L58" s="184">
        <v>24013</v>
      </c>
      <c r="M58" s="198"/>
      <c r="N58" s="184">
        <v>24013</v>
      </c>
      <c r="O58" s="1443"/>
      <c r="P58" s="1437"/>
      <c r="Q58" s="1437"/>
      <c r="R58" s="1540"/>
    </row>
    <row r="59" spans="1:18" s="86" customFormat="1" ht="51" customHeight="1">
      <c r="A59" s="1497"/>
      <c r="B59" s="1031" t="s">
        <v>207</v>
      </c>
      <c r="C59" s="1038" t="s">
        <v>343</v>
      </c>
      <c r="D59" s="1039" t="s">
        <v>344</v>
      </c>
      <c r="E59" s="1039" t="s">
        <v>206</v>
      </c>
      <c r="F59" s="9"/>
      <c r="G59" s="199"/>
      <c r="H59" s="199"/>
      <c r="I59" s="199"/>
      <c r="J59" s="184"/>
      <c r="K59" s="184"/>
      <c r="L59" s="184"/>
      <c r="M59" s="198"/>
      <c r="N59" s="184"/>
      <c r="O59" s="160" t="s">
        <v>14</v>
      </c>
      <c r="P59" s="53" t="s">
        <v>1622</v>
      </c>
      <c r="Q59" s="160" t="s">
        <v>50</v>
      </c>
      <c r="R59" s="1028" t="s">
        <v>287</v>
      </c>
    </row>
    <row r="60" spans="1:18" ht="52.5" customHeight="1">
      <c r="A60" s="1497"/>
      <c r="B60" s="1521" t="s">
        <v>208</v>
      </c>
      <c r="C60" s="1520" t="s">
        <v>211</v>
      </c>
      <c r="D60" s="1520" t="s">
        <v>349</v>
      </c>
      <c r="E60" s="1417" t="s">
        <v>1636</v>
      </c>
      <c r="F60" s="1071" t="s">
        <v>409</v>
      </c>
      <c r="G60" s="217"/>
      <c r="H60" s="217"/>
      <c r="I60" s="217"/>
      <c r="J60" s="219">
        <v>838274</v>
      </c>
      <c r="K60" s="219">
        <v>748809</v>
      </c>
      <c r="L60" s="219">
        <v>752892</v>
      </c>
      <c r="M60" s="219"/>
      <c r="N60" s="219">
        <v>752892</v>
      </c>
      <c r="O60" s="1442" t="s">
        <v>21</v>
      </c>
      <c r="P60" s="1468" t="s">
        <v>324</v>
      </c>
      <c r="Q60" s="1468" t="s">
        <v>131</v>
      </c>
      <c r="R60" s="1539" t="s">
        <v>398</v>
      </c>
    </row>
    <row r="61" spans="1:18" s="1070" customFormat="1" ht="18.5" customHeight="1">
      <c r="A61" s="1497"/>
      <c r="B61" s="1476"/>
      <c r="C61" s="1452"/>
      <c r="D61" s="1452"/>
      <c r="E61" s="1418"/>
      <c r="F61" s="23" t="s">
        <v>157</v>
      </c>
      <c r="G61" s="217"/>
      <c r="H61" s="217"/>
      <c r="I61" s="217"/>
      <c r="J61" s="219">
        <v>1781332</v>
      </c>
      <c r="K61" s="219">
        <v>1591221</v>
      </c>
      <c r="L61" s="219">
        <v>1599895</v>
      </c>
      <c r="M61" s="219"/>
      <c r="N61" s="219">
        <v>1599895</v>
      </c>
      <c r="O61" s="1443"/>
      <c r="P61" s="1469"/>
      <c r="Q61" s="1469"/>
      <c r="R61" s="1540"/>
    </row>
    <row r="62" spans="1:18" ht="47.25" customHeight="1">
      <c r="A62" s="1497"/>
      <c r="B62" s="1412" t="s">
        <v>209</v>
      </c>
      <c r="C62" s="1423" t="s">
        <v>136</v>
      </c>
      <c r="D62" s="1423" t="s">
        <v>137</v>
      </c>
      <c r="E62" s="1423" t="s">
        <v>1598</v>
      </c>
      <c r="F62" s="9" t="s">
        <v>409</v>
      </c>
      <c r="G62" s="226"/>
      <c r="H62" s="226"/>
      <c r="I62" s="226"/>
      <c r="J62" s="166">
        <v>14098201</v>
      </c>
      <c r="K62" s="166">
        <v>14098201</v>
      </c>
      <c r="L62" s="166">
        <v>14098201</v>
      </c>
      <c r="M62" s="166"/>
      <c r="N62" s="166">
        <v>14098201</v>
      </c>
      <c r="O62" s="1470" t="s">
        <v>14</v>
      </c>
      <c r="P62" s="1472" t="s">
        <v>38</v>
      </c>
      <c r="Q62" s="1526" t="s">
        <v>131</v>
      </c>
      <c r="R62" s="1527" t="s">
        <v>398</v>
      </c>
    </row>
    <row r="63" spans="1:18" s="86" customFormat="1" ht="42.75" customHeight="1">
      <c r="A63" s="1497"/>
      <c r="B63" s="1412"/>
      <c r="C63" s="1423"/>
      <c r="D63" s="1423"/>
      <c r="E63" s="1423"/>
      <c r="F63" s="23" t="s">
        <v>157</v>
      </c>
      <c r="G63" s="226"/>
      <c r="H63" s="226"/>
      <c r="I63" s="226"/>
      <c r="J63" s="166">
        <v>894935</v>
      </c>
      <c r="K63" s="166">
        <v>894935</v>
      </c>
      <c r="L63" s="166">
        <v>894935</v>
      </c>
      <c r="M63" s="166"/>
      <c r="N63" s="166">
        <v>894935</v>
      </c>
      <c r="O63" s="1471"/>
      <c r="P63" s="1473"/>
      <c r="Q63" s="1526"/>
      <c r="R63" s="1527"/>
    </row>
    <row r="64" spans="1:18" ht="55.5" customHeight="1">
      <c r="A64" s="1497"/>
      <c r="B64" s="1029" t="s">
        <v>210</v>
      </c>
      <c r="C64" s="23" t="s">
        <v>117</v>
      </c>
      <c r="D64" s="23" t="s">
        <v>118</v>
      </c>
      <c r="E64" s="76" t="s">
        <v>1637</v>
      </c>
      <c r="F64" s="1071" t="s">
        <v>409</v>
      </c>
      <c r="G64" s="226"/>
      <c r="H64" s="226"/>
      <c r="I64" s="226"/>
      <c r="J64" s="1072">
        <v>725211</v>
      </c>
      <c r="K64" s="1072">
        <v>725211</v>
      </c>
      <c r="L64" s="1072">
        <v>725211</v>
      </c>
      <c r="M64" s="1072"/>
      <c r="N64" s="1072">
        <v>725211</v>
      </c>
      <c r="O64" s="151" t="s">
        <v>14</v>
      </c>
      <c r="P64" s="1027" t="s">
        <v>38</v>
      </c>
      <c r="Q64" s="217" t="s">
        <v>24</v>
      </c>
      <c r="R64" s="58" t="s">
        <v>394</v>
      </c>
    </row>
    <row r="65" spans="1:18" s="86" customFormat="1" ht="48" customHeight="1" thickBot="1">
      <c r="A65" s="1498"/>
      <c r="B65" s="1033" t="s">
        <v>399</v>
      </c>
      <c r="C65" s="202" t="s">
        <v>350</v>
      </c>
      <c r="D65" s="202" t="s">
        <v>351</v>
      </c>
      <c r="E65" s="202" t="s">
        <v>60</v>
      </c>
      <c r="F65" s="203"/>
      <c r="G65" s="227"/>
      <c r="H65" s="227"/>
      <c r="I65" s="227"/>
      <c r="J65" s="204"/>
      <c r="K65" s="204"/>
      <c r="L65" s="204"/>
      <c r="M65" s="204"/>
      <c r="N65" s="204"/>
      <c r="O65" s="37" t="s">
        <v>14</v>
      </c>
      <c r="P65" s="191" t="s">
        <v>38</v>
      </c>
      <c r="Q65" s="15" t="s">
        <v>24</v>
      </c>
      <c r="R65" s="52" t="s">
        <v>394</v>
      </c>
    </row>
    <row r="66" spans="1:18" ht="83.15" customHeight="1">
      <c r="A66" s="1499" t="s">
        <v>212</v>
      </c>
      <c r="B66" s="1197" t="s">
        <v>213</v>
      </c>
      <c r="C66" s="1003" t="s">
        <v>40</v>
      </c>
      <c r="D66" s="1003" t="s">
        <v>1616</v>
      </c>
      <c r="E66" s="1003" t="s">
        <v>1391</v>
      </c>
      <c r="F66" s="1198" t="s">
        <v>157</v>
      </c>
      <c r="G66" s="171"/>
      <c r="H66" s="171"/>
      <c r="I66" s="171"/>
      <c r="J66" s="170">
        <v>698324</v>
      </c>
      <c r="K66" s="170">
        <v>698324</v>
      </c>
      <c r="L66" s="170">
        <v>698324</v>
      </c>
      <c r="M66" s="170"/>
      <c r="N66" s="170">
        <v>698324</v>
      </c>
      <c r="O66" s="205" t="s">
        <v>14</v>
      </c>
      <c r="P66" s="171" t="s">
        <v>38</v>
      </c>
      <c r="Q66" s="205" t="s">
        <v>131</v>
      </c>
      <c r="R66" s="1199" t="s">
        <v>398</v>
      </c>
    </row>
    <row r="67" spans="1:18" s="182" customFormat="1" ht="67.5" customHeight="1">
      <c r="A67" s="1499"/>
      <c r="B67" s="1063" t="s">
        <v>215</v>
      </c>
      <c r="C67" s="1062" t="s">
        <v>216</v>
      </c>
      <c r="D67" s="1193" t="s">
        <v>1455</v>
      </c>
      <c r="E67" s="1193" t="s">
        <v>1456</v>
      </c>
      <c r="F67" s="1041" t="s">
        <v>157</v>
      </c>
      <c r="G67" s="179"/>
      <c r="H67" s="179"/>
      <c r="I67" s="179"/>
      <c r="J67" s="219">
        <v>148194</v>
      </c>
      <c r="K67" s="219">
        <v>148194</v>
      </c>
      <c r="L67" s="219">
        <v>148194</v>
      </c>
      <c r="M67" s="174"/>
      <c r="N67" s="219">
        <v>148194</v>
      </c>
      <c r="O67" s="103" t="s">
        <v>14</v>
      </c>
      <c r="P67" s="179" t="s">
        <v>214</v>
      </c>
      <c r="Q67" s="174" t="s">
        <v>131</v>
      </c>
      <c r="R67" s="180" t="s">
        <v>398</v>
      </c>
    </row>
    <row r="68" spans="1:18" s="182" customFormat="1" ht="63" customHeight="1" thickBot="1">
      <c r="A68" s="1054"/>
      <c r="B68" s="1200" t="s">
        <v>1407</v>
      </c>
      <c r="C68" s="1201" t="s">
        <v>1408</v>
      </c>
      <c r="D68" s="695" t="s">
        <v>1409</v>
      </c>
      <c r="E68" s="695" t="s">
        <v>1410</v>
      </c>
      <c r="F68" s="1202" t="s">
        <v>157</v>
      </c>
      <c r="G68" s="178"/>
      <c r="H68" s="178"/>
      <c r="I68" s="178"/>
      <c r="J68" s="177">
        <v>35758</v>
      </c>
      <c r="K68" s="177">
        <v>35758</v>
      </c>
      <c r="L68" s="177">
        <v>35758</v>
      </c>
      <c r="M68" s="177"/>
      <c r="N68" s="177">
        <v>35758</v>
      </c>
      <c r="O68" s="214" t="s">
        <v>14</v>
      </c>
      <c r="P68" s="178" t="s">
        <v>190</v>
      </c>
      <c r="Q68" s="178" t="s">
        <v>131</v>
      </c>
      <c r="R68" s="1203" t="s">
        <v>398</v>
      </c>
    </row>
    <row r="69" spans="1:18" s="182" customFormat="1" ht="84.65" customHeight="1">
      <c r="A69" s="1512" t="s">
        <v>1383</v>
      </c>
      <c r="B69" s="1479" t="s">
        <v>217</v>
      </c>
      <c r="C69" s="1477" t="s">
        <v>345</v>
      </c>
      <c r="D69" s="1480" t="s">
        <v>1599</v>
      </c>
      <c r="E69" s="1371" t="s">
        <v>1600</v>
      </c>
      <c r="F69" s="1194" t="s">
        <v>411</v>
      </c>
      <c r="G69" s="102"/>
      <c r="H69" s="102"/>
      <c r="I69" s="102"/>
      <c r="J69" s="175">
        <v>49635545</v>
      </c>
      <c r="K69" s="175">
        <v>71720375</v>
      </c>
      <c r="L69" s="175">
        <v>86089237</v>
      </c>
      <c r="M69" s="102"/>
      <c r="N69" s="175">
        <v>86089237</v>
      </c>
      <c r="O69" s="1195" t="s">
        <v>14</v>
      </c>
      <c r="P69" s="102" t="s">
        <v>190</v>
      </c>
      <c r="Q69" s="102" t="s">
        <v>131</v>
      </c>
      <c r="R69" s="1196" t="s">
        <v>398</v>
      </c>
    </row>
    <row r="70" spans="1:18" s="144" customFormat="1" ht="119" customHeight="1">
      <c r="A70" s="1513"/>
      <c r="B70" s="1401"/>
      <c r="C70" s="1478"/>
      <c r="D70" s="1418"/>
      <c r="E70" s="8" t="s">
        <v>1601</v>
      </c>
      <c r="F70" s="8"/>
      <c r="G70" s="225"/>
      <c r="H70" s="225"/>
      <c r="I70" s="225"/>
      <c r="J70" s="176" t="s">
        <v>413</v>
      </c>
      <c r="K70" s="176" t="s">
        <v>413</v>
      </c>
      <c r="L70" s="176" t="s">
        <v>413</v>
      </c>
      <c r="M70" s="176"/>
      <c r="N70" s="176" t="s">
        <v>413</v>
      </c>
      <c r="O70" s="162" t="s">
        <v>14</v>
      </c>
      <c r="P70" s="163" t="s">
        <v>190</v>
      </c>
      <c r="Q70" s="181" t="s">
        <v>131</v>
      </c>
      <c r="R70" s="186" t="s">
        <v>398</v>
      </c>
    </row>
    <row r="71" spans="1:18" s="64" customFormat="1" ht="77.5">
      <c r="A71" s="1513"/>
      <c r="B71" s="1040" t="s">
        <v>218</v>
      </c>
      <c r="C71" s="156" t="s">
        <v>1589</v>
      </c>
      <c r="D71" s="59" t="s">
        <v>358</v>
      </c>
      <c r="E71" s="59" t="s">
        <v>1590</v>
      </c>
      <c r="F71" s="59" t="s">
        <v>411</v>
      </c>
      <c r="G71" s="62"/>
      <c r="H71" s="62"/>
      <c r="I71" s="62"/>
      <c r="J71" s="176">
        <v>2116993</v>
      </c>
      <c r="K71" s="176">
        <v>2259993</v>
      </c>
      <c r="L71" s="176">
        <v>2403023</v>
      </c>
      <c r="M71" s="181"/>
      <c r="N71" s="181">
        <v>2403023</v>
      </c>
      <c r="O71" s="162" t="s">
        <v>14</v>
      </c>
      <c r="P71" s="62" t="s">
        <v>190</v>
      </c>
      <c r="Q71" s="181" t="s">
        <v>131</v>
      </c>
      <c r="R71" s="186" t="s">
        <v>398</v>
      </c>
    </row>
    <row r="72" spans="1:18" s="64" customFormat="1" ht="63" customHeight="1">
      <c r="A72" s="1513"/>
      <c r="B72" s="1040" t="s">
        <v>219</v>
      </c>
      <c r="C72" s="156" t="s">
        <v>356</v>
      </c>
      <c r="D72" s="59" t="s">
        <v>357</v>
      </c>
      <c r="E72" s="59" t="s">
        <v>359</v>
      </c>
      <c r="F72" s="59" t="s">
        <v>411</v>
      </c>
      <c r="G72" s="62"/>
      <c r="H72" s="62"/>
      <c r="I72" s="62"/>
      <c r="J72" s="176">
        <v>8609875</v>
      </c>
      <c r="K72" s="176">
        <v>8609875</v>
      </c>
      <c r="L72" s="176">
        <v>8609875</v>
      </c>
      <c r="M72" s="181"/>
      <c r="N72" s="181">
        <v>8609875</v>
      </c>
      <c r="O72" s="162" t="s">
        <v>14</v>
      </c>
      <c r="P72" s="62" t="s">
        <v>190</v>
      </c>
      <c r="Q72" s="181" t="s">
        <v>131</v>
      </c>
      <c r="R72" s="186" t="s">
        <v>398</v>
      </c>
    </row>
    <row r="73" spans="1:18" ht="47.25" customHeight="1">
      <c r="A73" s="1513"/>
      <c r="B73" s="1401" t="s">
        <v>220</v>
      </c>
      <c r="C73" s="1394" t="s">
        <v>43</v>
      </c>
      <c r="D73" s="157" t="s">
        <v>375</v>
      </c>
      <c r="E73" s="10" t="s">
        <v>376</v>
      </c>
      <c r="F73" s="10"/>
      <c r="G73" s="163"/>
      <c r="H73" s="163"/>
      <c r="I73" s="163"/>
      <c r="J73" s="181"/>
      <c r="K73" s="181"/>
      <c r="L73" s="181"/>
      <c r="M73" s="181"/>
      <c r="N73" s="181"/>
      <c r="O73" s="1442" t="s">
        <v>14</v>
      </c>
      <c r="P73" s="1468" t="s">
        <v>42</v>
      </c>
      <c r="Q73" s="162" t="s">
        <v>24</v>
      </c>
      <c r="R73" s="20" t="s">
        <v>1404</v>
      </c>
    </row>
    <row r="74" spans="1:18" ht="62.15" customHeight="1">
      <c r="A74" s="1513"/>
      <c r="B74" s="1401"/>
      <c r="C74" s="1394"/>
      <c r="D74" s="157" t="s">
        <v>377</v>
      </c>
      <c r="E74" s="8" t="s">
        <v>378</v>
      </c>
      <c r="F74" s="8"/>
      <c r="G74" s="225"/>
      <c r="H74" s="225"/>
      <c r="I74" s="225"/>
      <c r="J74" s="181"/>
      <c r="K74" s="181"/>
      <c r="L74" s="181"/>
      <c r="M74" s="181"/>
      <c r="N74" s="181"/>
      <c r="O74" s="1443"/>
      <c r="P74" s="1469"/>
      <c r="Q74" s="162" t="s">
        <v>24</v>
      </c>
      <c r="R74" s="20" t="s">
        <v>287</v>
      </c>
    </row>
    <row r="75" spans="1:18" ht="76.5" customHeight="1">
      <c r="A75" s="1513"/>
      <c r="B75" s="1022" t="s">
        <v>221</v>
      </c>
      <c r="C75" s="157" t="s">
        <v>1602</v>
      </c>
      <c r="D75" s="157" t="s">
        <v>44</v>
      </c>
      <c r="E75" s="8" t="s">
        <v>45</v>
      </c>
      <c r="F75" s="995"/>
      <c r="G75" s="225"/>
      <c r="H75" s="225"/>
      <c r="I75" s="225"/>
      <c r="J75" s="181"/>
      <c r="K75" s="181"/>
      <c r="L75" s="181"/>
      <c r="M75" s="181"/>
      <c r="N75" s="181"/>
      <c r="O75" s="162" t="s">
        <v>14</v>
      </c>
      <c r="P75" s="163" t="s">
        <v>190</v>
      </c>
      <c r="Q75" s="162" t="s">
        <v>24</v>
      </c>
      <c r="R75" s="20" t="s">
        <v>181</v>
      </c>
    </row>
    <row r="76" spans="1:18" ht="57" customHeight="1">
      <c r="A76" s="1513"/>
      <c r="B76" s="1022" t="s">
        <v>222</v>
      </c>
      <c r="C76" s="59" t="s">
        <v>1603</v>
      </c>
      <c r="D76" s="8" t="s">
        <v>1604</v>
      </c>
      <c r="E76" s="699" t="s">
        <v>1608</v>
      </c>
      <c r="F76" s="915" t="s">
        <v>409</v>
      </c>
      <c r="G76" s="163"/>
      <c r="H76" s="163"/>
      <c r="I76" s="163"/>
      <c r="J76" s="1073">
        <v>307500</v>
      </c>
      <c r="K76" s="176">
        <v>332300</v>
      </c>
      <c r="L76" s="176">
        <v>357100</v>
      </c>
      <c r="M76" s="181"/>
      <c r="N76" s="176">
        <v>357100</v>
      </c>
      <c r="O76" s="162" t="s">
        <v>14</v>
      </c>
      <c r="P76" s="163" t="s">
        <v>190</v>
      </c>
      <c r="Q76" s="162" t="s">
        <v>131</v>
      </c>
      <c r="R76" s="20" t="s">
        <v>51</v>
      </c>
    </row>
    <row r="77" spans="1:18" s="70" customFormat="1" ht="83.5" customHeight="1">
      <c r="A77" s="1513"/>
      <c r="B77" s="1022" t="s">
        <v>374</v>
      </c>
      <c r="C77" s="123" t="s">
        <v>360</v>
      </c>
      <c r="D77" s="8" t="s">
        <v>132</v>
      </c>
      <c r="E77" s="123" t="s">
        <v>393</v>
      </c>
      <c r="F77" s="157" t="s">
        <v>157</v>
      </c>
      <c r="G77" s="163"/>
      <c r="H77" s="163"/>
      <c r="I77" s="163"/>
      <c r="J77" s="176">
        <v>316723</v>
      </c>
      <c r="K77" s="176">
        <v>316723</v>
      </c>
      <c r="L77" s="176">
        <v>316723</v>
      </c>
      <c r="M77" s="181"/>
      <c r="N77" s="176">
        <v>316723</v>
      </c>
      <c r="O77" s="162" t="s">
        <v>14</v>
      </c>
      <c r="P77" s="62" t="s">
        <v>133</v>
      </c>
      <c r="Q77" s="225" t="s">
        <v>131</v>
      </c>
      <c r="R77" s="20" t="s">
        <v>394</v>
      </c>
    </row>
    <row r="78" spans="1:18" s="86" customFormat="1" ht="61.5" customHeight="1" thickBot="1">
      <c r="A78" s="1514"/>
      <c r="B78" s="1186" t="s">
        <v>1384</v>
      </c>
      <c r="C78" s="1187" t="s">
        <v>1385</v>
      </c>
      <c r="D78" s="1187" t="s">
        <v>1454</v>
      </c>
      <c r="E78" s="1187" t="s">
        <v>1386</v>
      </c>
      <c r="F78" s="1366" t="s">
        <v>1387</v>
      </c>
      <c r="G78" s="1188"/>
      <c r="H78" s="1188"/>
      <c r="I78" s="1188"/>
      <c r="J78" s="1365">
        <v>1600000</v>
      </c>
      <c r="K78" s="1365">
        <v>1650000</v>
      </c>
      <c r="L78" s="1365">
        <v>1750000</v>
      </c>
      <c r="M78" s="1188"/>
      <c r="N78" s="1189">
        <v>1750000</v>
      </c>
      <c r="O78" s="1190" t="s">
        <v>14</v>
      </c>
      <c r="P78" s="179" t="s">
        <v>190</v>
      </c>
      <c r="Q78" s="1191" t="s">
        <v>131</v>
      </c>
      <c r="R78" s="1192" t="s">
        <v>401</v>
      </c>
    </row>
    <row r="79" spans="1:18" ht="78" customHeight="1">
      <c r="A79" s="1512" t="s">
        <v>223</v>
      </c>
      <c r="B79" s="1474" t="s">
        <v>224</v>
      </c>
      <c r="C79" s="1444" t="s">
        <v>144</v>
      </c>
      <c r="D79" s="12" t="s">
        <v>109</v>
      </c>
      <c r="E79" s="12" t="s">
        <v>116</v>
      </c>
      <c r="F79" s="12" t="s">
        <v>157</v>
      </c>
      <c r="G79" s="246"/>
      <c r="H79" s="246"/>
      <c r="I79" s="246"/>
      <c r="J79" s="247">
        <v>120015</v>
      </c>
      <c r="K79" s="247">
        <v>120015</v>
      </c>
      <c r="L79" s="247">
        <v>120015</v>
      </c>
      <c r="M79" s="248"/>
      <c r="N79" s="247">
        <v>120015</v>
      </c>
      <c r="O79" s="54" t="s">
        <v>14</v>
      </c>
      <c r="P79" s="19" t="s">
        <v>42</v>
      </c>
      <c r="Q79" s="207" t="s">
        <v>131</v>
      </c>
      <c r="R79" s="55" t="s">
        <v>401</v>
      </c>
    </row>
    <row r="80" spans="1:18" ht="68.25" customHeight="1">
      <c r="A80" s="1513"/>
      <c r="B80" s="1475"/>
      <c r="C80" s="1445"/>
      <c r="D80" s="1018" t="s">
        <v>110</v>
      </c>
      <c r="E80" s="1018" t="s">
        <v>362</v>
      </c>
      <c r="F80" s="1023" t="s">
        <v>157</v>
      </c>
      <c r="G80" s="1020"/>
      <c r="H80" s="1020"/>
      <c r="I80" s="1020"/>
      <c r="J80" s="219">
        <v>2235168</v>
      </c>
      <c r="K80" s="219">
        <v>2235168</v>
      </c>
      <c r="L80" s="219">
        <v>2235168</v>
      </c>
      <c r="M80" s="174"/>
      <c r="N80" s="219">
        <v>2235168</v>
      </c>
      <c r="O80" s="1019" t="s">
        <v>14</v>
      </c>
      <c r="P80" s="217" t="s">
        <v>1609</v>
      </c>
      <c r="Q80" s="217" t="s">
        <v>131</v>
      </c>
      <c r="R80" s="155" t="s">
        <v>401</v>
      </c>
    </row>
    <row r="81" spans="1:18" ht="68.25" customHeight="1">
      <c r="A81" s="1513"/>
      <c r="B81" s="1475"/>
      <c r="C81" s="1445"/>
      <c r="D81" s="57" t="s">
        <v>361</v>
      </c>
      <c r="E81" s="56"/>
      <c r="F81" s="56"/>
      <c r="G81" s="1020"/>
      <c r="H81" s="1020"/>
      <c r="I81" s="1020"/>
      <c r="J81" s="174" t="s">
        <v>404</v>
      </c>
      <c r="K81" s="174" t="s">
        <v>404</v>
      </c>
      <c r="L81" s="174" t="s">
        <v>404</v>
      </c>
      <c r="M81" s="174"/>
      <c r="N81" s="174" t="s">
        <v>404</v>
      </c>
      <c r="O81" s="1019" t="s">
        <v>14</v>
      </c>
      <c r="P81" s="217" t="s">
        <v>42</v>
      </c>
      <c r="Q81" s="217" t="s">
        <v>131</v>
      </c>
      <c r="R81" s="155" t="s">
        <v>401</v>
      </c>
    </row>
    <row r="82" spans="1:18" s="86" customFormat="1" ht="50.25" customHeight="1">
      <c r="A82" s="1513"/>
      <c r="B82" s="1476"/>
      <c r="C82" s="1446"/>
      <c r="D82" s="26" t="s">
        <v>68</v>
      </c>
      <c r="E82" s="26" t="s">
        <v>60</v>
      </c>
      <c r="F82" s="11"/>
      <c r="G82" s="22"/>
      <c r="H82" s="22"/>
      <c r="I82" s="22"/>
      <c r="J82" s="174" t="s">
        <v>404</v>
      </c>
      <c r="K82" s="174" t="s">
        <v>404</v>
      </c>
      <c r="L82" s="174" t="s">
        <v>404</v>
      </c>
      <c r="M82" s="181"/>
      <c r="N82" s="174" t="s">
        <v>404</v>
      </c>
      <c r="O82" s="21" t="s">
        <v>14</v>
      </c>
      <c r="P82" s="22" t="s">
        <v>67</v>
      </c>
      <c r="Q82" s="217" t="s">
        <v>131</v>
      </c>
      <c r="R82" s="155" t="s">
        <v>401</v>
      </c>
    </row>
    <row r="83" spans="1:18" s="64" customFormat="1" ht="51" customHeight="1">
      <c r="A83" s="1513"/>
      <c r="B83" s="208" t="s">
        <v>225</v>
      </c>
      <c r="C83" s="1021" t="s">
        <v>112</v>
      </c>
      <c r="D83" s="59"/>
      <c r="E83" s="60" t="s">
        <v>41</v>
      </c>
      <c r="F83" s="60"/>
      <c r="G83" s="73"/>
      <c r="H83" s="73"/>
      <c r="I83" s="73"/>
      <c r="J83" s="198"/>
      <c r="K83" s="198"/>
      <c r="L83" s="198"/>
      <c r="M83" s="198"/>
      <c r="N83" s="198"/>
      <c r="O83" s="61" t="s">
        <v>66</v>
      </c>
      <c r="P83" s="62" t="s">
        <v>33</v>
      </c>
      <c r="Q83" s="61" t="s">
        <v>24</v>
      </c>
      <c r="R83" s="63" t="s">
        <v>394</v>
      </c>
    </row>
    <row r="84" spans="1:18" s="64" customFormat="1" ht="61.5" customHeight="1">
      <c r="A84" s="1513"/>
      <c r="B84" s="208" t="s">
        <v>226</v>
      </c>
      <c r="C84" s="1021" t="s">
        <v>113</v>
      </c>
      <c r="D84" s="59" t="s">
        <v>319</v>
      </c>
      <c r="E84" s="60" t="s">
        <v>41</v>
      </c>
      <c r="F84" s="65"/>
      <c r="G84" s="228"/>
      <c r="H84" s="228"/>
      <c r="I84" s="228"/>
      <c r="J84" s="1017"/>
      <c r="K84" s="1017"/>
      <c r="L84" s="1017"/>
      <c r="M84" s="1017"/>
      <c r="N84" s="1017"/>
      <c r="O84" s="101" t="s">
        <v>66</v>
      </c>
      <c r="P84" s="102" t="s">
        <v>114</v>
      </c>
      <c r="Q84" s="61" t="s">
        <v>24</v>
      </c>
      <c r="R84" s="63" t="s">
        <v>394</v>
      </c>
    </row>
    <row r="85" spans="1:18" s="64" customFormat="1" ht="90.75" customHeight="1">
      <c r="A85" s="1513"/>
      <c r="B85" s="1510" t="s">
        <v>73</v>
      </c>
      <c r="C85" s="1448" t="s">
        <v>111</v>
      </c>
      <c r="D85" s="95" t="s">
        <v>145</v>
      </c>
      <c r="E85" s="95" t="s">
        <v>146</v>
      </c>
      <c r="F85" s="9" t="s">
        <v>409</v>
      </c>
      <c r="G85" s="228"/>
      <c r="H85" s="228"/>
      <c r="I85" s="228"/>
      <c r="J85" s="1017">
        <v>199126</v>
      </c>
      <c r="K85" s="1017">
        <v>178622</v>
      </c>
      <c r="L85" s="1017">
        <v>178622</v>
      </c>
      <c r="M85" s="1017"/>
      <c r="N85" s="1017">
        <v>178622</v>
      </c>
      <c r="O85" s="67" t="s">
        <v>14</v>
      </c>
      <c r="P85" s="66" t="s">
        <v>115</v>
      </c>
      <c r="Q85" s="217" t="s">
        <v>131</v>
      </c>
      <c r="R85" s="93" t="s">
        <v>398</v>
      </c>
    </row>
    <row r="86" spans="1:18" s="64" customFormat="1" ht="54.75" customHeight="1">
      <c r="A86" s="1513"/>
      <c r="B86" s="1511"/>
      <c r="C86" s="1509"/>
      <c r="D86" s="95" t="s">
        <v>363</v>
      </c>
      <c r="E86" s="60" t="s">
        <v>364</v>
      </c>
      <c r="F86" s="92"/>
      <c r="G86" s="229"/>
      <c r="H86" s="229"/>
      <c r="I86" s="229"/>
      <c r="J86" s="230"/>
      <c r="K86" s="230"/>
      <c r="L86" s="230"/>
      <c r="M86" s="230"/>
      <c r="N86" s="230"/>
      <c r="O86" s="61" t="s">
        <v>14</v>
      </c>
      <c r="P86" s="62" t="s">
        <v>147</v>
      </c>
      <c r="Q86" s="61" t="s">
        <v>24</v>
      </c>
      <c r="R86" s="63" t="s">
        <v>187</v>
      </c>
    </row>
    <row r="87" spans="1:18" s="64" customFormat="1" ht="80.5" customHeight="1" thickBot="1">
      <c r="A87" s="1514"/>
      <c r="B87" s="91" t="s">
        <v>227</v>
      </c>
      <c r="C87" s="78" t="s">
        <v>365</v>
      </c>
      <c r="D87" s="78" t="s">
        <v>320</v>
      </c>
      <c r="E87" s="88" t="s">
        <v>321</v>
      </c>
      <c r="F87" s="94"/>
      <c r="G87" s="231"/>
      <c r="H87" s="231"/>
      <c r="I87" s="231"/>
      <c r="J87" s="232"/>
      <c r="K87" s="232"/>
      <c r="L87" s="232"/>
      <c r="M87" s="232"/>
      <c r="N87" s="232"/>
      <c r="O87" s="96" t="s">
        <v>21</v>
      </c>
      <c r="P87" s="96" t="s">
        <v>14</v>
      </c>
      <c r="Q87" s="96" t="s">
        <v>134</v>
      </c>
      <c r="R87" s="97" t="s">
        <v>51</v>
      </c>
    </row>
    <row r="88" spans="1:18" ht="68.5" customHeight="1">
      <c r="A88" s="1512" t="s">
        <v>228</v>
      </c>
      <c r="B88" s="1518" t="s">
        <v>229</v>
      </c>
      <c r="C88" s="1438" t="s">
        <v>148</v>
      </c>
      <c r="D88" s="12" t="s">
        <v>149</v>
      </c>
      <c r="E88" s="28" t="s">
        <v>41</v>
      </c>
      <c r="F88" s="98"/>
      <c r="G88" s="160"/>
      <c r="H88" s="160"/>
      <c r="I88" s="160"/>
      <c r="J88" s="184"/>
      <c r="K88" s="184"/>
      <c r="L88" s="184"/>
      <c r="M88" s="198"/>
      <c r="N88" s="184"/>
      <c r="O88" s="16" t="s">
        <v>21</v>
      </c>
      <c r="P88" s="25" t="s">
        <v>14</v>
      </c>
      <c r="Q88" s="148" t="s">
        <v>24</v>
      </c>
      <c r="R88" s="164" t="s">
        <v>394</v>
      </c>
    </row>
    <row r="89" spans="1:18" ht="48.75" customHeight="1" thickBot="1">
      <c r="A89" s="1514"/>
      <c r="B89" s="1519"/>
      <c r="C89" s="1439"/>
      <c r="D89" s="99" t="s">
        <v>153</v>
      </c>
      <c r="E89" s="99" t="s">
        <v>249</v>
      </c>
      <c r="F89" s="209" t="s">
        <v>409</v>
      </c>
      <c r="G89" s="233"/>
      <c r="H89" s="233"/>
      <c r="I89" s="233"/>
      <c r="J89" s="234">
        <v>1452464</v>
      </c>
      <c r="K89" s="234">
        <v>1452464</v>
      </c>
      <c r="L89" s="234">
        <v>1452464</v>
      </c>
      <c r="M89" s="235"/>
      <c r="N89" s="234">
        <v>1452464</v>
      </c>
      <c r="O89" s="210" t="s">
        <v>14</v>
      </c>
      <c r="P89" s="211" t="s">
        <v>14</v>
      </c>
      <c r="Q89" s="286" t="s">
        <v>131</v>
      </c>
      <c r="R89" s="93" t="s">
        <v>398</v>
      </c>
    </row>
    <row r="90" spans="1:18" ht="15.65" customHeight="1">
      <c r="A90" s="1512" t="s">
        <v>230</v>
      </c>
      <c r="B90" s="1474" t="s">
        <v>39</v>
      </c>
      <c r="C90" s="1438" t="s">
        <v>138</v>
      </c>
      <c r="D90" s="1450" t="s">
        <v>1619</v>
      </c>
      <c r="E90" s="1453" t="s">
        <v>1638</v>
      </c>
      <c r="F90" s="1440" t="s">
        <v>409</v>
      </c>
      <c r="G90" s="1436"/>
      <c r="H90" s="1436"/>
      <c r="I90" s="1436"/>
      <c r="J90" s="1434">
        <v>365760</v>
      </c>
      <c r="K90" s="1434">
        <v>365760</v>
      </c>
      <c r="L90" s="1434">
        <v>365760</v>
      </c>
      <c r="M90" s="1434"/>
      <c r="N90" s="1434">
        <v>365760</v>
      </c>
      <c r="O90" s="1542" t="s">
        <v>14</v>
      </c>
      <c r="P90" s="1436" t="s">
        <v>38</v>
      </c>
      <c r="Q90" s="1542" t="s">
        <v>131</v>
      </c>
      <c r="R90" s="1547" t="s">
        <v>401</v>
      </c>
    </row>
    <row r="91" spans="1:18" ht="36" customHeight="1">
      <c r="A91" s="1513"/>
      <c r="B91" s="1475"/>
      <c r="C91" s="1439"/>
      <c r="D91" s="1451"/>
      <c r="E91" s="1454"/>
      <c r="F91" s="1441"/>
      <c r="G91" s="1437"/>
      <c r="H91" s="1437"/>
      <c r="I91" s="1437"/>
      <c r="J91" s="1435"/>
      <c r="K91" s="1435"/>
      <c r="L91" s="1435"/>
      <c r="M91" s="1435"/>
      <c r="N91" s="1435"/>
      <c r="O91" s="1545"/>
      <c r="P91" s="1546"/>
      <c r="Q91" s="1545"/>
      <c r="R91" s="1548"/>
    </row>
    <row r="92" spans="1:18" s="86" customFormat="1" ht="36" customHeight="1">
      <c r="A92" s="1513"/>
      <c r="B92" s="1475"/>
      <c r="C92" s="1439"/>
      <c r="D92" s="1452"/>
      <c r="E92" s="1455"/>
      <c r="F92" s="1065" t="s">
        <v>157</v>
      </c>
      <c r="G92" s="1052"/>
      <c r="H92" s="1052"/>
      <c r="I92" s="1052"/>
      <c r="J92" s="1064">
        <v>264799</v>
      </c>
      <c r="K92" s="1064">
        <v>264799</v>
      </c>
      <c r="L92" s="1064">
        <v>264799</v>
      </c>
      <c r="M92" s="1064"/>
      <c r="N92" s="1064">
        <v>264799</v>
      </c>
      <c r="O92" s="1443"/>
      <c r="P92" s="1437"/>
      <c r="Q92" s="1443"/>
      <c r="R92" s="1056"/>
    </row>
    <row r="93" spans="1:18" s="86" customFormat="1" ht="50.15" customHeight="1" thickBot="1">
      <c r="A93" s="1513"/>
      <c r="B93" s="1475"/>
      <c r="C93" s="1439"/>
      <c r="D93" s="1005" t="s">
        <v>154</v>
      </c>
      <c r="E93" s="1062" t="s">
        <v>366</v>
      </c>
      <c r="F93" s="482"/>
      <c r="G93" s="237"/>
      <c r="H93" s="237"/>
      <c r="I93" s="237"/>
      <c r="J93" s="236"/>
      <c r="K93" s="236"/>
      <c r="L93" s="236"/>
      <c r="M93" s="238"/>
      <c r="N93" s="236"/>
      <c r="O93" s="147" t="s">
        <v>21</v>
      </c>
      <c r="P93" s="100" t="s">
        <v>38</v>
      </c>
      <c r="Q93" s="147" t="s">
        <v>130</v>
      </c>
      <c r="R93" s="212" t="s">
        <v>287</v>
      </c>
    </row>
    <row r="94" spans="1:18" ht="66" customHeight="1">
      <c r="A94" s="1515" t="s">
        <v>231</v>
      </c>
      <c r="B94" s="1407" t="s">
        <v>48</v>
      </c>
      <c r="C94" s="1415" t="s">
        <v>232</v>
      </c>
      <c r="D94" s="1549" t="s">
        <v>1611</v>
      </c>
      <c r="E94" s="1393" t="s">
        <v>367</v>
      </c>
      <c r="F94" s="139" t="s">
        <v>157</v>
      </c>
      <c r="G94" s="19"/>
      <c r="H94" s="19"/>
      <c r="I94" s="19"/>
      <c r="J94" s="172">
        <v>1141</v>
      </c>
      <c r="K94" s="172">
        <v>1141</v>
      </c>
      <c r="L94" s="172">
        <v>1141</v>
      </c>
      <c r="M94" s="172"/>
      <c r="N94" s="172">
        <v>1141</v>
      </c>
      <c r="O94" s="1542" t="s">
        <v>14</v>
      </c>
      <c r="P94" s="1543" t="s">
        <v>38</v>
      </c>
      <c r="Q94" s="1542" t="s">
        <v>131</v>
      </c>
      <c r="R94" s="1544" t="s">
        <v>398</v>
      </c>
    </row>
    <row r="95" spans="1:18" s="86" customFormat="1" ht="54" customHeight="1">
      <c r="A95" s="1516"/>
      <c r="B95" s="1408"/>
      <c r="C95" s="1416"/>
      <c r="D95" s="1550"/>
      <c r="E95" s="1392"/>
      <c r="F95" s="113" t="s">
        <v>409</v>
      </c>
      <c r="G95" s="163"/>
      <c r="H95" s="163"/>
      <c r="I95" s="163"/>
      <c r="J95" s="184">
        <v>193599</v>
      </c>
      <c r="K95" s="184">
        <v>193599</v>
      </c>
      <c r="L95" s="184">
        <v>193599</v>
      </c>
      <c r="M95" s="184"/>
      <c r="N95" s="184">
        <v>193599</v>
      </c>
      <c r="O95" s="1443"/>
      <c r="P95" s="1469"/>
      <c r="Q95" s="1443"/>
      <c r="R95" s="1524"/>
    </row>
    <row r="96" spans="1:18" ht="42.75" customHeight="1">
      <c r="A96" s="1516"/>
      <c r="B96" s="1408"/>
      <c r="C96" s="1416"/>
      <c r="D96" s="1493" t="s">
        <v>368</v>
      </c>
      <c r="E96" s="1392" t="s">
        <v>367</v>
      </c>
      <c r="F96" s="113" t="s">
        <v>409</v>
      </c>
      <c r="G96" s="163"/>
      <c r="H96" s="163"/>
      <c r="I96" s="163"/>
      <c r="J96" s="176">
        <v>926593</v>
      </c>
      <c r="K96" s="176">
        <v>926593</v>
      </c>
      <c r="L96" s="176">
        <v>926593</v>
      </c>
      <c r="M96" s="176"/>
      <c r="N96" s="176">
        <v>926593</v>
      </c>
      <c r="O96" s="1442" t="s">
        <v>14</v>
      </c>
      <c r="P96" s="1468" t="s">
        <v>38</v>
      </c>
      <c r="Q96" s="1442" t="s">
        <v>131</v>
      </c>
      <c r="R96" s="1523" t="s">
        <v>398</v>
      </c>
    </row>
    <row r="97" spans="1:18" s="86" customFormat="1" ht="42" customHeight="1">
      <c r="A97" s="1516"/>
      <c r="B97" s="1408"/>
      <c r="C97" s="1416"/>
      <c r="D97" s="1493"/>
      <c r="E97" s="1392"/>
      <c r="F97" s="30" t="s">
        <v>157</v>
      </c>
      <c r="G97" s="163"/>
      <c r="H97" s="163"/>
      <c r="I97" s="163"/>
      <c r="J97" s="176">
        <v>95757</v>
      </c>
      <c r="K97" s="176">
        <v>95757</v>
      </c>
      <c r="L97" s="176">
        <v>95757</v>
      </c>
      <c r="M97" s="176"/>
      <c r="N97" s="176">
        <v>95757</v>
      </c>
      <c r="O97" s="1443"/>
      <c r="P97" s="1469"/>
      <c r="Q97" s="1443"/>
      <c r="R97" s="1524"/>
    </row>
    <row r="98" spans="1:18" s="86" customFormat="1" ht="47.15" customHeight="1">
      <c r="A98" s="1516"/>
      <c r="B98" s="1408"/>
      <c r="C98" s="1416"/>
      <c r="D98" s="1392" t="s">
        <v>369</v>
      </c>
      <c r="E98" s="1392" t="s">
        <v>370</v>
      </c>
      <c r="F98" s="113" t="s">
        <v>409</v>
      </c>
      <c r="G98" s="163"/>
      <c r="H98" s="163"/>
      <c r="I98" s="163"/>
      <c r="J98" s="176">
        <v>92977</v>
      </c>
      <c r="K98" s="176">
        <v>92977</v>
      </c>
      <c r="L98" s="176">
        <v>92977</v>
      </c>
      <c r="M98" s="176"/>
      <c r="N98" s="176">
        <v>92977</v>
      </c>
      <c r="O98" s="1442" t="s">
        <v>14</v>
      </c>
      <c r="P98" s="1468" t="s">
        <v>38</v>
      </c>
      <c r="Q98" s="1442" t="s">
        <v>131</v>
      </c>
      <c r="R98" s="1523" t="s">
        <v>398</v>
      </c>
    </row>
    <row r="99" spans="1:18" s="86" customFormat="1" ht="46.5">
      <c r="A99" s="1516"/>
      <c r="B99" s="1408"/>
      <c r="C99" s="1416"/>
      <c r="D99" s="1392"/>
      <c r="E99" s="1392"/>
      <c r="F99" s="30" t="s">
        <v>157</v>
      </c>
      <c r="G99" s="163"/>
      <c r="H99" s="163"/>
      <c r="I99" s="163"/>
      <c r="J99" s="176">
        <v>337604</v>
      </c>
      <c r="K99" s="176">
        <v>337604</v>
      </c>
      <c r="L99" s="176">
        <v>337604</v>
      </c>
      <c r="M99" s="176"/>
      <c r="N99" s="176">
        <v>337604</v>
      </c>
      <c r="O99" s="1443"/>
      <c r="P99" s="1469"/>
      <c r="Q99" s="1443"/>
      <c r="R99" s="1524"/>
    </row>
    <row r="100" spans="1:18" ht="48.75" customHeight="1">
      <c r="A100" s="1516"/>
      <c r="B100" s="1408"/>
      <c r="C100" s="1416"/>
      <c r="D100" s="153" t="s">
        <v>372</v>
      </c>
      <c r="E100" s="153" t="s">
        <v>371</v>
      </c>
      <c r="F100" s="72"/>
      <c r="G100" s="697"/>
      <c r="H100" s="163"/>
      <c r="I100" s="163"/>
      <c r="J100" s="176" t="s">
        <v>402</v>
      </c>
      <c r="K100" s="176" t="s">
        <v>402</v>
      </c>
      <c r="L100" s="176" t="s">
        <v>402</v>
      </c>
      <c r="M100" s="176"/>
      <c r="N100" s="176" t="s">
        <v>402</v>
      </c>
      <c r="O100" s="149" t="s">
        <v>14</v>
      </c>
      <c r="P100" s="150" t="s">
        <v>1623</v>
      </c>
      <c r="Q100" s="35" t="s">
        <v>131</v>
      </c>
      <c r="R100" s="58" t="s">
        <v>398</v>
      </c>
    </row>
    <row r="101" spans="1:18" ht="32.25" customHeight="1">
      <c r="A101" s="1516"/>
      <c r="B101" s="1408"/>
      <c r="C101" s="1416"/>
      <c r="D101" s="1417" t="s">
        <v>373</v>
      </c>
      <c r="E101" s="1419" t="s">
        <v>1457</v>
      </c>
      <c r="F101" s="113" t="s">
        <v>409</v>
      </c>
      <c r="G101" s="163"/>
      <c r="H101" s="163"/>
      <c r="I101" s="163"/>
      <c r="J101" s="176">
        <v>519793</v>
      </c>
      <c r="K101" s="176">
        <v>519793</v>
      </c>
      <c r="L101" s="176">
        <v>519793</v>
      </c>
      <c r="M101" s="176"/>
      <c r="N101" s="176">
        <v>519793</v>
      </c>
      <c r="O101" s="1442" t="s">
        <v>14</v>
      </c>
      <c r="P101" s="1537" t="s">
        <v>38</v>
      </c>
      <c r="Q101" s="1442" t="s">
        <v>131</v>
      </c>
      <c r="R101" s="1523" t="s">
        <v>398</v>
      </c>
    </row>
    <row r="102" spans="1:18" s="86" customFormat="1" ht="40.5" customHeight="1">
      <c r="A102" s="1516"/>
      <c r="B102" s="1408"/>
      <c r="C102" s="1416"/>
      <c r="D102" s="1418"/>
      <c r="E102" s="1420"/>
      <c r="F102" s="30" t="s">
        <v>157</v>
      </c>
      <c r="G102" s="217"/>
      <c r="H102" s="217"/>
      <c r="I102" s="217"/>
      <c r="J102" s="176">
        <v>2750534</v>
      </c>
      <c r="K102" s="1073">
        <v>2750534</v>
      </c>
      <c r="L102" s="1073">
        <v>2750534</v>
      </c>
      <c r="M102" s="1073"/>
      <c r="N102" s="1073">
        <v>2750534</v>
      </c>
      <c r="O102" s="1443"/>
      <c r="P102" s="1538"/>
      <c r="Q102" s="1443"/>
      <c r="R102" s="1524"/>
    </row>
    <row r="103" spans="1:18" ht="63" customHeight="1">
      <c r="A103" s="1516"/>
      <c r="B103" s="1408"/>
      <c r="C103" s="1416"/>
      <c r="D103" s="1417" t="s">
        <v>1612</v>
      </c>
      <c r="E103" s="1421" t="s">
        <v>379</v>
      </c>
      <c r="F103" s="113" t="s">
        <v>409</v>
      </c>
      <c r="G103" s="224"/>
      <c r="H103" s="224"/>
      <c r="I103" s="224"/>
      <c r="J103" s="184">
        <v>370101</v>
      </c>
      <c r="K103" s="184">
        <v>370101</v>
      </c>
      <c r="L103" s="184">
        <v>370101</v>
      </c>
      <c r="M103" s="184"/>
      <c r="N103" s="184">
        <v>370101</v>
      </c>
      <c r="O103" s="149" t="s">
        <v>14</v>
      </c>
      <c r="P103" s="150" t="s">
        <v>38</v>
      </c>
      <c r="Q103" s="162" t="s">
        <v>131</v>
      </c>
      <c r="R103" s="58" t="s">
        <v>398</v>
      </c>
    </row>
    <row r="104" spans="1:18" s="1070" customFormat="1" ht="63" customHeight="1">
      <c r="A104" s="1516"/>
      <c r="B104" s="1408"/>
      <c r="C104" s="1416"/>
      <c r="D104" s="1418"/>
      <c r="E104" s="1422"/>
      <c r="F104" s="30" t="s">
        <v>157</v>
      </c>
      <c r="G104" s="224"/>
      <c r="H104" s="224"/>
      <c r="I104" s="224"/>
      <c r="J104" s="184">
        <v>90337</v>
      </c>
      <c r="K104" s="184">
        <v>90337</v>
      </c>
      <c r="L104" s="184">
        <v>90337</v>
      </c>
      <c r="M104" s="184"/>
      <c r="N104" s="184">
        <v>90337</v>
      </c>
      <c r="O104" s="1161"/>
      <c r="P104" s="1162"/>
      <c r="Q104" s="1161"/>
      <c r="R104" s="1166"/>
    </row>
    <row r="105" spans="1:18" ht="61.5" customHeight="1">
      <c r="A105" s="1516"/>
      <c r="B105" s="1408"/>
      <c r="C105" s="1416"/>
      <c r="D105" s="1423" t="s">
        <v>380</v>
      </c>
      <c r="E105" s="1392" t="s">
        <v>381</v>
      </c>
      <c r="F105" s="113" t="s">
        <v>409</v>
      </c>
      <c r="G105" s="163"/>
      <c r="H105" s="163"/>
      <c r="I105" s="163"/>
      <c r="J105" s="176">
        <v>91689</v>
      </c>
      <c r="K105" s="176">
        <v>91689</v>
      </c>
      <c r="L105" s="176">
        <v>91689</v>
      </c>
      <c r="M105" s="176"/>
      <c r="N105" s="176">
        <v>91689</v>
      </c>
      <c r="O105" s="1442" t="s">
        <v>14</v>
      </c>
      <c r="P105" s="1468" t="s">
        <v>38</v>
      </c>
      <c r="Q105" s="1442" t="s">
        <v>131</v>
      </c>
      <c r="R105" s="1523" t="s">
        <v>398</v>
      </c>
    </row>
    <row r="106" spans="1:18" s="86" customFormat="1" ht="47.25" customHeight="1">
      <c r="A106" s="1516"/>
      <c r="B106" s="1408"/>
      <c r="C106" s="1416"/>
      <c r="D106" s="1423"/>
      <c r="E106" s="1392"/>
      <c r="F106" s="30" t="s">
        <v>157</v>
      </c>
      <c r="G106" s="163"/>
      <c r="H106" s="163"/>
      <c r="I106" s="163"/>
      <c r="J106" s="176">
        <v>100410</v>
      </c>
      <c r="K106" s="176">
        <v>100410</v>
      </c>
      <c r="L106" s="176">
        <v>100410</v>
      </c>
      <c r="M106" s="176"/>
      <c r="N106" s="176">
        <v>100410</v>
      </c>
      <c r="O106" s="1443"/>
      <c r="P106" s="1469"/>
      <c r="Q106" s="1443"/>
      <c r="R106" s="1524"/>
    </row>
    <row r="107" spans="1:18" s="86" customFormat="1" ht="47.25" customHeight="1" thickBot="1">
      <c r="A107" s="1517"/>
      <c r="B107" s="213" t="s">
        <v>233</v>
      </c>
      <c r="C107" s="120" t="s">
        <v>234</v>
      </c>
      <c r="D107" s="118" t="s">
        <v>235</v>
      </c>
      <c r="E107" s="118" t="s">
        <v>236</v>
      </c>
      <c r="F107" s="7"/>
      <c r="G107" s="15"/>
      <c r="H107" s="15"/>
      <c r="I107" s="15"/>
      <c r="J107" s="177"/>
      <c r="K107" s="177"/>
      <c r="L107" s="177"/>
      <c r="M107" s="177"/>
      <c r="N107" s="177"/>
      <c r="O107" s="119" t="s">
        <v>14</v>
      </c>
      <c r="P107" s="15" t="s">
        <v>38</v>
      </c>
      <c r="Q107" s="214" t="s">
        <v>24</v>
      </c>
      <c r="R107" s="117" t="s">
        <v>187</v>
      </c>
    </row>
    <row r="108" spans="1:18" ht="147.65" customHeight="1">
      <c r="A108" s="1512" t="s">
        <v>237</v>
      </c>
      <c r="B108" s="1474" t="s">
        <v>239</v>
      </c>
      <c r="C108" s="1491" t="s">
        <v>238</v>
      </c>
      <c r="D108" s="114" t="s">
        <v>1512</v>
      </c>
      <c r="E108" s="29" t="s">
        <v>240</v>
      </c>
      <c r="F108" s="944" t="s">
        <v>1350</v>
      </c>
      <c r="G108" s="273"/>
      <c r="H108" s="273"/>
      <c r="I108" s="273">
        <v>14326</v>
      </c>
      <c r="J108" s="170"/>
      <c r="K108" s="170"/>
      <c r="L108" s="171"/>
      <c r="M108" s="171"/>
      <c r="N108" s="171"/>
      <c r="O108" s="161" t="s">
        <v>21</v>
      </c>
      <c r="P108" s="19" t="s">
        <v>382</v>
      </c>
      <c r="Q108" s="161" t="s">
        <v>106</v>
      </c>
      <c r="R108" s="274" t="s">
        <v>400</v>
      </c>
    </row>
    <row r="109" spans="1:18" s="86" customFormat="1" ht="51.75" customHeight="1">
      <c r="A109" s="1513"/>
      <c r="B109" s="1475"/>
      <c r="C109" s="1492"/>
      <c r="D109" s="84" t="s">
        <v>199</v>
      </c>
      <c r="E109" s="83" t="s">
        <v>241</v>
      </c>
      <c r="F109" s="8" t="s">
        <v>1350</v>
      </c>
      <c r="G109" s="239"/>
      <c r="H109" s="239"/>
      <c r="I109" s="239">
        <v>90358</v>
      </c>
      <c r="J109" s="102"/>
      <c r="K109" s="175"/>
      <c r="L109" s="102"/>
      <c r="M109" s="102"/>
      <c r="N109" s="102"/>
      <c r="O109" s="148" t="s">
        <v>21</v>
      </c>
      <c r="P109" s="146" t="s">
        <v>259</v>
      </c>
      <c r="Q109" s="148" t="s">
        <v>106</v>
      </c>
      <c r="R109" s="155" t="s">
        <v>400</v>
      </c>
    </row>
    <row r="110" spans="1:18" ht="88.5" customHeight="1">
      <c r="A110" s="1513"/>
      <c r="B110" s="1475"/>
      <c r="C110" s="1492"/>
      <c r="D110" s="128" t="s">
        <v>242</v>
      </c>
      <c r="E110" s="157" t="s">
        <v>243</v>
      </c>
      <c r="F110" s="8" t="s">
        <v>1350</v>
      </c>
      <c r="G110" s="163"/>
      <c r="H110" s="163"/>
      <c r="I110" s="163">
        <v>30119</v>
      </c>
      <c r="J110" s="181"/>
      <c r="K110" s="176"/>
      <c r="L110" s="181"/>
      <c r="M110" s="181"/>
      <c r="N110" s="181"/>
      <c r="O110" s="162" t="s">
        <v>21</v>
      </c>
      <c r="P110" s="146" t="s">
        <v>260</v>
      </c>
      <c r="Q110" s="162" t="s">
        <v>59</v>
      </c>
      <c r="R110" s="1028" t="s">
        <v>400</v>
      </c>
    </row>
    <row r="111" spans="1:18" ht="56.15" customHeight="1">
      <c r="A111" s="1513"/>
      <c r="B111" s="1475"/>
      <c r="C111" s="1492"/>
      <c r="D111" s="121" t="s">
        <v>383</v>
      </c>
      <c r="E111" s="84" t="s">
        <v>240</v>
      </c>
      <c r="F111" s="8" t="s">
        <v>1350</v>
      </c>
      <c r="G111" s="163"/>
      <c r="H111" s="163"/>
      <c r="I111" s="163">
        <v>30119</v>
      </c>
      <c r="J111" s="181"/>
      <c r="K111" s="176"/>
      <c r="L111" s="181"/>
      <c r="M111" s="181"/>
      <c r="N111" s="181"/>
      <c r="O111" s="162" t="s">
        <v>21</v>
      </c>
      <c r="P111" s="163" t="s">
        <v>262</v>
      </c>
      <c r="Q111" s="162" t="s">
        <v>106</v>
      </c>
      <c r="R111" s="280" t="s">
        <v>400</v>
      </c>
    </row>
    <row r="112" spans="1:18" ht="49.5" customHeight="1">
      <c r="A112" s="1513"/>
      <c r="B112" s="1475"/>
      <c r="C112" s="1492"/>
      <c r="D112" s="122" t="s">
        <v>244</v>
      </c>
      <c r="E112" s="26" t="s">
        <v>245</v>
      </c>
      <c r="F112" s="8" t="s">
        <v>1350</v>
      </c>
      <c r="G112" s="109"/>
      <c r="H112" s="109"/>
      <c r="I112" s="109">
        <v>30119</v>
      </c>
      <c r="J112" s="174"/>
      <c r="K112" s="176"/>
      <c r="L112" s="174"/>
      <c r="M112" s="174"/>
      <c r="N112" s="174"/>
      <c r="O112" s="147" t="s">
        <v>21</v>
      </c>
      <c r="P112" s="109" t="s">
        <v>263</v>
      </c>
      <c r="Q112" s="162" t="s">
        <v>106</v>
      </c>
      <c r="R112" s="197" t="s">
        <v>400</v>
      </c>
    </row>
    <row r="113" spans="1:18" s="86" customFormat="1" ht="48.75" customHeight="1">
      <c r="A113" s="1513"/>
      <c r="B113" s="1475"/>
      <c r="C113" s="1492"/>
      <c r="D113" s="1004" t="s">
        <v>269</v>
      </c>
      <c r="E113" s="1005" t="s">
        <v>270</v>
      </c>
      <c r="F113" s="8" t="s">
        <v>1350</v>
      </c>
      <c r="G113" s="109"/>
      <c r="H113" s="109"/>
      <c r="I113" s="998">
        <v>14500</v>
      </c>
      <c r="J113" s="219"/>
      <c r="K113" s="219"/>
      <c r="L113" s="219"/>
      <c r="M113" s="219"/>
      <c r="N113" s="219"/>
      <c r="O113" s="103" t="s">
        <v>21</v>
      </c>
      <c r="P113" s="109" t="s">
        <v>268</v>
      </c>
      <c r="Q113" s="147" t="s">
        <v>131</v>
      </c>
      <c r="R113" s="201" t="s">
        <v>398</v>
      </c>
    </row>
    <row r="114" spans="1:18" s="1070" customFormat="1" ht="48.75" customHeight="1">
      <c r="A114" s="1513"/>
      <c r="B114" s="1475"/>
      <c r="C114" s="1492"/>
      <c r="D114" s="1004" t="s">
        <v>1613</v>
      </c>
      <c r="E114" s="1005" t="s">
        <v>1614</v>
      </c>
      <c r="F114" s="8"/>
      <c r="G114" s="1369"/>
      <c r="H114" s="1369"/>
      <c r="I114" s="998"/>
      <c r="J114" s="219"/>
      <c r="K114" s="219"/>
      <c r="L114" s="219"/>
      <c r="M114" s="219"/>
      <c r="N114" s="219"/>
      <c r="O114" s="103" t="s">
        <v>21</v>
      </c>
      <c r="P114" s="1369" t="s">
        <v>1615</v>
      </c>
      <c r="Q114" s="1368" t="s">
        <v>24</v>
      </c>
      <c r="R114" s="1370" t="s">
        <v>400</v>
      </c>
    </row>
    <row r="115" spans="1:18" s="86" customFormat="1" ht="47.25" customHeight="1">
      <c r="A115" s="1513"/>
      <c r="B115" s="1475"/>
      <c r="C115" s="1492"/>
      <c r="D115" s="122" t="s">
        <v>151</v>
      </c>
      <c r="E115" s="26" t="s">
        <v>1642</v>
      </c>
      <c r="F115" s="8" t="s">
        <v>1350</v>
      </c>
      <c r="G115" s="109"/>
      <c r="H115" s="109"/>
      <c r="I115" s="109">
        <v>28653</v>
      </c>
      <c r="J115" s="174"/>
      <c r="K115" s="219"/>
      <c r="L115" s="174"/>
      <c r="M115" s="174"/>
      <c r="N115" s="174"/>
      <c r="O115" s="147" t="s">
        <v>21</v>
      </c>
      <c r="P115" s="109" t="s">
        <v>261</v>
      </c>
      <c r="Q115" s="147" t="s">
        <v>106</v>
      </c>
      <c r="R115" s="201" t="s">
        <v>400</v>
      </c>
    </row>
    <row r="116" spans="1:18" ht="46.5" customHeight="1">
      <c r="A116" s="1513"/>
      <c r="B116" s="1475"/>
      <c r="C116" s="1492"/>
      <c r="D116" s="83" t="s">
        <v>250</v>
      </c>
      <c r="E116" s="26" t="s">
        <v>246</v>
      </c>
      <c r="F116" s="8" t="s">
        <v>1350</v>
      </c>
      <c r="G116" s="160"/>
      <c r="H116" s="160"/>
      <c r="I116" s="160">
        <v>14326</v>
      </c>
      <c r="J116" s="198"/>
      <c r="K116" s="184"/>
      <c r="L116" s="198"/>
      <c r="M116" s="198"/>
      <c r="N116" s="198"/>
      <c r="O116" s="147" t="s">
        <v>21</v>
      </c>
      <c r="P116" s="163" t="s">
        <v>107</v>
      </c>
      <c r="Q116" s="147" t="s">
        <v>106</v>
      </c>
      <c r="R116" s="201" t="s">
        <v>400</v>
      </c>
    </row>
    <row r="117" spans="1:18" s="86" customFormat="1" ht="47.25" customHeight="1">
      <c r="A117" s="1513"/>
      <c r="B117" s="1475"/>
      <c r="C117" s="1492"/>
      <c r="D117" s="83" t="s">
        <v>251</v>
      </c>
      <c r="E117" s="26" t="s">
        <v>252</v>
      </c>
      <c r="F117" s="8" t="s">
        <v>1350</v>
      </c>
      <c r="G117" s="160"/>
      <c r="H117" s="160"/>
      <c r="I117" s="160">
        <v>14326</v>
      </c>
      <c r="J117" s="198"/>
      <c r="K117" s="184"/>
      <c r="L117" s="198"/>
      <c r="M117" s="198"/>
      <c r="N117" s="198"/>
      <c r="O117" s="147" t="s">
        <v>21</v>
      </c>
      <c r="P117" s="163" t="s">
        <v>150</v>
      </c>
      <c r="Q117" s="147" t="s">
        <v>106</v>
      </c>
      <c r="R117" s="201" t="s">
        <v>400</v>
      </c>
    </row>
    <row r="118" spans="1:18" s="86" customFormat="1" ht="36.65" customHeight="1">
      <c r="A118" s="1513"/>
      <c r="B118" s="1475"/>
      <c r="C118" s="1492"/>
      <c r="D118" s="59" t="s">
        <v>247</v>
      </c>
      <c r="E118" s="59" t="s">
        <v>248</v>
      </c>
      <c r="F118" s="8" t="s">
        <v>1350</v>
      </c>
      <c r="G118" s="62"/>
      <c r="H118" s="62"/>
      <c r="I118" s="62">
        <v>35153</v>
      </c>
      <c r="J118" s="198"/>
      <c r="K118" s="184"/>
      <c r="L118" s="198"/>
      <c r="M118" s="198"/>
      <c r="N118" s="198"/>
      <c r="O118" s="147" t="s">
        <v>21</v>
      </c>
      <c r="P118" s="163" t="s">
        <v>264</v>
      </c>
      <c r="Q118" s="147" t="s">
        <v>106</v>
      </c>
      <c r="R118" s="201" t="s">
        <v>400</v>
      </c>
    </row>
    <row r="119" spans="1:18" s="86" customFormat="1" ht="36.65" customHeight="1">
      <c r="A119" s="1513"/>
      <c r="B119" s="1475"/>
      <c r="C119" s="1492"/>
      <c r="D119" s="59" t="s">
        <v>253</v>
      </c>
      <c r="E119" s="59" t="s">
        <v>254</v>
      </c>
      <c r="F119" s="8" t="s">
        <v>1350</v>
      </c>
      <c r="G119" s="62"/>
      <c r="H119" s="62"/>
      <c r="I119" s="62">
        <v>35153</v>
      </c>
      <c r="J119" s="198"/>
      <c r="K119" s="184"/>
      <c r="L119" s="198"/>
      <c r="M119" s="198"/>
      <c r="N119" s="198"/>
      <c r="O119" s="147" t="s">
        <v>21</v>
      </c>
      <c r="P119" s="163" t="s">
        <v>264</v>
      </c>
      <c r="Q119" s="147" t="s">
        <v>106</v>
      </c>
      <c r="R119" s="201" t="s">
        <v>400</v>
      </c>
    </row>
    <row r="120" spans="1:18" s="86" customFormat="1" ht="36.65" customHeight="1">
      <c r="A120" s="1513"/>
      <c r="B120" s="1475"/>
      <c r="C120" s="1492"/>
      <c r="D120" s="59" t="s">
        <v>256</v>
      </c>
      <c r="E120" s="59" t="s">
        <v>257</v>
      </c>
      <c r="F120" s="8" t="s">
        <v>1350</v>
      </c>
      <c r="G120" s="62"/>
      <c r="H120" s="62"/>
      <c r="I120" s="62">
        <v>10070</v>
      </c>
      <c r="J120" s="198"/>
      <c r="K120" s="184"/>
      <c r="L120" s="198"/>
      <c r="M120" s="198"/>
      <c r="N120" s="198"/>
      <c r="O120" s="147" t="s">
        <v>21</v>
      </c>
      <c r="P120" s="163" t="s">
        <v>264</v>
      </c>
      <c r="Q120" s="147" t="s">
        <v>106</v>
      </c>
      <c r="R120" s="201" t="s">
        <v>400</v>
      </c>
    </row>
    <row r="121" spans="1:18" s="86" customFormat="1" ht="36.65" customHeight="1">
      <c r="A121" s="1513"/>
      <c r="B121" s="1475"/>
      <c r="C121" s="1492"/>
      <c r="D121" s="59" t="s">
        <v>255</v>
      </c>
      <c r="E121" s="59" t="s">
        <v>258</v>
      </c>
      <c r="F121" s="8" t="s">
        <v>1350</v>
      </c>
      <c r="G121" s="62"/>
      <c r="H121" s="62"/>
      <c r="I121" s="62">
        <v>10070</v>
      </c>
      <c r="J121" s="198"/>
      <c r="K121" s="184"/>
      <c r="L121" s="198"/>
      <c r="M121" s="198"/>
      <c r="N121" s="198"/>
      <c r="O121" s="147" t="s">
        <v>21</v>
      </c>
      <c r="P121" s="163" t="s">
        <v>264</v>
      </c>
      <c r="Q121" s="147" t="s">
        <v>106</v>
      </c>
      <c r="R121" s="201" t="s">
        <v>400</v>
      </c>
    </row>
    <row r="122" spans="1:18" s="70" customFormat="1" ht="50.5" customHeight="1" thickBot="1">
      <c r="A122" s="1513"/>
      <c r="B122" s="1475"/>
      <c r="C122" s="1492"/>
      <c r="D122" s="83" t="s">
        <v>384</v>
      </c>
      <c r="E122" s="83" t="s">
        <v>385</v>
      </c>
      <c r="F122" s="1057" t="s">
        <v>1350</v>
      </c>
      <c r="G122" s="211"/>
      <c r="H122" s="211"/>
      <c r="I122" s="211">
        <v>44446</v>
      </c>
      <c r="J122" s="238"/>
      <c r="K122" s="236"/>
      <c r="L122" s="238"/>
      <c r="M122" s="238"/>
      <c r="N122" s="1058"/>
      <c r="O122" s="1026" t="s">
        <v>21</v>
      </c>
      <c r="P122" s="1037" t="s">
        <v>265</v>
      </c>
      <c r="Q122" s="1026" t="s">
        <v>106</v>
      </c>
      <c r="R122" s="155" t="s">
        <v>400</v>
      </c>
    </row>
    <row r="123" spans="1:18" ht="72.75" customHeight="1">
      <c r="A123" s="1512" t="s">
        <v>271</v>
      </c>
      <c r="B123" s="110" t="s">
        <v>272</v>
      </c>
      <c r="C123" s="1003" t="s">
        <v>277</v>
      </c>
      <c r="D123" s="1003" t="s">
        <v>279</v>
      </c>
      <c r="E123" s="12" t="s">
        <v>278</v>
      </c>
      <c r="F123" s="29" t="s">
        <v>1350</v>
      </c>
      <c r="G123" s="19"/>
      <c r="H123" s="19"/>
      <c r="I123" s="999">
        <v>14326</v>
      </c>
      <c r="J123" s="171"/>
      <c r="K123" s="171"/>
      <c r="L123" s="171"/>
      <c r="M123" s="171"/>
      <c r="N123" s="171"/>
      <c r="O123" s="1034" t="s">
        <v>14</v>
      </c>
      <c r="P123" s="19" t="s">
        <v>267</v>
      </c>
      <c r="Q123" s="1034" t="s">
        <v>977</v>
      </c>
      <c r="R123" s="55" t="s">
        <v>187</v>
      </c>
    </row>
    <row r="124" spans="1:18" s="64" customFormat="1" ht="71.25" customHeight="1">
      <c r="A124" s="1513"/>
      <c r="B124" s="127" t="s">
        <v>273</v>
      </c>
      <c r="C124" s="128" t="s">
        <v>52</v>
      </c>
      <c r="D124" s="59" t="s">
        <v>1594</v>
      </c>
      <c r="E124" s="59" t="s">
        <v>386</v>
      </c>
      <c r="F124" s="59"/>
      <c r="G124" s="62"/>
      <c r="H124" s="62"/>
      <c r="I124" s="62"/>
      <c r="J124" s="181"/>
      <c r="K124" s="181"/>
      <c r="L124" s="181"/>
      <c r="M124" s="181"/>
      <c r="N124" s="181"/>
      <c r="O124" s="61" t="s">
        <v>14</v>
      </c>
      <c r="P124" s="62" t="s">
        <v>267</v>
      </c>
      <c r="Q124" s="61" t="s">
        <v>24</v>
      </c>
      <c r="R124" s="129" t="s">
        <v>193</v>
      </c>
    </row>
    <row r="125" spans="1:18" ht="66" customHeight="1">
      <c r="A125" s="1513"/>
      <c r="B125" s="111" t="s">
        <v>274</v>
      </c>
      <c r="C125" s="124" t="s">
        <v>53</v>
      </c>
      <c r="D125" s="1030" t="s">
        <v>280</v>
      </c>
      <c r="E125" s="1030" t="s">
        <v>54</v>
      </c>
      <c r="F125" s="1030" t="s">
        <v>409</v>
      </c>
      <c r="G125" s="217"/>
      <c r="H125" s="217"/>
      <c r="I125" s="217"/>
      <c r="J125" s="176">
        <v>10087</v>
      </c>
      <c r="K125" s="176">
        <v>10087</v>
      </c>
      <c r="L125" s="176">
        <v>10087</v>
      </c>
      <c r="M125" s="181"/>
      <c r="N125" s="176">
        <v>10087</v>
      </c>
      <c r="O125" s="1035" t="s">
        <v>14</v>
      </c>
      <c r="P125" s="217" t="s">
        <v>1595</v>
      </c>
      <c r="Q125" s="1035" t="s">
        <v>131</v>
      </c>
      <c r="R125" s="1028" t="s">
        <v>398</v>
      </c>
    </row>
    <row r="126" spans="1:18" ht="78.75" customHeight="1">
      <c r="A126" s="1513"/>
      <c r="B126" s="111" t="s">
        <v>275</v>
      </c>
      <c r="C126" s="121" t="s">
        <v>58</v>
      </c>
      <c r="D126" s="1030" t="s">
        <v>387</v>
      </c>
      <c r="E126" s="1030"/>
      <c r="F126" s="30" t="s">
        <v>157</v>
      </c>
      <c r="G126" s="217"/>
      <c r="H126" s="217"/>
      <c r="I126" s="217"/>
      <c r="J126" s="176">
        <v>144000</v>
      </c>
      <c r="K126" s="176">
        <v>172800</v>
      </c>
      <c r="L126" s="176">
        <v>207360</v>
      </c>
      <c r="M126" s="181"/>
      <c r="N126" s="176">
        <v>207360</v>
      </c>
      <c r="O126" s="1035" t="s">
        <v>14</v>
      </c>
      <c r="P126" s="217" t="s">
        <v>281</v>
      </c>
      <c r="Q126" s="1035" t="s">
        <v>131</v>
      </c>
      <c r="R126" s="1028" t="s">
        <v>398</v>
      </c>
    </row>
    <row r="127" spans="1:18" ht="71.150000000000006" customHeight="1" thickBot="1">
      <c r="A127" s="1514"/>
      <c r="B127" s="125" t="s">
        <v>276</v>
      </c>
      <c r="C127" s="77" t="s">
        <v>325</v>
      </c>
      <c r="D127" s="7" t="s">
        <v>388</v>
      </c>
      <c r="E127" s="126"/>
      <c r="F127" s="1059" t="s">
        <v>157</v>
      </c>
      <c r="G127" s="15"/>
      <c r="H127" s="15"/>
      <c r="I127" s="15"/>
      <c r="J127" s="177">
        <v>1750000</v>
      </c>
      <c r="K127" s="177">
        <v>1350000</v>
      </c>
      <c r="L127" s="177">
        <v>1350000</v>
      </c>
      <c r="M127" s="178"/>
      <c r="N127" s="177">
        <v>1350000</v>
      </c>
      <c r="O127" s="119" t="s">
        <v>14</v>
      </c>
      <c r="P127" s="15" t="s">
        <v>282</v>
      </c>
      <c r="Q127" s="119" t="s">
        <v>131</v>
      </c>
      <c r="R127" s="117" t="s">
        <v>398</v>
      </c>
    </row>
    <row r="128" spans="1:18" ht="19" customHeight="1" thickBot="1">
      <c r="A128" s="1459" t="s">
        <v>285</v>
      </c>
      <c r="B128" s="1460"/>
      <c r="C128" s="1460"/>
      <c r="D128" s="1460"/>
      <c r="E128" s="1461"/>
      <c r="F128" s="79"/>
      <c r="G128" s="240"/>
      <c r="H128" s="240"/>
      <c r="I128" s="240"/>
      <c r="J128" s="241"/>
      <c r="K128" s="241"/>
      <c r="L128" s="241"/>
      <c r="M128" s="241"/>
      <c r="N128" s="241"/>
      <c r="O128" s="21"/>
      <c r="P128" s="22"/>
      <c r="Q128" s="287"/>
      <c r="R128" s="21"/>
    </row>
    <row r="129" spans="1:18" ht="50.25" customHeight="1">
      <c r="A129" s="1512" t="s">
        <v>286</v>
      </c>
      <c r="B129" s="1053" t="s">
        <v>283</v>
      </c>
      <c r="C129" s="1388" t="s">
        <v>1392</v>
      </c>
      <c r="D129" s="1389" t="s">
        <v>1645</v>
      </c>
      <c r="E129" s="1389" t="s">
        <v>1591</v>
      </c>
      <c r="F129" s="1066"/>
      <c r="G129" s="1067"/>
      <c r="H129" s="1067"/>
      <c r="I129" s="1067"/>
      <c r="J129" s="173"/>
      <c r="K129" s="223"/>
      <c r="L129" s="223"/>
      <c r="M129" s="223"/>
      <c r="N129" s="223"/>
      <c r="O129" s="1036" t="s">
        <v>21</v>
      </c>
      <c r="P129" s="13" t="s">
        <v>1607</v>
      </c>
      <c r="Q129" s="1055" t="s">
        <v>108</v>
      </c>
      <c r="R129" s="274" t="s">
        <v>287</v>
      </c>
    </row>
    <row r="130" spans="1:18" s="64" customFormat="1" ht="51.65" customHeight="1" thickBot="1">
      <c r="A130" s="1513"/>
      <c r="B130" s="74" t="s">
        <v>284</v>
      </c>
      <c r="C130" s="75" t="s">
        <v>84</v>
      </c>
      <c r="D130" s="76" t="s">
        <v>1592</v>
      </c>
      <c r="E130" s="59"/>
      <c r="F130" s="85"/>
      <c r="G130" s="73"/>
      <c r="H130" s="73"/>
      <c r="I130" s="73"/>
      <c r="J130" s="198"/>
      <c r="K130" s="198"/>
      <c r="L130" s="198"/>
      <c r="M130" s="198"/>
      <c r="N130" s="198"/>
      <c r="O130" s="73" t="s">
        <v>21</v>
      </c>
      <c r="P130" s="73" t="s">
        <v>37</v>
      </c>
      <c r="Q130" s="73" t="s">
        <v>83</v>
      </c>
      <c r="R130" s="63" t="s">
        <v>51</v>
      </c>
    </row>
    <row r="131" spans="1:18" ht="17.149999999999999" customHeight="1" thickBot="1">
      <c r="A131" s="1385"/>
      <c r="B131" s="1504" t="s">
        <v>175</v>
      </c>
      <c r="C131" s="1505"/>
      <c r="D131" s="1505"/>
      <c r="E131" s="1506"/>
      <c r="F131" s="11"/>
      <c r="G131" s="22"/>
      <c r="H131" s="22"/>
      <c r="I131" s="22"/>
      <c r="J131" s="179"/>
      <c r="K131" s="179"/>
      <c r="L131" s="179"/>
      <c r="M131" s="179"/>
      <c r="N131" s="179"/>
      <c r="O131" s="21"/>
      <c r="P131" s="22"/>
      <c r="Q131" s="287"/>
      <c r="R131" s="27"/>
    </row>
    <row r="132" spans="1:18" ht="62.25" customHeight="1">
      <c r="A132" s="1512" t="s">
        <v>288</v>
      </c>
      <c r="B132" s="1197" t="s">
        <v>292</v>
      </c>
      <c r="C132" s="1334" t="s">
        <v>61</v>
      </c>
      <c r="D132" s="1003" t="s">
        <v>291</v>
      </c>
      <c r="E132" s="1003" t="s">
        <v>391</v>
      </c>
      <c r="F132" s="1386" t="s">
        <v>1405</v>
      </c>
      <c r="G132" s="19"/>
      <c r="H132" s="19"/>
      <c r="I132" s="19"/>
      <c r="J132" s="165">
        <v>50000</v>
      </c>
      <c r="K132" s="165"/>
      <c r="L132" s="165"/>
      <c r="M132" s="40"/>
      <c r="N132" s="165"/>
      <c r="O132" s="1034" t="s">
        <v>14</v>
      </c>
      <c r="P132" s="19" t="s">
        <v>290</v>
      </c>
      <c r="Q132" s="1373" t="s">
        <v>131</v>
      </c>
      <c r="R132" s="55" t="s">
        <v>1</v>
      </c>
    </row>
    <row r="133" spans="1:18" ht="54.75" customHeight="1">
      <c r="A133" s="1513"/>
      <c r="B133" s="1335" t="s">
        <v>77</v>
      </c>
      <c r="C133" s="1185" t="s">
        <v>289</v>
      </c>
      <c r="D133" s="1185" t="s">
        <v>46</v>
      </c>
      <c r="E133" s="1185" t="s">
        <v>60</v>
      </c>
      <c r="F133" s="1068" t="s">
        <v>1405</v>
      </c>
      <c r="G133" s="217"/>
      <c r="H133" s="217"/>
      <c r="I133" s="217"/>
      <c r="J133" s="1072">
        <v>380000</v>
      </c>
      <c r="K133" s="1072"/>
      <c r="L133" s="1072"/>
      <c r="M133" s="5"/>
      <c r="N133" s="1072"/>
      <c r="O133" s="1035" t="s">
        <v>14</v>
      </c>
      <c r="P133" s="217" t="s">
        <v>1643</v>
      </c>
      <c r="Q133" s="1035" t="s">
        <v>131</v>
      </c>
      <c r="R133" s="1372" t="s">
        <v>1</v>
      </c>
    </row>
    <row r="134" spans="1:18" s="86" customFormat="1" ht="55.5" customHeight="1">
      <c r="A134" s="1513"/>
      <c r="B134" s="1335" t="s">
        <v>78</v>
      </c>
      <c r="C134" s="1185" t="s">
        <v>293</v>
      </c>
      <c r="D134" s="700" t="s">
        <v>389</v>
      </c>
      <c r="E134" s="700" t="s">
        <v>390</v>
      </c>
      <c r="F134" s="1068" t="s">
        <v>1405</v>
      </c>
      <c r="G134" s="217"/>
      <c r="H134" s="217"/>
      <c r="I134" s="217"/>
      <c r="J134" s="1072">
        <v>20000</v>
      </c>
      <c r="K134" s="1072">
        <v>50000</v>
      </c>
      <c r="L134" s="1072"/>
      <c r="M134" s="5"/>
      <c r="N134" s="1072"/>
      <c r="O134" s="1035" t="s">
        <v>14</v>
      </c>
      <c r="P134" s="217" t="s">
        <v>1644</v>
      </c>
      <c r="Q134" s="1035" t="s">
        <v>131</v>
      </c>
      <c r="R134" s="1372" t="s">
        <v>983</v>
      </c>
    </row>
    <row r="135" spans="1:18" s="1070" customFormat="1" ht="55" customHeight="1" thickBot="1">
      <c r="A135" s="1514"/>
      <c r="B135" s="1200" t="s">
        <v>1495</v>
      </c>
      <c r="C135" s="1170" t="s">
        <v>1509</v>
      </c>
      <c r="D135" s="695" t="s">
        <v>1646</v>
      </c>
      <c r="E135" s="695" t="s">
        <v>1647</v>
      </c>
      <c r="F135" s="1171" t="s">
        <v>1405</v>
      </c>
      <c r="G135" s="15"/>
      <c r="H135" s="15"/>
      <c r="I135" s="15"/>
      <c r="J135" s="168">
        <v>650000</v>
      </c>
      <c r="K135" s="168">
        <v>2650000</v>
      </c>
      <c r="L135" s="168">
        <v>1700000</v>
      </c>
      <c r="M135" s="169"/>
      <c r="N135" s="168">
        <v>1700000</v>
      </c>
      <c r="O135" s="119" t="s">
        <v>14</v>
      </c>
      <c r="P135" s="15" t="s">
        <v>1644</v>
      </c>
      <c r="Q135" s="1387" t="s">
        <v>131</v>
      </c>
      <c r="R135" s="117" t="s">
        <v>1510</v>
      </c>
    </row>
    <row r="136" spans="1:18" ht="18" customHeight="1" thickBot="1">
      <c r="A136" s="1374"/>
      <c r="B136" s="1375" t="s">
        <v>69</v>
      </c>
      <c r="C136" s="1376"/>
      <c r="D136" s="1377"/>
      <c r="E136" s="1378"/>
      <c r="F136" s="1379"/>
      <c r="G136" s="1380"/>
      <c r="H136" s="1380"/>
      <c r="I136" s="1380"/>
      <c r="J136" s="1381"/>
      <c r="K136" s="1381"/>
      <c r="L136" s="1381"/>
      <c r="M136" s="1381"/>
      <c r="N136" s="1381"/>
      <c r="O136" s="1382"/>
      <c r="P136" s="1380"/>
      <c r="Q136" s="1383"/>
      <c r="R136" s="1384"/>
    </row>
    <row r="137" spans="1:18" ht="83.25" customHeight="1">
      <c r="A137" s="1500" t="s">
        <v>294</v>
      </c>
      <c r="B137" s="1002" t="s">
        <v>295</v>
      </c>
      <c r="C137" s="1003" t="s">
        <v>156</v>
      </c>
      <c r="D137" s="1003" t="s">
        <v>1610</v>
      </c>
      <c r="E137" s="139" t="s">
        <v>322</v>
      </c>
      <c r="F137" s="28"/>
      <c r="G137" s="159"/>
      <c r="H137" s="159"/>
      <c r="I137" s="159"/>
      <c r="J137" s="173"/>
      <c r="K137" s="173"/>
      <c r="L137" s="173"/>
      <c r="M137" s="173"/>
      <c r="N137" s="173"/>
      <c r="O137" s="19" t="s">
        <v>21</v>
      </c>
      <c r="P137" s="19" t="s">
        <v>85</v>
      </c>
      <c r="Q137" s="19" t="s">
        <v>1375</v>
      </c>
      <c r="R137" s="55" t="s">
        <v>392</v>
      </c>
    </row>
    <row r="138" spans="1:18" ht="71.150000000000006" customHeight="1" thickBot="1">
      <c r="A138" s="1501"/>
      <c r="B138" s="694" t="s">
        <v>296</v>
      </c>
      <c r="C138" s="695" t="s">
        <v>86</v>
      </c>
      <c r="D138" s="695" t="s">
        <v>87</v>
      </c>
      <c r="E138" s="135" t="s">
        <v>88</v>
      </c>
      <c r="F138" s="135"/>
      <c r="G138" s="15"/>
      <c r="H138" s="15"/>
      <c r="I138" s="15"/>
      <c r="J138" s="178"/>
      <c r="K138" s="178"/>
      <c r="L138" s="178"/>
      <c r="M138" s="178"/>
      <c r="N138" s="178"/>
      <c r="O138" s="119" t="s">
        <v>32</v>
      </c>
      <c r="P138" s="15" t="s">
        <v>89</v>
      </c>
      <c r="Q138" s="15" t="s">
        <v>24</v>
      </c>
      <c r="R138" s="117" t="s">
        <v>392</v>
      </c>
    </row>
    <row r="139" spans="1:18" ht="56.25" customHeight="1">
      <c r="A139" s="1502" t="s">
        <v>297</v>
      </c>
      <c r="B139" s="1000" t="s">
        <v>298</v>
      </c>
      <c r="C139" s="1001" t="s">
        <v>90</v>
      </c>
      <c r="D139" s="1001" t="s">
        <v>91</v>
      </c>
      <c r="E139" s="216" t="s">
        <v>92</v>
      </c>
      <c r="F139" s="216"/>
      <c r="G139" s="146"/>
      <c r="H139" s="146"/>
      <c r="I139" s="146"/>
      <c r="J139" s="102"/>
      <c r="K139" s="102"/>
      <c r="L139" s="102"/>
      <c r="M139" s="102"/>
      <c r="N139" s="102"/>
      <c r="O139" s="148" t="s">
        <v>21</v>
      </c>
      <c r="P139" s="146" t="s">
        <v>93</v>
      </c>
      <c r="Q139" s="943" t="s">
        <v>1375</v>
      </c>
      <c r="R139" s="280" t="s">
        <v>392</v>
      </c>
    </row>
    <row r="140" spans="1:18" ht="60.75" customHeight="1">
      <c r="A140" s="1503"/>
      <c r="B140" s="206" t="s">
        <v>299</v>
      </c>
      <c r="C140" s="10" t="s">
        <v>99</v>
      </c>
      <c r="D140" s="10" t="s">
        <v>94</v>
      </c>
      <c r="E140" s="10" t="s">
        <v>95</v>
      </c>
      <c r="F140" s="10"/>
      <c r="G140" s="163"/>
      <c r="H140" s="163"/>
      <c r="I140" s="163"/>
      <c r="J140" s="181"/>
      <c r="K140" s="181"/>
      <c r="L140" s="181"/>
      <c r="M140" s="181"/>
      <c r="N140" s="181"/>
      <c r="O140" s="149" t="s">
        <v>21</v>
      </c>
      <c r="P140" s="150" t="s">
        <v>93</v>
      </c>
      <c r="Q140" s="162" t="s">
        <v>24</v>
      </c>
      <c r="R140" s="201" t="s">
        <v>392</v>
      </c>
    </row>
    <row r="141" spans="1:18" ht="94.5" customHeight="1">
      <c r="A141" s="1503"/>
      <c r="B141" s="698" t="s">
        <v>74</v>
      </c>
      <c r="C141" s="699" t="s">
        <v>301</v>
      </c>
      <c r="D141" s="10" t="s">
        <v>96</v>
      </c>
      <c r="E141" s="10" t="s">
        <v>302</v>
      </c>
      <c r="F141" s="217" t="s">
        <v>978</v>
      </c>
      <c r="G141" s="697">
        <v>300000</v>
      </c>
      <c r="H141" s="697">
        <v>300000</v>
      </c>
      <c r="I141" s="697">
        <v>300000</v>
      </c>
      <c r="J141" s="181"/>
      <c r="K141" s="181"/>
      <c r="L141" s="181"/>
      <c r="M141" s="181"/>
      <c r="N141" s="181"/>
      <c r="O141" s="149" t="s">
        <v>21</v>
      </c>
      <c r="P141" s="150" t="s">
        <v>85</v>
      </c>
      <c r="Q141" s="162" t="s">
        <v>977</v>
      </c>
      <c r="R141" s="201" t="s">
        <v>392</v>
      </c>
    </row>
    <row r="142" spans="1:18" ht="69" customHeight="1" thickBot="1">
      <c r="A142" s="215" t="s">
        <v>300</v>
      </c>
      <c r="B142" s="694" t="s">
        <v>75</v>
      </c>
      <c r="C142" s="695" t="s">
        <v>97</v>
      </c>
      <c r="D142" s="695" t="s">
        <v>303</v>
      </c>
      <c r="E142" s="135" t="s">
        <v>98</v>
      </c>
      <c r="F142" s="217" t="s">
        <v>978</v>
      </c>
      <c r="G142" s="701">
        <v>3195426</v>
      </c>
      <c r="H142" s="701">
        <v>2168155</v>
      </c>
      <c r="I142" s="701">
        <v>1195009</v>
      </c>
      <c r="J142" s="178"/>
      <c r="K142" s="178"/>
      <c r="L142" s="178"/>
      <c r="M142" s="178"/>
      <c r="N142" s="178"/>
      <c r="O142" s="119" t="s">
        <v>21</v>
      </c>
      <c r="P142" s="15" t="s">
        <v>55</v>
      </c>
      <c r="Q142" s="119" t="s">
        <v>977</v>
      </c>
      <c r="R142" s="117" t="s">
        <v>392</v>
      </c>
    </row>
    <row r="143" spans="1:18" ht="16" thickBot="1">
      <c r="A143" s="259"/>
      <c r="B143" s="258" t="s">
        <v>176</v>
      </c>
      <c r="C143" s="258"/>
      <c r="D143" s="258"/>
      <c r="E143" s="260"/>
      <c r="F143" s="79"/>
      <c r="G143" s="242"/>
      <c r="H143" s="242"/>
      <c r="I143" s="242"/>
      <c r="J143" s="243"/>
      <c r="K143" s="243"/>
      <c r="L143" s="243"/>
      <c r="M143" s="243"/>
      <c r="N143" s="243"/>
      <c r="O143" s="131"/>
      <c r="P143" s="132"/>
      <c r="Q143" s="288"/>
      <c r="R143" s="281"/>
    </row>
    <row r="144" spans="1:18" s="86" customFormat="1" ht="64.5" customHeight="1">
      <c r="A144" s="1413" t="s">
        <v>312</v>
      </c>
      <c r="B144" s="1507" t="s">
        <v>76</v>
      </c>
      <c r="C144" s="14" t="s">
        <v>304</v>
      </c>
      <c r="D144" s="133" t="s">
        <v>305</v>
      </c>
      <c r="E144" s="14" t="s">
        <v>306</v>
      </c>
      <c r="F144" s="14"/>
      <c r="G144" s="19"/>
      <c r="H144" s="19"/>
      <c r="I144" s="19"/>
      <c r="J144" s="171"/>
      <c r="K144" s="171"/>
      <c r="L144" s="171"/>
      <c r="M144" s="171"/>
      <c r="N144" s="171"/>
      <c r="O144" s="161" t="s">
        <v>11</v>
      </c>
      <c r="P144" s="19" t="s">
        <v>307</v>
      </c>
      <c r="Q144" s="19" t="s">
        <v>403</v>
      </c>
      <c r="R144" s="282" t="s">
        <v>51</v>
      </c>
    </row>
    <row r="145" spans="1:18" s="86" customFormat="1" ht="71.25" customHeight="1" thickBot="1">
      <c r="A145" s="1414"/>
      <c r="B145" s="1508"/>
      <c r="C145" s="135" t="s">
        <v>308</v>
      </c>
      <c r="D145" s="134" t="s">
        <v>309</v>
      </c>
      <c r="E145" s="135" t="s">
        <v>310</v>
      </c>
      <c r="F145" s="135"/>
      <c r="G145" s="15"/>
      <c r="H145" s="15"/>
      <c r="I145" s="15"/>
      <c r="J145" s="178"/>
      <c r="K145" s="178"/>
      <c r="L145" s="178"/>
      <c r="M145" s="178"/>
      <c r="N145" s="178"/>
      <c r="O145" s="119" t="s">
        <v>11</v>
      </c>
      <c r="P145" s="15" t="s">
        <v>311</v>
      </c>
      <c r="Q145" s="15" t="s">
        <v>24</v>
      </c>
      <c r="R145" s="283" t="s">
        <v>51</v>
      </c>
    </row>
    <row r="146" spans="1:18" ht="15.5">
      <c r="A146"/>
      <c r="B146"/>
      <c r="G146" s="182"/>
      <c r="P146" s="70"/>
      <c r="Q146" s="24"/>
      <c r="R146" s="24"/>
    </row>
    <row r="147" spans="1:18" ht="15.5">
      <c r="A147"/>
      <c r="B147"/>
      <c r="G147" s="182"/>
      <c r="P147" s="70"/>
      <c r="Q147" s="24"/>
      <c r="R147" s="24"/>
    </row>
    <row r="148" spans="1:18" s="86" customFormat="1" ht="20">
      <c r="B148" s="1494" t="s">
        <v>314</v>
      </c>
      <c r="C148" s="1494"/>
      <c r="D148" s="1494"/>
      <c r="G148" s="182"/>
      <c r="J148" s="268"/>
      <c r="K148" s="218"/>
      <c r="L148" s="218"/>
      <c r="M148" s="218"/>
      <c r="N148" s="218"/>
      <c r="Q148" s="24"/>
      <c r="R148" s="24"/>
    </row>
    <row r="149" spans="1:18">
      <c r="R149"/>
    </row>
    <row r="150" spans="1:18" ht="20">
      <c r="B150" s="1495" t="s">
        <v>313</v>
      </c>
      <c r="C150" s="1495"/>
      <c r="D150" s="1495"/>
      <c r="R150"/>
    </row>
    <row r="151" spans="1:18">
      <c r="R151"/>
    </row>
    <row r="152" spans="1:18">
      <c r="R152"/>
    </row>
    <row r="153" spans="1:18">
      <c r="R153"/>
    </row>
    <row r="154" spans="1:18">
      <c r="R154"/>
    </row>
    <row r="155" spans="1:18">
      <c r="R155"/>
    </row>
    <row r="156" spans="1:18">
      <c r="R156"/>
    </row>
    <row r="157" spans="1:18">
      <c r="R157"/>
    </row>
    <row r="158" spans="1:18">
      <c r="R158"/>
    </row>
    <row r="159" spans="1:18">
      <c r="R159"/>
    </row>
    <row r="160" spans="1:18">
      <c r="R160"/>
    </row>
    <row r="161" spans="18:18">
      <c r="R161"/>
    </row>
    <row r="162" spans="18:18">
      <c r="R162"/>
    </row>
    <row r="163" spans="18:18">
      <c r="R163"/>
    </row>
    <row r="164" spans="18:18">
      <c r="R164"/>
    </row>
    <row r="165" spans="18:18">
      <c r="R165"/>
    </row>
    <row r="166" spans="18:18">
      <c r="R166"/>
    </row>
    <row r="167" spans="18:18">
      <c r="R167"/>
    </row>
    <row r="168" spans="18:18">
      <c r="R168"/>
    </row>
    <row r="169" spans="18:18">
      <c r="R169"/>
    </row>
    <row r="170" spans="18:18">
      <c r="R170"/>
    </row>
    <row r="171" spans="18:18">
      <c r="R171"/>
    </row>
    <row r="172" spans="18:18">
      <c r="R172"/>
    </row>
    <row r="173" spans="18:18">
      <c r="R173"/>
    </row>
    <row r="174" spans="18:18">
      <c r="R174"/>
    </row>
    <row r="175" spans="18:18">
      <c r="R175"/>
    </row>
    <row r="176" spans="18:18">
      <c r="R176"/>
    </row>
    <row r="177" spans="18:18">
      <c r="R177"/>
    </row>
    <row r="178" spans="18:18">
      <c r="R178"/>
    </row>
    <row r="179" spans="18:18">
      <c r="R179"/>
    </row>
    <row r="180" spans="18:18">
      <c r="R180"/>
    </row>
    <row r="181" spans="18:18">
      <c r="R181"/>
    </row>
    <row r="182" spans="18:18">
      <c r="R182"/>
    </row>
    <row r="183" spans="18:18">
      <c r="R183"/>
    </row>
    <row r="184" spans="18:18">
      <c r="R184"/>
    </row>
    <row r="185" spans="18:18">
      <c r="R185"/>
    </row>
    <row r="186" spans="18:18">
      <c r="R186"/>
    </row>
    <row r="187" spans="18:18">
      <c r="R187"/>
    </row>
    <row r="188" spans="18:18">
      <c r="R188"/>
    </row>
    <row r="189" spans="18:18">
      <c r="R189"/>
    </row>
    <row r="190" spans="18:18">
      <c r="R190"/>
    </row>
    <row r="191" spans="18:18">
      <c r="R191"/>
    </row>
    <row r="192" spans="18:18">
      <c r="R192"/>
    </row>
    <row r="193" spans="18:18">
      <c r="R193"/>
    </row>
    <row r="194" spans="18:18">
      <c r="R194"/>
    </row>
    <row r="195" spans="18:18">
      <c r="R195"/>
    </row>
    <row r="196" spans="18:18">
      <c r="R196"/>
    </row>
    <row r="197" spans="18:18">
      <c r="R197"/>
    </row>
    <row r="198" spans="18:18">
      <c r="R198"/>
    </row>
    <row r="199" spans="18:18">
      <c r="R199"/>
    </row>
    <row r="200" spans="18:18">
      <c r="R200"/>
    </row>
    <row r="201" spans="18:18">
      <c r="R201"/>
    </row>
    <row r="202" spans="18:18">
      <c r="R202"/>
    </row>
    <row r="203" spans="18:18">
      <c r="R203"/>
    </row>
    <row r="204" spans="18:18">
      <c r="R204"/>
    </row>
    <row r="205" spans="18:18">
      <c r="R205"/>
    </row>
    <row r="206" spans="18:18">
      <c r="R206"/>
    </row>
    <row r="207" spans="18:18">
      <c r="R207"/>
    </row>
    <row r="208" spans="18:18">
      <c r="R208"/>
    </row>
    <row r="209" spans="18:18">
      <c r="R209"/>
    </row>
    <row r="210" spans="18:18">
      <c r="R210"/>
    </row>
    <row r="211" spans="18:18">
      <c r="R211"/>
    </row>
    <row r="212" spans="18:18">
      <c r="R212"/>
    </row>
    <row r="213" spans="18:18">
      <c r="R213"/>
    </row>
    <row r="214" spans="18:18">
      <c r="R214"/>
    </row>
    <row r="215" spans="18:18">
      <c r="R215"/>
    </row>
    <row r="216" spans="18:18">
      <c r="R216"/>
    </row>
    <row r="217" spans="18:18">
      <c r="R217"/>
    </row>
    <row r="218" spans="18:18">
      <c r="R218"/>
    </row>
    <row r="219" spans="18:18">
      <c r="R219"/>
    </row>
    <row r="220" spans="18:18">
      <c r="R220"/>
    </row>
    <row r="221" spans="18:18">
      <c r="R221"/>
    </row>
    <row r="222" spans="18:18">
      <c r="R222"/>
    </row>
    <row r="223" spans="18:18">
      <c r="R223"/>
    </row>
    <row r="224" spans="18:18">
      <c r="R224"/>
    </row>
    <row r="225" spans="18:18">
      <c r="R225"/>
    </row>
    <row r="226" spans="18:18">
      <c r="R226"/>
    </row>
    <row r="227" spans="18:18">
      <c r="R227"/>
    </row>
    <row r="228" spans="18:18">
      <c r="R228"/>
    </row>
    <row r="229" spans="18:18">
      <c r="R229"/>
    </row>
    <row r="230" spans="18:18">
      <c r="R230"/>
    </row>
    <row r="231" spans="18:18">
      <c r="R231"/>
    </row>
    <row r="232" spans="18:18">
      <c r="R232"/>
    </row>
    <row r="233" spans="18:18">
      <c r="R233"/>
    </row>
    <row r="234" spans="18:18">
      <c r="R234"/>
    </row>
    <row r="235" spans="18:18">
      <c r="R235"/>
    </row>
    <row r="236" spans="18:18">
      <c r="R236"/>
    </row>
    <row r="237" spans="18:18">
      <c r="R237"/>
    </row>
    <row r="238" spans="18:18">
      <c r="R238"/>
    </row>
    <row r="239" spans="18:18">
      <c r="R239"/>
    </row>
    <row r="240" spans="18:18">
      <c r="R240"/>
    </row>
    <row r="241" spans="18:18">
      <c r="R241"/>
    </row>
    <row r="242" spans="18:18">
      <c r="R242"/>
    </row>
    <row r="243" spans="18:18">
      <c r="R243"/>
    </row>
    <row r="244" spans="18:18">
      <c r="R244"/>
    </row>
    <row r="245" spans="18:18">
      <c r="R245"/>
    </row>
    <row r="246" spans="18:18">
      <c r="R246"/>
    </row>
    <row r="247" spans="18:18">
      <c r="R247"/>
    </row>
    <row r="248" spans="18:18">
      <c r="R248"/>
    </row>
    <row r="249" spans="18:18">
      <c r="R249"/>
    </row>
    <row r="250" spans="18:18">
      <c r="R250"/>
    </row>
    <row r="251" spans="18:18">
      <c r="R251"/>
    </row>
    <row r="252" spans="18:18">
      <c r="R252"/>
    </row>
    <row r="253" spans="18:18">
      <c r="R253"/>
    </row>
    <row r="254" spans="18:18">
      <c r="R254"/>
    </row>
    <row r="255" spans="18:18">
      <c r="R255"/>
    </row>
    <row r="256" spans="18:18">
      <c r="R256"/>
    </row>
    <row r="257" spans="18:18">
      <c r="R257"/>
    </row>
    <row r="258" spans="18:18">
      <c r="R258"/>
    </row>
    <row r="259" spans="18:18">
      <c r="R259"/>
    </row>
    <row r="260" spans="18:18">
      <c r="R260"/>
    </row>
    <row r="261" spans="18:18">
      <c r="R261"/>
    </row>
    <row r="262" spans="18:18">
      <c r="R262"/>
    </row>
    <row r="263" spans="18:18">
      <c r="R263"/>
    </row>
    <row r="264" spans="18:18">
      <c r="R264"/>
    </row>
    <row r="265" spans="18:18">
      <c r="R265"/>
    </row>
    <row r="266" spans="18:18">
      <c r="R266"/>
    </row>
    <row r="267" spans="18:18">
      <c r="R267"/>
    </row>
    <row r="268" spans="18:18">
      <c r="R268"/>
    </row>
    <row r="269" spans="18:18">
      <c r="R269"/>
    </row>
    <row r="270" spans="18:18">
      <c r="R270"/>
    </row>
    <row r="271" spans="18:18">
      <c r="R271"/>
    </row>
    <row r="272" spans="18:18">
      <c r="R272"/>
    </row>
    <row r="273" spans="18:18">
      <c r="R273"/>
    </row>
    <row r="274" spans="18:18">
      <c r="R274"/>
    </row>
    <row r="275" spans="18:18">
      <c r="R275"/>
    </row>
    <row r="276" spans="18:18">
      <c r="R276"/>
    </row>
    <row r="277" spans="18:18">
      <c r="R277"/>
    </row>
    <row r="278" spans="18:18">
      <c r="R278"/>
    </row>
    <row r="279" spans="18:18">
      <c r="R279"/>
    </row>
    <row r="280" spans="18:18">
      <c r="R280"/>
    </row>
    <row r="281" spans="18:18">
      <c r="R281"/>
    </row>
    <row r="282" spans="18:18">
      <c r="R282"/>
    </row>
    <row r="283" spans="18:18">
      <c r="R283"/>
    </row>
    <row r="284" spans="18:18">
      <c r="R284"/>
    </row>
    <row r="285" spans="18:18">
      <c r="R285"/>
    </row>
    <row r="286" spans="18:18">
      <c r="R286"/>
    </row>
    <row r="287" spans="18:18">
      <c r="R287"/>
    </row>
    <row r="288" spans="18:18">
      <c r="R288"/>
    </row>
    <row r="289" spans="18:18">
      <c r="R289"/>
    </row>
    <row r="290" spans="18:18">
      <c r="R290"/>
    </row>
    <row r="291" spans="18:18">
      <c r="R291"/>
    </row>
    <row r="292" spans="18:18">
      <c r="R292"/>
    </row>
    <row r="293" spans="18:18">
      <c r="R293"/>
    </row>
    <row r="294" spans="18:18">
      <c r="R294"/>
    </row>
    <row r="295" spans="18:18">
      <c r="R295"/>
    </row>
    <row r="296" spans="18:18">
      <c r="R296"/>
    </row>
    <row r="297" spans="18:18">
      <c r="R297"/>
    </row>
    <row r="298" spans="18:18">
      <c r="R298"/>
    </row>
    <row r="299" spans="18:18">
      <c r="R299"/>
    </row>
    <row r="300" spans="18:18">
      <c r="R300"/>
    </row>
    <row r="301" spans="18:18">
      <c r="R301"/>
    </row>
    <row r="302" spans="18:18">
      <c r="R302"/>
    </row>
    <row r="303" spans="18:18">
      <c r="R303"/>
    </row>
    <row r="304" spans="18:18">
      <c r="R304"/>
    </row>
    <row r="305" spans="18:18">
      <c r="R305"/>
    </row>
    <row r="306" spans="18:18">
      <c r="R306"/>
    </row>
    <row r="307" spans="18:18">
      <c r="R307"/>
    </row>
    <row r="308" spans="18:18">
      <c r="R308"/>
    </row>
    <row r="309" spans="18:18">
      <c r="R309"/>
    </row>
    <row r="310" spans="18:18">
      <c r="R310"/>
    </row>
    <row r="311" spans="18:18">
      <c r="R311"/>
    </row>
    <row r="312" spans="18:18">
      <c r="R312"/>
    </row>
    <row r="313" spans="18:18">
      <c r="R313"/>
    </row>
    <row r="314" spans="18:18">
      <c r="R314"/>
    </row>
    <row r="315" spans="18:18">
      <c r="R315"/>
    </row>
    <row r="316" spans="18:18">
      <c r="R316"/>
    </row>
    <row r="317" spans="18:18">
      <c r="R317"/>
    </row>
    <row r="318" spans="18:18">
      <c r="R318"/>
    </row>
    <row r="319" spans="18:18">
      <c r="R319"/>
    </row>
    <row r="320" spans="18:18">
      <c r="R320"/>
    </row>
    <row r="321" spans="18:18">
      <c r="R321"/>
    </row>
    <row r="322" spans="18:18">
      <c r="R322"/>
    </row>
    <row r="323" spans="18:18">
      <c r="R323"/>
    </row>
    <row r="324" spans="18:18">
      <c r="R324"/>
    </row>
    <row r="325" spans="18:18">
      <c r="R325"/>
    </row>
    <row r="326" spans="18:18">
      <c r="R326"/>
    </row>
    <row r="327" spans="18:18">
      <c r="R327"/>
    </row>
    <row r="328" spans="18:18">
      <c r="R328"/>
    </row>
    <row r="329" spans="18:18">
      <c r="R329"/>
    </row>
    <row r="330" spans="18:18">
      <c r="R330"/>
    </row>
    <row r="331" spans="18:18">
      <c r="R331"/>
    </row>
    <row r="332" spans="18:18">
      <c r="R332"/>
    </row>
    <row r="333" spans="18:18">
      <c r="R333"/>
    </row>
    <row r="334" spans="18:18">
      <c r="R334"/>
    </row>
    <row r="335" spans="18:18">
      <c r="R335"/>
    </row>
    <row r="336" spans="18:18">
      <c r="R336"/>
    </row>
    <row r="337" spans="18:18">
      <c r="R337"/>
    </row>
    <row r="338" spans="18:18">
      <c r="R338"/>
    </row>
    <row r="339" spans="18:18">
      <c r="R339"/>
    </row>
    <row r="340" spans="18:18">
      <c r="R340"/>
    </row>
    <row r="341" spans="18:18">
      <c r="R341"/>
    </row>
    <row r="342" spans="18:18">
      <c r="R342"/>
    </row>
    <row r="343" spans="18:18">
      <c r="R343"/>
    </row>
    <row r="344" spans="18:18">
      <c r="R344"/>
    </row>
    <row r="345" spans="18:18">
      <c r="R345"/>
    </row>
    <row r="346" spans="18:18">
      <c r="R346"/>
    </row>
    <row r="347" spans="18:18">
      <c r="R347"/>
    </row>
    <row r="348" spans="18:18">
      <c r="R348"/>
    </row>
    <row r="349" spans="18:18">
      <c r="R349"/>
    </row>
    <row r="350" spans="18:18">
      <c r="R350"/>
    </row>
    <row r="351" spans="18:18">
      <c r="R351"/>
    </row>
    <row r="352" spans="18:18">
      <c r="R352"/>
    </row>
    <row r="353" spans="18:18">
      <c r="R353"/>
    </row>
    <row r="354" spans="18:18">
      <c r="R354"/>
    </row>
    <row r="355" spans="18:18">
      <c r="R355"/>
    </row>
    <row r="356" spans="18:18">
      <c r="R356"/>
    </row>
    <row r="357" spans="18:18">
      <c r="R357"/>
    </row>
    <row r="358" spans="18:18">
      <c r="R358"/>
    </row>
    <row r="359" spans="18:18">
      <c r="R359"/>
    </row>
    <row r="360" spans="18:18">
      <c r="R360"/>
    </row>
    <row r="361" spans="18:18">
      <c r="R361"/>
    </row>
    <row r="362" spans="18:18">
      <c r="R362"/>
    </row>
    <row r="363" spans="18:18">
      <c r="R363"/>
    </row>
    <row r="364" spans="18:18">
      <c r="R364"/>
    </row>
    <row r="365" spans="18:18">
      <c r="R365"/>
    </row>
    <row r="366" spans="18:18">
      <c r="R366"/>
    </row>
    <row r="367" spans="18:18">
      <c r="R367"/>
    </row>
    <row r="368" spans="18:18">
      <c r="R368"/>
    </row>
    <row r="369" spans="18:18">
      <c r="R369"/>
    </row>
    <row r="370" spans="18:18">
      <c r="R370"/>
    </row>
    <row r="371" spans="18:18">
      <c r="R371"/>
    </row>
    <row r="372" spans="18:18">
      <c r="R372"/>
    </row>
    <row r="373" spans="18:18">
      <c r="R373"/>
    </row>
    <row r="374" spans="18:18">
      <c r="R374"/>
    </row>
    <row r="375" spans="18:18">
      <c r="R375"/>
    </row>
    <row r="376" spans="18:18">
      <c r="R376"/>
    </row>
    <row r="377" spans="18:18">
      <c r="R377"/>
    </row>
    <row r="378" spans="18:18">
      <c r="R378"/>
    </row>
    <row r="379" spans="18:18">
      <c r="R379"/>
    </row>
    <row r="380" spans="18:18">
      <c r="R380"/>
    </row>
    <row r="381" spans="18:18">
      <c r="R381"/>
    </row>
    <row r="382" spans="18:18">
      <c r="R382"/>
    </row>
    <row r="383" spans="18:18">
      <c r="R383"/>
    </row>
    <row r="384" spans="18:18">
      <c r="R384"/>
    </row>
    <row r="385" spans="18:18">
      <c r="R385"/>
    </row>
    <row r="386" spans="18:18">
      <c r="R386"/>
    </row>
    <row r="387" spans="18:18">
      <c r="R387"/>
    </row>
    <row r="388" spans="18:18">
      <c r="R388"/>
    </row>
    <row r="389" spans="18:18">
      <c r="R389"/>
    </row>
    <row r="390" spans="18:18">
      <c r="R390"/>
    </row>
    <row r="391" spans="18:18">
      <c r="R391"/>
    </row>
    <row r="392" spans="18:18">
      <c r="R392"/>
    </row>
    <row r="393" spans="18:18">
      <c r="R393"/>
    </row>
    <row r="394" spans="18:18">
      <c r="R394"/>
    </row>
    <row r="395" spans="18:18">
      <c r="R395"/>
    </row>
    <row r="396" spans="18:18">
      <c r="R396"/>
    </row>
    <row r="397" spans="18:18">
      <c r="R397"/>
    </row>
    <row r="398" spans="18:18">
      <c r="R398"/>
    </row>
    <row r="399" spans="18:18">
      <c r="R399"/>
    </row>
    <row r="400" spans="18:18">
      <c r="R400"/>
    </row>
    <row r="401" spans="18:18">
      <c r="R401"/>
    </row>
    <row r="402" spans="18:18">
      <c r="R402"/>
    </row>
    <row r="403" spans="18:18">
      <c r="R403"/>
    </row>
    <row r="404" spans="18:18">
      <c r="R404"/>
    </row>
    <row r="405" spans="18:18">
      <c r="R405"/>
    </row>
    <row r="406" spans="18:18">
      <c r="R406"/>
    </row>
    <row r="407" spans="18:18">
      <c r="R407"/>
    </row>
    <row r="408" spans="18:18">
      <c r="R408"/>
    </row>
    <row r="409" spans="18:18">
      <c r="R409"/>
    </row>
    <row r="410" spans="18:18">
      <c r="R410"/>
    </row>
    <row r="411" spans="18:18">
      <c r="R411"/>
    </row>
    <row r="412" spans="18:18">
      <c r="R412"/>
    </row>
    <row r="413" spans="18:18">
      <c r="R413"/>
    </row>
    <row r="414" spans="18:18">
      <c r="R414"/>
    </row>
    <row r="415" spans="18:18">
      <c r="R415"/>
    </row>
    <row r="416" spans="18:18">
      <c r="R416"/>
    </row>
    <row r="417" spans="18:18">
      <c r="R417"/>
    </row>
    <row r="418" spans="18:18">
      <c r="R418"/>
    </row>
    <row r="419" spans="18:18">
      <c r="R419"/>
    </row>
    <row r="420" spans="18:18">
      <c r="R420"/>
    </row>
    <row r="421" spans="18:18">
      <c r="R421"/>
    </row>
    <row r="422" spans="18:18">
      <c r="R422"/>
    </row>
    <row r="423" spans="18:18">
      <c r="R423"/>
    </row>
    <row r="424" spans="18:18">
      <c r="R424"/>
    </row>
    <row r="425" spans="18:18">
      <c r="R425"/>
    </row>
    <row r="426" spans="18:18">
      <c r="R426"/>
    </row>
    <row r="427" spans="18:18">
      <c r="R427"/>
    </row>
    <row r="428" spans="18:18">
      <c r="R428"/>
    </row>
    <row r="429" spans="18:18">
      <c r="R429"/>
    </row>
    <row r="430" spans="18:18">
      <c r="R430"/>
    </row>
    <row r="431" spans="18:18">
      <c r="R431"/>
    </row>
    <row r="432" spans="18:18">
      <c r="R432"/>
    </row>
    <row r="433" spans="18:18">
      <c r="R433"/>
    </row>
    <row r="434" spans="18:18">
      <c r="R434"/>
    </row>
    <row r="435" spans="18:18">
      <c r="R435"/>
    </row>
    <row r="436" spans="18:18">
      <c r="R436"/>
    </row>
    <row r="437" spans="18:18">
      <c r="R437"/>
    </row>
    <row r="438" spans="18:18">
      <c r="R438"/>
    </row>
    <row r="439" spans="18:18">
      <c r="R439"/>
    </row>
    <row r="440" spans="18:18">
      <c r="R440"/>
    </row>
    <row r="441" spans="18:18">
      <c r="R441"/>
    </row>
    <row r="442" spans="18:18">
      <c r="R442"/>
    </row>
    <row r="443" spans="18:18">
      <c r="R443"/>
    </row>
    <row r="444" spans="18:18">
      <c r="R444"/>
    </row>
    <row r="445" spans="18:18">
      <c r="R445"/>
    </row>
    <row r="446" spans="18:18">
      <c r="R446"/>
    </row>
    <row r="447" spans="18:18">
      <c r="R447"/>
    </row>
    <row r="448" spans="18:18">
      <c r="R448"/>
    </row>
    <row r="449" spans="18:18">
      <c r="R449"/>
    </row>
    <row r="450" spans="18:18">
      <c r="R450"/>
    </row>
    <row r="451" spans="18:18">
      <c r="R451"/>
    </row>
    <row r="452" spans="18:18">
      <c r="R452"/>
    </row>
    <row r="453" spans="18:18">
      <c r="R453"/>
    </row>
    <row r="454" spans="18:18">
      <c r="R454"/>
    </row>
    <row r="455" spans="18:18">
      <c r="R455"/>
    </row>
    <row r="456" spans="18:18">
      <c r="R456"/>
    </row>
    <row r="457" spans="18:18">
      <c r="R457"/>
    </row>
    <row r="458" spans="18:18">
      <c r="R458"/>
    </row>
    <row r="459" spans="18:18">
      <c r="R459"/>
    </row>
    <row r="460" spans="18:18">
      <c r="R460"/>
    </row>
    <row r="461" spans="18:18">
      <c r="R461"/>
    </row>
    <row r="462" spans="18:18">
      <c r="R462"/>
    </row>
    <row r="463" spans="18:18">
      <c r="R463"/>
    </row>
    <row r="464" spans="18:18">
      <c r="R464"/>
    </row>
    <row r="465" spans="18:18">
      <c r="R465"/>
    </row>
    <row r="466" spans="18:18">
      <c r="R466"/>
    </row>
    <row r="467" spans="18:18">
      <c r="R467"/>
    </row>
    <row r="468" spans="18:18">
      <c r="R468"/>
    </row>
    <row r="469" spans="18:18">
      <c r="R469"/>
    </row>
    <row r="470" spans="18:18">
      <c r="R470"/>
    </row>
    <row r="471" spans="18:18">
      <c r="R471"/>
    </row>
    <row r="472" spans="18:18">
      <c r="R472"/>
    </row>
    <row r="473" spans="18:18">
      <c r="R473"/>
    </row>
    <row r="474" spans="18:18">
      <c r="R474"/>
    </row>
    <row r="475" spans="18:18">
      <c r="R475"/>
    </row>
    <row r="476" spans="18:18">
      <c r="R476"/>
    </row>
    <row r="477" spans="18:18">
      <c r="R477"/>
    </row>
    <row r="478" spans="18:18">
      <c r="R478"/>
    </row>
    <row r="479" spans="18:18">
      <c r="R479"/>
    </row>
    <row r="480" spans="18:18">
      <c r="R480"/>
    </row>
    <row r="481" spans="18:18">
      <c r="R481"/>
    </row>
    <row r="482" spans="18:18">
      <c r="R482"/>
    </row>
    <row r="483" spans="18:18">
      <c r="R483"/>
    </row>
    <row r="484" spans="18:18">
      <c r="R484"/>
    </row>
    <row r="485" spans="18:18">
      <c r="R485"/>
    </row>
    <row r="486" spans="18:18">
      <c r="R486"/>
    </row>
    <row r="487" spans="18:18">
      <c r="R487"/>
    </row>
    <row r="488" spans="18:18">
      <c r="R488"/>
    </row>
    <row r="489" spans="18:18">
      <c r="R489"/>
    </row>
    <row r="490" spans="18:18">
      <c r="R490"/>
    </row>
    <row r="491" spans="18:18">
      <c r="R491"/>
    </row>
    <row r="492" spans="18:18">
      <c r="R492"/>
    </row>
    <row r="493" spans="18:18">
      <c r="R493"/>
    </row>
    <row r="494" spans="18:18">
      <c r="R494"/>
    </row>
    <row r="495" spans="18:18">
      <c r="R495"/>
    </row>
    <row r="496" spans="18:18">
      <c r="R496"/>
    </row>
    <row r="497" spans="18:18">
      <c r="R497"/>
    </row>
    <row r="498" spans="18:18">
      <c r="R498"/>
    </row>
    <row r="499" spans="18:18">
      <c r="R499"/>
    </row>
    <row r="500" spans="18:18">
      <c r="R500"/>
    </row>
    <row r="501" spans="18:18">
      <c r="R501"/>
    </row>
    <row r="502" spans="18:18">
      <c r="R502"/>
    </row>
    <row r="503" spans="18:18">
      <c r="R503"/>
    </row>
    <row r="504" spans="18:18">
      <c r="R504"/>
    </row>
    <row r="505" spans="18:18">
      <c r="R505"/>
    </row>
    <row r="506" spans="18:18">
      <c r="R506"/>
    </row>
    <row r="507" spans="18:18">
      <c r="R507"/>
    </row>
    <row r="508" spans="18:18">
      <c r="R508"/>
    </row>
    <row r="509" spans="18:18">
      <c r="R509"/>
    </row>
    <row r="510" spans="18:18">
      <c r="R510"/>
    </row>
    <row r="511" spans="18:18">
      <c r="R511"/>
    </row>
    <row r="512" spans="18:18">
      <c r="R512"/>
    </row>
    <row r="513" spans="18:18">
      <c r="R513"/>
    </row>
    <row r="514" spans="18:18">
      <c r="R514"/>
    </row>
    <row r="515" spans="18:18">
      <c r="R515"/>
    </row>
    <row r="516" spans="18:18">
      <c r="R516"/>
    </row>
    <row r="517" spans="18:18">
      <c r="R517"/>
    </row>
    <row r="518" spans="18:18">
      <c r="R518"/>
    </row>
    <row r="519" spans="18:18">
      <c r="R519"/>
    </row>
    <row r="520" spans="18:18">
      <c r="R520"/>
    </row>
    <row r="521" spans="18:18">
      <c r="R521"/>
    </row>
    <row r="522" spans="18:18">
      <c r="R522"/>
    </row>
    <row r="523" spans="18:18">
      <c r="R523"/>
    </row>
    <row r="524" spans="18:18">
      <c r="R524"/>
    </row>
    <row r="525" spans="18:18">
      <c r="R525"/>
    </row>
    <row r="526" spans="18:18">
      <c r="R526"/>
    </row>
    <row r="527" spans="18:18">
      <c r="R527"/>
    </row>
    <row r="528" spans="18:18">
      <c r="R528"/>
    </row>
    <row r="529" spans="18:18">
      <c r="R529"/>
    </row>
    <row r="530" spans="18:18">
      <c r="R530"/>
    </row>
    <row r="531" spans="18:18">
      <c r="R531"/>
    </row>
    <row r="532" spans="18:18">
      <c r="R532"/>
    </row>
    <row r="533" spans="18:18">
      <c r="R533"/>
    </row>
    <row r="534" spans="18:18">
      <c r="R534"/>
    </row>
    <row r="535" spans="18:18">
      <c r="R535"/>
    </row>
    <row r="536" spans="18:18">
      <c r="R536"/>
    </row>
    <row r="537" spans="18:18">
      <c r="R537"/>
    </row>
    <row r="538" spans="18:18">
      <c r="R538"/>
    </row>
    <row r="539" spans="18:18">
      <c r="R539"/>
    </row>
    <row r="540" spans="18:18">
      <c r="R540"/>
    </row>
    <row r="541" spans="18:18">
      <c r="R541"/>
    </row>
    <row r="542" spans="18:18">
      <c r="R542"/>
    </row>
    <row r="543" spans="18:18">
      <c r="R543"/>
    </row>
    <row r="544" spans="18:18">
      <c r="R544"/>
    </row>
    <row r="545" spans="18:18">
      <c r="R545"/>
    </row>
    <row r="546" spans="18:18">
      <c r="R546"/>
    </row>
    <row r="547" spans="18:18">
      <c r="R547"/>
    </row>
    <row r="548" spans="18:18">
      <c r="R548"/>
    </row>
    <row r="549" spans="18:18">
      <c r="R549"/>
    </row>
    <row r="550" spans="18:18">
      <c r="R550"/>
    </row>
    <row r="551" spans="18:18">
      <c r="R551"/>
    </row>
    <row r="552" spans="18:18">
      <c r="R552"/>
    </row>
    <row r="553" spans="18:18">
      <c r="R553"/>
    </row>
    <row r="554" spans="18:18">
      <c r="R554"/>
    </row>
    <row r="555" spans="18:18">
      <c r="R555"/>
    </row>
    <row r="556" spans="18:18">
      <c r="R556"/>
    </row>
    <row r="557" spans="18:18">
      <c r="R557"/>
    </row>
    <row r="558" spans="18:18">
      <c r="R558"/>
    </row>
    <row r="559" spans="18:18">
      <c r="R559"/>
    </row>
    <row r="560" spans="18:18">
      <c r="R560"/>
    </row>
    <row r="561" spans="18:18">
      <c r="R561"/>
    </row>
    <row r="562" spans="18:18">
      <c r="R562"/>
    </row>
    <row r="563" spans="18:18">
      <c r="R563"/>
    </row>
    <row r="564" spans="18:18">
      <c r="R564"/>
    </row>
    <row r="565" spans="18:18">
      <c r="R565"/>
    </row>
    <row r="566" spans="18:18">
      <c r="R566"/>
    </row>
    <row r="567" spans="18:18">
      <c r="R567"/>
    </row>
    <row r="568" spans="18:18">
      <c r="R568"/>
    </row>
    <row r="569" spans="18:18">
      <c r="R569"/>
    </row>
    <row r="570" spans="18:18">
      <c r="R570"/>
    </row>
    <row r="571" spans="18:18">
      <c r="R571"/>
    </row>
    <row r="572" spans="18:18">
      <c r="R572"/>
    </row>
    <row r="573" spans="18:18">
      <c r="R573"/>
    </row>
    <row r="574" spans="18:18">
      <c r="R574"/>
    </row>
    <row r="575" spans="18:18">
      <c r="R575"/>
    </row>
    <row r="576" spans="18:18">
      <c r="R576"/>
    </row>
    <row r="577" spans="18:18">
      <c r="R577"/>
    </row>
    <row r="578" spans="18:18">
      <c r="R578"/>
    </row>
    <row r="579" spans="18:18">
      <c r="R579"/>
    </row>
    <row r="580" spans="18:18">
      <c r="R580"/>
    </row>
    <row r="581" spans="18:18">
      <c r="R581"/>
    </row>
    <row r="582" spans="18:18">
      <c r="R582"/>
    </row>
    <row r="583" spans="18:18">
      <c r="R583"/>
    </row>
    <row r="584" spans="18:18">
      <c r="R584"/>
    </row>
    <row r="585" spans="18:18">
      <c r="R585"/>
    </row>
    <row r="586" spans="18:18">
      <c r="R586"/>
    </row>
    <row r="587" spans="18:18">
      <c r="R587"/>
    </row>
    <row r="588" spans="18:18">
      <c r="R588"/>
    </row>
    <row r="589" spans="18:18">
      <c r="R589"/>
    </row>
    <row r="590" spans="18:18">
      <c r="R590"/>
    </row>
    <row r="591" spans="18:18">
      <c r="R591"/>
    </row>
    <row r="592" spans="18:18">
      <c r="R592"/>
    </row>
    <row r="593" spans="18:18">
      <c r="R593"/>
    </row>
    <row r="594" spans="18:18">
      <c r="R594"/>
    </row>
    <row r="595" spans="18:18">
      <c r="R595"/>
    </row>
    <row r="596" spans="18:18">
      <c r="R596"/>
    </row>
    <row r="597" spans="18:18">
      <c r="R597"/>
    </row>
    <row r="598" spans="18:18">
      <c r="R598"/>
    </row>
    <row r="599" spans="18:18">
      <c r="R599"/>
    </row>
    <row r="600" spans="18:18">
      <c r="R600"/>
    </row>
    <row r="601" spans="18:18">
      <c r="R601"/>
    </row>
    <row r="602" spans="18:18">
      <c r="R602"/>
    </row>
    <row r="603" spans="18:18">
      <c r="R603"/>
    </row>
    <row r="604" spans="18:18">
      <c r="R604"/>
    </row>
    <row r="605" spans="18:18">
      <c r="R605"/>
    </row>
    <row r="606" spans="18:18">
      <c r="R606"/>
    </row>
    <row r="607" spans="18:18">
      <c r="R607"/>
    </row>
    <row r="608" spans="18:18">
      <c r="R608"/>
    </row>
    <row r="609" spans="18:18">
      <c r="R609"/>
    </row>
    <row r="610" spans="18:18">
      <c r="R610"/>
    </row>
    <row r="611" spans="18:18">
      <c r="R611"/>
    </row>
    <row r="612" spans="18:18">
      <c r="R612"/>
    </row>
    <row r="613" spans="18:18">
      <c r="R613"/>
    </row>
    <row r="614" spans="18:18">
      <c r="R614"/>
    </row>
    <row r="615" spans="18:18">
      <c r="R615"/>
    </row>
    <row r="616" spans="18:18">
      <c r="R616"/>
    </row>
    <row r="617" spans="18:18">
      <c r="R617"/>
    </row>
    <row r="618" spans="18:18">
      <c r="R618"/>
    </row>
    <row r="619" spans="18:18">
      <c r="R619"/>
    </row>
    <row r="620" spans="18:18">
      <c r="R620"/>
    </row>
    <row r="621" spans="18:18">
      <c r="R621"/>
    </row>
    <row r="622" spans="18:18">
      <c r="R622"/>
    </row>
    <row r="623" spans="18:18">
      <c r="R623"/>
    </row>
    <row r="624" spans="18:18">
      <c r="R624"/>
    </row>
    <row r="625" spans="18:18">
      <c r="R625"/>
    </row>
    <row r="626" spans="18:18">
      <c r="R626"/>
    </row>
    <row r="627" spans="18:18">
      <c r="R627"/>
    </row>
    <row r="628" spans="18:18">
      <c r="R628"/>
    </row>
    <row r="629" spans="18:18">
      <c r="R629"/>
    </row>
    <row r="630" spans="18:18">
      <c r="R630"/>
    </row>
    <row r="631" spans="18:18">
      <c r="R631"/>
    </row>
    <row r="632" spans="18:18">
      <c r="R632"/>
    </row>
    <row r="633" spans="18:18">
      <c r="R633"/>
    </row>
    <row r="634" spans="18:18">
      <c r="R634"/>
    </row>
    <row r="635" spans="18:18">
      <c r="R635"/>
    </row>
    <row r="636" spans="18:18">
      <c r="R636"/>
    </row>
    <row r="637" spans="18:18">
      <c r="R637"/>
    </row>
    <row r="638" spans="18:18">
      <c r="R638"/>
    </row>
    <row r="639" spans="18:18">
      <c r="R639"/>
    </row>
    <row r="640" spans="18:18">
      <c r="R640"/>
    </row>
    <row r="641" spans="18:18">
      <c r="R641"/>
    </row>
    <row r="642" spans="18:18">
      <c r="R642"/>
    </row>
    <row r="643" spans="18:18">
      <c r="R643"/>
    </row>
    <row r="644" spans="18:18">
      <c r="R644"/>
    </row>
    <row r="645" spans="18:18">
      <c r="R645"/>
    </row>
    <row r="646" spans="18:18">
      <c r="R646"/>
    </row>
    <row r="647" spans="18:18">
      <c r="R647"/>
    </row>
    <row r="648" spans="18:18">
      <c r="R648"/>
    </row>
    <row r="649" spans="18:18">
      <c r="R649"/>
    </row>
    <row r="650" spans="18:18">
      <c r="R650"/>
    </row>
    <row r="651" spans="18:18">
      <c r="R651"/>
    </row>
    <row r="652" spans="18:18">
      <c r="R652"/>
    </row>
    <row r="653" spans="18:18">
      <c r="R653"/>
    </row>
    <row r="654" spans="18:18">
      <c r="R654"/>
    </row>
    <row r="655" spans="18:18">
      <c r="R655"/>
    </row>
    <row r="656" spans="18:18">
      <c r="R656"/>
    </row>
    <row r="657" spans="18:18">
      <c r="R657"/>
    </row>
    <row r="658" spans="18:18">
      <c r="R658"/>
    </row>
    <row r="659" spans="18:18">
      <c r="R659"/>
    </row>
    <row r="660" spans="18:18">
      <c r="R660"/>
    </row>
    <row r="661" spans="18:18">
      <c r="R661"/>
    </row>
    <row r="662" spans="18:18">
      <c r="R662"/>
    </row>
    <row r="663" spans="18:18">
      <c r="R663"/>
    </row>
    <row r="664" spans="18:18">
      <c r="R664"/>
    </row>
    <row r="665" spans="18:18">
      <c r="R665"/>
    </row>
    <row r="666" spans="18:18">
      <c r="R666"/>
    </row>
    <row r="667" spans="18:18">
      <c r="R667"/>
    </row>
    <row r="668" spans="18:18">
      <c r="R668"/>
    </row>
    <row r="669" spans="18:18">
      <c r="R669"/>
    </row>
    <row r="670" spans="18:18">
      <c r="R670"/>
    </row>
    <row r="671" spans="18:18">
      <c r="R671"/>
    </row>
    <row r="672" spans="18:18">
      <c r="R672"/>
    </row>
    <row r="673" spans="18:18">
      <c r="R673"/>
    </row>
    <row r="674" spans="18:18">
      <c r="R674"/>
    </row>
    <row r="675" spans="18:18">
      <c r="R675"/>
    </row>
    <row r="676" spans="18:18">
      <c r="R676"/>
    </row>
    <row r="677" spans="18:18">
      <c r="R677"/>
    </row>
    <row r="678" spans="18:18">
      <c r="R678"/>
    </row>
    <row r="679" spans="18:18">
      <c r="R679"/>
    </row>
    <row r="680" spans="18:18">
      <c r="R680"/>
    </row>
    <row r="681" spans="18:18">
      <c r="R681"/>
    </row>
    <row r="682" spans="18:18">
      <c r="R682"/>
    </row>
    <row r="683" spans="18:18">
      <c r="R683"/>
    </row>
    <row r="684" spans="18:18">
      <c r="R684"/>
    </row>
    <row r="685" spans="18:18">
      <c r="R685"/>
    </row>
    <row r="686" spans="18:18">
      <c r="R686"/>
    </row>
    <row r="687" spans="18:18">
      <c r="R687"/>
    </row>
    <row r="688" spans="18:18">
      <c r="R688"/>
    </row>
    <row r="689" spans="18:18">
      <c r="R689"/>
    </row>
    <row r="690" spans="18:18">
      <c r="R690"/>
    </row>
    <row r="691" spans="18:18">
      <c r="R691"/>
    </row>
    <row r="692" spans="18:18">
      <c r="R692"/>
    </row>
    <row r="693" spans="18:18">
      <c r="R693"/>
    </row>
    <row r="694" spans="18:18">
      <c r="R694"/>
    </row>
    <row r="695" spans="18:18">
      <c r="R695"/>
    </row>
    <row r="696" spans="18:18">
      <c r="R696"/>
    </row>
    <row r="697" spans="18:18">
      <c r="R697"/>
    </row>
    <row r="698" spans="18:18">
      <c r="R698"/>
    </row>
    <row r="699" spans="18:18">
      <c r="R699"/>
    </row>
    <row r="700" spans="18:18">
      <c r="R700"/>
    </row>
    <row r="701" spans="18:18">
      <c r="R701"/>
    </row>
    <row r="702" spans="18:18">
      <c r="R702"/>
    </row>
    <row r="703" spans="18:18">
      <c r="R703"/>
    </row>
    <row r="704" spans="18:18">
      <c r="R704"/>
    </row>
    <row r="705" spans="18:18">
      <c r="R705"/>
    </row>
    <row r="706" spans="18:18">
      <c r="R706"/>
    </row>
    <row r="707" spans="18:18">
      <c r="R707"/>
    </row>
    <row r="708" spans="18:18">
      <c r="R708"/>
    </row>
    <row r="709" spans="18:18">
      <c r="R709"/>
    </row>
    <row r="710" spans="18:18">
      <c r="R710"/>
    </row>
    <row r="711" spans="18:18">
      <c r="R711"/>
    </row>
    <row r="712" spans="18:18">
      <c r="R712"/>
    </row>
    <row r="713" spans="18:18">
      <c r="R713"/>
    </row>
    <row r="714" spans="18:18">
      <c r="R714"/>
    </row>
    <row r="715" spans="18:18">
      <c r="R715"/>
    </row>
    <row r="716" spans="18:18">
      <c r="R716"/>
    </row>
    <row r="717" spans="18:18">
      <c r="R717"/>
    </row>
    <row r="718" spans="18:18">
      <c r="R718"/>
    </row>
    <row r="719" spans="18:18">
      <c r="R719"/>
    </row>
    <row r="720" spans="18:18">
      <c r="R720"/>
    </row>
    <row r="721" spans="18:18">
      <c r="R721"/>
    </row>
    <row r="722" spans="18:18">
      <c r="R722"/>
    </row>
    <row r="723" spans="18:18">
      <c r="R723"/>
    </row>
    <row r="724" spans="18:18">
      <c r="R724"/>
    </row>
    <row r="725" spans="18:18">
      <c r="R725"/>
    </row>
    <row r="726" spans="18:18">
      <c r="R726"/>
    </row>
    <row r="727" spans="18:18">
      <c r="R727"/>
    </row>
    <row r="728" spans="18:18">
      <c r="R728"/>
    </row>
    <row r="729" spans="18:18">
      <c r="R729"/>
    </row>
    <row r="730" spans="18:18">
      <c r="R730"/>
    </row>
    <row r="731" spans="18:18">
      <c r="R731"/>
    </row>
    <row r="732" spans="18:18">
      <c r="R732"/>
    </row>
    <row r="733" spans="18:18">
      <c r="R733"/>
    </row>
    <row r="734" spans="18:18">
      <c r="R734"/>
    </row>
    <row r="735" spans="18:18">
      <c r="R735"/>
    </row>
    <row r="736" spans="18:18">
      <c r="R736"/>
    </row>
    <row r="737" spans="18:18">
      <c r="R737"/>
    </row>
    <row r="738" spans="18:18">
      <c r="R738"/>
    </row>
    <row r="739" spans="18:18">
      <c r="R739"/>
    </row>
    <row r="740" spans="18:18">
      <c r="R740"/>
    </row>
    <row r="741" spans="18:18">
      <c r="R741"/>
    </row>
    <row r="742" spans="18:18">
      <c r="R742"/>
    </row>
    <row r="743" spans="18:18">
      <c r="R743"/>
    </row>
    <row r="744" spans="18:18">
      <c r="R744"/>
    </row>
    <row r="745" spans="18:18">
      <c r="R745"/>
    </row>
    <row r="746" spans="18:18">
      <c r="R746"/>
    </row>
    <row r="747" spans="18:18">
      <c r="R747"/>
    </row>
    <row r="748" spans="18:18">
      <c r="R748"/>
    </row>
    <row r="749" spans="18:18">
      <c r="R749"/>
    </row>
    <row r="750" spans="18:18">
      <c r="R750"/>
    </row>
    <row r="751" spans="18:18">
      <c r="R751"/>
    </row>
    <row r="752" spans="18:18">
      <c r="R752"/>
    </row>
    <row r="753" spans="18:18">
      <c r="R753"/>
    </row>
    <row r="754" spans="18:18">
      <c r="R754"/>
    </row>
    <row r="755" spans="18:18">
      <c r="R755"/>
    </row>
    <row r="756" spans="18:18">
      <c r="R756"/>
    </row>
    <row r="757" spans="18:18">
      <c r="R757"/>
    </row>
    <row r="758" spans="18:18">
      <c r="R758"/>
    </row>
    <row r="759" spans="18:18">
      <c r="R759"/>
    </row>
    <row r="760" spans="18:18">
      <c r="R760"/>
    </row>
    <row r="761" spans="18:18">
      <c r="R761"/>
    </row>
    <row r="762" spans="18:18">
      <c r="R762"/>
    </row>
    <row r="763" spans="18:18">
      <c r="R763"/>
    </row>
    <row r="764" spans="18:18">
      <c r="R764"/>
    </row>
    <row r="765" spans="18:18">
      <c r="R765"/>
    </row>
    <row r="766" spans="18:18">
      <c r="R766"/>
    </row>
    <row r="767" spans="18:18">
      <c r="R767"/>
    </row>
    <row r="768" spans="18:18">
      <c r="R768"/>
    </row>
    <row r="769" spans="18:18">
      <c r="R769"/>
    </row>
    <row r="770" spans="18:18">
      <c r="R770"/>
    </row>
    <row r="771" spans="18:18">
      <c r="R771"/>
    </row>
    <row r="772" spans="18:18">
      <c r="R772"/>
    </row>
    <row r="773" spans="18:18">
      <c r="R773"/>
    </row>
    <row r="774" spans="18:18">
      <c r="R774"/>
    </row>
    <row r="775" spans="18:18">
      <c r="R775"/>
    </row>
    <row r="776" spans="18:18">
      <c r="R776"/>
    </row>
    <row r="777" spans="18:18">
      <c r="R777"/>
    </row>
    <row r="778" spans="18:18">
      <c r="R778"/>
    </row>
    <row r="779" spans="18:18">
      <c r="R779"/>
    </row>
    <row r="780" spans="18:18">
      <c r="R780"/>
    </row>
    <row r="781" spans="18:18">
      <c r="R781"/>
    </row>
    <row r="782" spans="18:18">
      <c r="R782"/>
    </row>
    <row r="783" spans="18:18">
      <c r="R783"/>
    </row>
    <row r="784" spans="18:18">
      <c r="R784"/>
    </row>
    <row r="785" spans="18:18">
      <c r="R785"/>
    </row>
    <row r="786" spans="18:18">
      <c r="R786"/>
    </row>
    <row r="787" spans="18:18">
      <c r="R787"/>
    </row>
    <row r="788" spans="18:18">
      <c r="R788"/>
    </row>
    <row r="789" spans="18:18">
      <c r="R789"/>
    </row>
    <row r="790" spans="18:18">
      <c r="R790"/>
    </row>
    <row r="791" spans="18:18">
      <c r="R791"/>
    </row>
    <row r="792" spans="18:18">
      <c r="R792"/>
    </row>
    <row r="793" spans="18:18">
      <c r="R793"/>
    </row>
    <row r="794" spans="18:18">
      <c r="R794"/>
    </row>
    <row r="795" spans="18:18">
      <c r="R795"/>
    </row>
    <row r="796" spans="18:18">
      <c r="R796"/>
    </row>
    <row r="797" spans="18:18">
      <c r="R797"/>
    </row>
    <row r="798" spans="18:18">
      <c r="R798"/>
    </row>
    <row r="799" spans="18:18">
      <c r="R799"/>
    </row>
    <row r="800" spans="18:18">
      <c r="R800"/>
    </row>
    <row r="801" spans="18:18">
      <c r="R801"/>
    </row>
    <row r="802" spans="18:18">
      <c r="R802"/>
    </row>
    <row r="803" spans="18:18">
      <c r="R803"/>
    </row>
    <row r="804" spans="18:18">
      <c r="R804"/>
    </row>
    <row r="805" spans="18:18">
      <c r="R805"/>
    </row>
    <row r="806" spans="18:18">
      <c r="R806"/>
    </row>
    <row r="807" spans="18:18">
      <c r="R807"/>
    </row>
    <row r="808" spans="18:18">
      <c r="R808"/>
    </row>
    <row r="809" spans="18:18">
      <c r="R809"/>
    </row>
    <row r="810" spans="18:18">
      <c r="R810"/>
    </row>
    <row r="811" spans="18:18">
      <c r="R811"/>
    </row>
    <row r="812" spans="18:18">
      <c r="R812"/>
    </row>
    <row r="813" spans="18:18">
      <c r="R813"/>
    </row>
    <row r="814" spans="18:18">
      <c r="R814"/>
    </row>
    <row r="815" spans="18:18">
      <c r="R815"/>
    </row>
    <row r="816" spans="18:18">
      <c r="R816"/>
    </row>
    <row r="817" spans="18:18">
      <c r="R817"/>
    </row>
    <row r="818" spans="18:18">
      <c r="R818"/>
    </row>
    <row r="819" spans="18:18">
      <c r="R819"/>
    </row>
    <row r="820" spans="18:18">
      <c r="R820"/>
    </row>
    <row r="821" spans="18:18">
      <c r="R821"/>
    </row>
    <row r="822" spans="18:18">
      <c r="R822"/>
    </row>
    <row r="823" spans="18:18">
      <c r="R823"/>
    </row>
    <row r="824" spans="18:18">
      <c r="R824"/>
    </row>
    <row r="825" spans="18:18">
      <c r="R825"/>
    </row>
    <row r="826" spans="18:18">
      <c r="R826"/>
    </row>
    <row r="827" spans="18:18">
      <c r="R827"/>
    </row>
    <row r="828" spans="18:18">
      <c r="R828"/>
    </row>
    <row r="829" spans="18:18">
      <c r="R829"/>
    </row>
    <row r="830" spans="18:18">
      <c r="R830"/>
    </row>
    <row r="831" spans="18:18">
      <c r="R831"/>
    </row>
    <row r="832" spans="18:18">
      <c r="R832"/>
    </row>
    <row r="833" spans="18:18">
      <c r="R833"/>
    </row>
    <row r="834" spans="18:18">
      <c r="R834"/>
    </row>
    <row r="835" spans="18:18">
      <c r="R835"/>
    </row>
    <row r="836" spans="18:18">
      <c r="R836"/>
    </row>
    <row r="837" spans="18:18">
      <c r="R837"/>
    </row>
    <row r="838" spans="18:18">
      <c r="R838"/>
    </row>
    <row r="839" spans="18:18">
      <c r="R839"/>
    </row>
    <row r="840" spans="18:18">
      <c r="R840"/>
    </row>
    <row r="841" spans="18:18">
      <c r="R841"/>
    </row>
    <row r="842" spans="18:18">
      <c r="R842"/>
    </row>
    <row r="843" spans="18:18">
      <c r="R843"/>
    </row>
    <row r="844" spans="18:18">
      <c r="R844"/>
    </row>
    <row r="845" spans="18:18">
      <c r="R845"/>
    </row>
    <row r="846" spans="18:18">
      <c r="R846"/>
    </row>
    <row r="847" spans="18:18">
      <c r="R847"/>
    </row>
    <row r="848" spans="18:18">
      <c r="R848"/>
    </row>
    <row r="849" spans="18:18">
      <c r="R849"/>
    </row>
    <row r="850" spans="18:18">
      <c r="R850"/>
    </row>
    <row r="851" spans="18:18">
      <c r="R851"/>
    </row>
    <row r="852" spans="18:18">
      <c r="R852"/>
    </row>
    <row r="853" spans="18:18">
      <c r="R853"/>
    </row>
    <row r="854" spans="18:18">
      <c r="R854"/>
    </row>
    <row r="855" spans="18:18">
      <c r="R855"/>
    </row>
    <row r="856" spans="18:18">
      <c r="R856"/>
    </row>
    <row r="857" spans="18:18">
      <c r="R857"/>
    </row>
    <row r="858" spans="18:18">
      <c r="R858"/>
    </row>
    <row r="859" spans="18:18">
      <c r="R859"/>
    </row>
    <row r="860" spans="18:18">
      <c r="R860"/>
    </row>
    <row r="861" spans="18:18">
      <c r="R861"/>
    </row>
    <row r="862" spans="18:18">
      <c r="R862"/>
    </row>
    <row r="863" spans="18:18">
      <c r="R863"/>
    </row>
    <row r="864" spans="18:18">
      <c r="R864"/>
    </row>
    <row r="865" spans="18:18">
      <c r="R865"/>
    </row>
    <row r="866" spans="18:18">
      <c r="R866"/>
    </row>
    <row r="867" spans="18:18">
      <c r="R867"/>
    </row>
    <row r="868" spans="18:18">
      <c r="R868"/>
    </row>
    <row r="869" spans="18:18">
      <c r="R869"/>
    </row>
    <row r="870" spans="18:18">
      <c r="R870"/>
    </row>
    <row r="871" spans="18:18">
      <c r="R871"/>
    </row>
    <row r="872" spans="18:18">
      <c r="R872"/>
    </row>
    <row r="873" spans="18:18">
      <c r="R873"/>
    </row>
    <row r="874" spans="18:18">
      <c r="R874"/>
    </row>
    <row r="875" spans="18:18">
      <c r="R875"/>
    </row>
    <row r="876" spans="18:18">
      <c r="R876"/>
    </row>
    <row r="877" spans="18:18">
      <c r="R877"/>
    </row>
    <row r="878" spans="18:18">
      <c r="R878"/>
    </row>
    <row r="879" spans="18:18">
      <c r="R879"/>
    </row>
    <row r="880" spans="18:18">
      <c r="R880"/>
    </row>
    <row r="881" spans="18:18">
      <c r="R881"/>
    </row>
    <row r="882" spans="18:18">
      <c r="R882"/>
    </row>
    <row r="883" spans="18:18">
      <c r="R883"/>
    </row>
    <row r="884" spans="18:18">
      <c r="R884"/>
    </row>
    <row r="885" spans="18:18">
      <c r="R885"/>
    </row>
    <row r="886" spans="18:18">
      <c r="R886"/>
    </row>
    <row r="887" spans="18:18">
      <c r="R887"/>
    </row>
    <row r="888" spans="18:18">
      <c r="R888"/>
    </row>
    <row r="889" spans="18:18">
      <c r="R889"/>
    </row>
    <row r="890" spans="18:18">
      <c r="R890"/>
    </row>
    <row r="891" spans="18:18">
      <c r="R891"/>
    </row>
    <row r="892" spans="18:18">
      <c r="R892"/>
    </row>
    <row r="893" spans="18:18">
      <c r="R893"/>
    </row>
    <row r="894" spans="18:18">
      <c r="R894"/>
    </row>
    <row r="895" spans="18:18">
      <c r="R895"/>
    </row>
    <row r="896" spans="18:18">
      <c r="R896"/>
    </row>
    <row r="897" spans="18:18">
      <c r="R897"/>
    </row>
    <row r="898" spans="18:18">
      <c r="R898"/>
    </row>
    <row r="899" spans="18:18">
      <c r="R899"/>
    </row>
    <row r="900" spans="18:18">
      <c r="R900"/>
    </row>
    <row r="901" spans="18:18">
      <c r="R901"/>
    </row>
    <row r="902" spans="18:18">
      <c r="R902"/>
    </row>
    <row r="903" spans="18:18">
      <c r="R903"/>
    </row>
    <row r="904" spans="18:18">
      <c r="R904"/>
    </row>
    <row r="905" spans="18:18">
      <c r="R905"/>
    </row>
    <row r="906" spans="18:18">
      <c r="R906"/>
    </row>
    <row r="907" spans="18:18">
      <c r="R907"/>
    </row>
    <row r="908" spans="18:18">
      <c r="R908"/>
    </row>
    <row r="909" spans="18:18">
      <c r="R909"/>
    </row>
    <row r="910" spans="18:18">
      <c r="R910"/>
    </row>
    <row r="911" spans="18:18">
      <c r="R911"/>
    </row>
    <row r="912" spans="18:18">
      <c r="R912"/>
    </row>
    <row r="913" spans="18:18">
      <c r="R913"/>
    </row>
    <row r="914" spans="18:18">
      <c r="R914"/>
    </row>
    <row r="915" spans="18:18">
      <c r="R915"/>
    </row>
    <row r="916" spans="18:18">
      <c r="R916"/>
    </row>
    <row r="917" spans="18:18">
      <c r="R917"/>
    </row>
    <row r="918" spans="18:18">
      <c r="R918"/>
    </row>
    <row r="919" spans="18:18">
      <c r="R919"/>
    </row>
    <row r="920" spans="18:18">
      <c r="R920"/>
    </row>
    <row r="921" spans="18:18">
      <c r="R921"/>
    </row>
    <row r="922" spans="18:18">
      <c r="R922"/>
    </row>
    <row r="923" spans="18:18">
      <c r="R923"/>
    </row>
    <row r="924" spans="18:18">
      <c r="R924"/>
    </row>
    <row r="925" spans="18:18">
      <c r="R925"/>
    </row>
    <row r="926" spans="18:18">
      <c r="R926"/>
    </row>
    <row r="927" spans="18:18">
      <c r="R927"/>
    </row>
    <row r="928" spans="18:18">
      <c r="R928"/>
    </row>
    <row r="929" spans="18:18">
      <c r="R929"/>
    </row>
    <row r="930" spans="18:18">
      <c r="R930"/>
    </row>
    <row r="931" spans="18:18">
      <c r="R931"/>
    </row>
    <row r="932" spans="18:18">
      <c r="R932"/>
    </row>
    <row r="933" spans="18:18">
      <c r="R933"/>
    </row>
    <row r="934" spans="18:18">
      <c r="R934"/>
    </row>
    <row r="935" spans="18:18">
      <c r="R935"/>
    </row>
    <row r="936" spans="18:18">
      <c r="R936"/>
    </row>
    <row r="937" spans="18:18">
      <c r="R937"/>
    </row>
    <row r="938" spans="18:18">
      <c r="R938"/>
    </row>
    <row r="939" spans="18:18">
      <c r="R939"/>
    </row>
    <row r="940" spans="18:18">
      <c r="R940"/>
    </row>
    <row r="941" spans="18:18">
      <c r="R941"/>
    </row>
    <row r="942" spans="18:18">
      <c r="R942"/>
    </row>
    <row r="943" spans="18:18">
      <c r="R943"/>
    </row>
    <row r="944" spans="18:18">
      <c r="R944"/>
    </row>
    <row r="945" spans="18:18">
      <c r="R945"/>
    </row>
    <row r="946" spans="18:18">
      <c r="R946"/>
    </row>
    <row r="947" spans="18:18">
      <c r="R947"/>
    </row>
    <row r="948" spans="18:18">
      <c r="R948"/>
    </row>
    <row r="949" spans="18:18">
      <c r="R949"/>
    </row>
    <row r="950" spans="18:18">
      <c r="R950"/>
    </row>
    <row r="951" spans="18:18">
      <c r="R951"/>
    </row>
    <row r="952" spans="18:18">
      <c r="R952"/>
    </row>
    <row r="953" spans="18:18">
      <c r="R953"/>
    </row>
    <row r="954" spans="18:18">
      <c r="R954"/>
    </row>
    <row r="955" spans="18:18">
      <c r="R955"/>
    </row>
    <row r="956" spans="18:18">
      <c r="R956"/>
    </row>
    <row r="957" spans="18:18">
      <c r="R957"/>
    </row>
    <row r="958" spans="18:18">
      <c r="R958"/>
    </row>
    <row r="959" spans="18:18">
      <c r="R959"/>
    </row>
    <row r="960" spans="18:18">
      <c r="R960"/>
    </row>
    <row r="961" spans="18:18">
      <c r="R961"/>
    </row>
    <row r="962" spans="18:18">
      <c r="R962"/>
    </row>
    <row r="963" spans="18:18">
      <c r="R963"/>
    </row>
    <row r="964" spans="18:18">
      <c r="R964"/>
    </row>
    <row r="965" spans="18:18">
      <c r="R965"/>
    </row>
    <row r="966" spans="18:18">
      <c r="R966"/>
    </row>
    <row r="967" spans="18:18">
      <c r="R967"/>
    </row>
    <row r="968" spans="18:18">
      <c r="R968"/>
    </row>
    <row r="969" spans="18:18">
      <c r="R969"/>
    </row>
    <row r="970" spans="18:18">
      <c r="R970"/>
    </row>
    <row r="971" spans="18:18">
      <c r="R971"/>
    </row>
    <row r="972" spans="18:18">
      <c r="R972"/>
    </row>
    <row r="973" spans="18:18">
      <c r="R973"/>
    </row>
    <row r="974" spans="18:18">
      <c r="R974"/>
    </row>
    <row r="975" spans="18:18">
      <c r="R975"/>
    </row>
    <row r="976" spans="18:18">
      <c r="R976"/>
    </row>
    <row r="977" spans="18:18">
      <c r="R977"/>
    </row>
    <row r="978" spans="18:18">
      <c r="R978"/>
    </row>
    <row r="979" spans="18:18">
      <c r="R979"/>
    </row>
    <row r="980" spans="18:18">
      <c r="R980"/>
    </row>
    <row r="981" spans="18:18">
      <c r="R981"/>
    </row>
    <row r="982" spans="18:18">
      <c r="R982"/>
    </row>
    <row r="983" spans="18:18">
      <c r="R983"/>
    </row>
    <row r="984" spans="18:18">
      <c r="R984"/>
    </row>
    <row r="985" spans="18:18">
      <c r="R985"/>
    </row>
    <row r="986" spans="18:18">
      <c r="R986"/>
    </row>
    <row r="987" spans="18:18">
      <c r="R987"/>
    </row>
    <row r="988" spans="18:18">
      <c r="R988"/>
    </row>
    <row r="989" spans="18:18">
      <c r="R989"/>
    </row>
    <row r="990" spans="18:18">
      <c r="R990"/>
    </row>
    <row r="991" spans="18:18">
      <c r="R991"/>
    </row>
    <row r="992" spans="18:18">
      <c r="R992"/>
    </row>
    <row r="993" spans="18:18">
      <c r="R993"/>
    </row>
    <row r="994" spans="18:18">
      <c r="R994"/>
    </row>
    <row r="995" spans="18:18">
      <c r="R995"/>
    </row>
    <row r="996" spans="18:18">
      <c r="R996"/>
    </row>
    <row r="997" spans="18:18">
      <c r="R997"/>
    </row>
    <row r="998" spans="18:18">
      <c r="R998"/>
    </row>
    <row r="999" spans="18:18">
      <c r="R999"/>
    </row>
    <row r="1000" spans="18:18">
      <c r="R1000"/>
    </row>
    <row r="1001" spans="18:18">
      <c r="R1001"/>
    </row>
    <row r="1002" spans="18:18">
      <c r="R1002"/>
    </row>
    <row r="1003" spans="18:18">
      <c r="R1003"/>
    </row>
    <row r="1004" spans="18:18">
      <c r="R1004"/>
    </row>
    <row r="1005" spans="18:18">
      <c r="R1005"/>
    </row>
    <row r="1006" spans="18:18">
      <c r="R1006"/>
    </row>
    <row r="1007" spans="18:18">
      <c r="R1007"/>
    </row>
    <row r="1008" spans="18:18">
      <c r="R1008"/>
    </row>
    <row r="1009" spans="18:18">
      <c r="R1009"/>
    </row>
    <row r="1010" spans="18:18">
      <c r="R1010"/>
    </row>
    <row r="1011" spans="18:18">
      <c r="R1011"/>
    </row>
    <row r="1012" spans="18:18">
      <c r="R1012"/>
    </row>
    <row r="1013" spans="18:18">
      <c r="R1013"/>
    </row>
    <row r="1014" spans="18:18">
      <c r="R1014"/>
    </row>
    <row r="1015" spans="18:18">
      <c r="R1015"/>
    </row>
    <row r="1016" spans="18:18">
      <c r="R1016"/>
    </row>
    <row r="1017" spans="18:18">
      <c r="R1017"/>
    </row>
    <row r="1018" spans="18:18">
      <c r="R1018"/>
    </row>
    <row r="1019" spans="18:18">
      <c r="R1019"/>
    </row>
    <row r="1020" spans="18:18">
      <c r="R1020"/>
    </row>
    <row r="1021" spans="18:18">
      <c r="R1021"/>
    </row>
    <row r="1022" spans="18:18">
      <c r="R1022"/>
    </row>
    <row r="1023" spans="18:18">
      <c r="R1023"/>
    </row>
    <row r="1024" spans="18:18">
      <c r="R1024"/>
    </row>
    <row r="1025" spans="18:18">
      <c r="R1025"/>
    </row>
    <row r="1026" spans="18:18">
      <c r="R1026"/>
    </row>
    <row r="1027" spans="18:18">
      <c r="R1027"/>
    </row>
    <row r="1028" spans="18:18">
      <c r="R1028"/>
    </row>
    <row r="1029" spans="18:18">
      <c r="R1029"/>
    </row>
    <row r="1030" spans="18:18">
      <c r="R1030"/>
    </row>
    <row r="1031" spans="18:18">
      <c r="R1031"/>
    </row>
    <row r="1032" spans="18:18">
      <c r="R1032"/>
    </row>
    <row r="1033" spans="18:18">
      <c r="R1033"/>
    </row>
    <row r="1034" spans="18:18">
      <c r="R1034"/>
    </row>
    <row r="1035" spans="18:18">
      <c r="R1035"/>
    </row>
    <row r="1036" spans="18:18">
      <c r="R1036"/>
    </row>
    <row r="1037" spans="18:18">
      <c r="R1037"/>
    </row>
    <row r="1038" spans="18:18">
      <c r="R1038"/>
    </row>
    <row r="1039" spans="18:18">
      <c r="R1039"/>
    </row>
    <row r="1040" spans="18:18">
      <c r="R1040"/>
    </row>
    <row r="1041" spans="18:18">
      <c r="R1041"/>
    </row>
    <row r="1042" spans="18:18">
      <c r="R1042"/>
    </row>
    <row r="1043" spans="18:18">
      <c r="R1043"/>
    </row>
    <row r="1044" spans="18:18">
      <c r="R1044"/>
    </row>
    <row r="1045" spans="18:18">
      <c r="R1045"/>
    </row>
    <row r="1046" spans="18:18">
      <c r="R1046"/>
    </row>
    <row r="1047" spans="18:18">
      <c r="R1047"/>
    </row>
    <row r="1048" spans="18:18">
      <c r="R1048"/>
    </row>
    <row r="1049" spans="18:18">
      <c r="R1049"/>
    </row>
    <row r="1050" spans="18:18">
      <c r="R1050"/>
    </row>
    <row r="1051" spans="18:18">
      <c r="R1051"/>
    </row>
    <row r="1052" spans="18:18">
      <c r="R1052"/>
    </row>
    <row r="1053" spans="18:18">
      <c r="R1053"/>
    </row>
    <row r="1054" spans="18:18">
      <c r="R1054"/>
    </row>
    <row r="1055" spans="18:18">
      <c r="R1055"/>
    </row>
    <row r="1056" spans="18:18">
      <c r="R1056"/>
    </row>
    <row r="1057" spans="18:18">
      <c r="R1057"/>
    </row>
    <row r="1058" spans="18:18">
      <c r="R1058"/>
    </row>
    <row r="1059" spans="18:18">
      <c r="R1059"/>
    </row>
    <row r="1060" spans="18:18">
      <c r="R1060"/>
    </row>
    <row r="1061" spans="18:18">
      <c r="R1061"/>
    </row>
    <row r="1062" spans="18:18">
      <c r="R1062"/>
    </row>
    <row r="1063" spans="18:18">
      <c r="R1063"/>
    </row>
    <row r="1064" spans="18:18">
      <c r="R1064"/>
    </row>
    <row r="1065" spans="18:18">
      <c r="R1065"/>
    </row>
    <row r="1066" spans="18:18">
      <c r="R1066"/>
    </row>
    <row r="1067" spans="18:18">
      <c r="R1067"/>
    </row>
    <row r="1068" spans="18:18">
      <c r="R1068"/>
    </row>
    <row r="1069" spans="18:18">
      <c r="R1069"/>
    </row>
    <row r="1070" spans="18:18">
      <c r="R1070"/>
    </row>
    <row r="1071" spans="18:18">
      <c r="R1071"/>
    </row>
    <row r="1072" spans="18:18">
      <c r="R1072"/>
    </row>
    <row r="1073" spans="18:18">
      <c r="R1073"/>
    </row>
    <row r="1074" spans="18:18">
      <c r="R1074"/>
    </row>
    <row r="1075" spans="18:18">
      <c r="R1075"/>
    </row>
    <row r="1076" spans="18:18">
      <c r="R1076"/>
    </row>
    <row r="1077" spans="18:18">
      <c r="R1077"/>
    </row>
    <row r="1078" spans="18:18">
      <c r="R1078"/>
    </row>
    <row r="1079" spans="18:18">
      <c r="R1079"/>
    </row>
    <row r="1080" spans="18:18">
      <c r="R1080"/>
    </row>
    <row r="1081" spans="18:18">
      <c r="R1081"/>
    </row>
    <row r="1082" spans="18:18">
      <c r="R1082"/>
    </row>
    <row r="1083" spans="18:18">
      <c r="R1083"/>
    </row>
    <row r="1084" spans="18:18">
      <c r="R1084"/>
    </row>
    <row r="1085" spans="18:18">
      <c r="R1085"/>
    </row>
    <row r="1086" spans="18:18">
      <c r="R1086"/>
    </row>
    <row r="1087" spans="18:18">
      <c r="R1087"/>
    </row>
    <row r="1088" spans="18:18">
      <c r="R1088"/>
    </row>
    <row r="1089" spans="18:18">
      <c r="R1089"/>
    </row>
    <row r="1090" spans="18:18">
      <c r="R1090"/>
    </row>
    <row r="1091" spans="18:18">
      <c r="R1091"/>
    </row>
    <row r="1092" spans="18:18">
      <c r="R1092"/>
    </row>
    <row r="1093" spans="18:18">
      <c r="R1093"/>
    </row>
    <row r="1094" spans="18:18">
      <c r="R1094"/>
    </row>
    <row r="1095" spans="18:18">
      <c r="R1095"/>
    </row>
    <row r="1096" spans="18:18">
      <c r="R1096"/>
    </row>
    <row r="1097" spans="18:18">
      <c r="R1097"/>
    </row>
    <row r="1098" spans="18:18">
      <c r="R1098"/>
    </row>
    <row r="1099" spans="18:18">
      <c r="R1099"/>
    </row>
    <row r="1100" spans="18:18">
      <c r="R1100"/>
    </row>
    <row r="1101" spans="18:18">
      <c r="R1101"/>
    </row>
    <row r="1102" spans="18:18">
      <c r="R1102"/>
    </row>
    <row r="1103" spans="18:18">
      <c r="R1103"/>
    </row>
    <row r="1104" spans="18:18">
      <c r="R1104"/>
    </row>
    <row r="1105" spans="18:18">
      <c r="R1105"/>
    </row>
    <row r="1106" spans="18:18">
      <c r="R1106"/>
    </row>
    <row r="1107" spans="18:18">
      <c r="R1107"/>
    </row>
    <row r="1108" spans="18:18">
      <c r="R1108"/>
    </row>
    <row r="1109" spans="18:18">
      <c r="R1109"/>
    </row>
    <row r="1110" spans="18:18">
      <c r="R1110"/>
    </row>
    <row r="1111" spans="18:18">
      <c r="R1111"/>
    </row>
    <row r="1112" spans="18:18">
      <c r="R1112"/>
    </row>
    <row r="1113" spans="18:18">
      <c r="R1113"/>
    </row>
    <row r="1114" spans="18:18">
      <c r="R1114"/>
    </row>
    <row r="1115" spans="18:18">
      <c r="R1115"/>
    </row>
    <row r="1116" spans="18:18">
      <c r="R1116"/>
    </row>
    <row r="1117" spans="18:18">
      <c r="R1117"/>
    </row>
    <row r="1118" spans="18:18">
      <c r="R1118"/>
    </row>
    <row r="1119" spans="18:18">
      <c r="R1119"/>
    </row>
    <row r="1120" spans="18:18">
      <c r="R1120"/>
    </row>
    <row r="1121" spans="18:18">
      <c r="R1121"/>
    </row>
    <row r="1122" spans="18:18">
      <c r="R1122"/>
    </row>
    <row r="1123" spans="18:18">
      <c r="R1123"/>
    </row>
    <row r="1124" spans="18:18">
      <c r="R1124"/>
    </row>
    <row r="1125" spans="18:18">
      <c r="R1125"/>
    </row>
    <row r="1126" spans="18:18">
      <c r="R1126"/>
    </row>
    <row r="1127" spans="18:18">
      <c r="R1127"/>
    </row>
    <row r="1128" spans="18:18">
      <c r="R1128"/>
    </row>
    <row r="1129" spans="18:18">
      <c r="R1129"/>
    </row>
    <row r="1130" spans="18:18">
      <c r="R1130"/>
    </row>
    <row r="1131" spans="18:18">
      <c r="R1131"/>
    </row>
    <row r="1132" spans="18:18">
      <c r="R1132"/>
    </row>
    <row r="1133" spans="18:18">
      <c r="R1133"/>
    </row>
    <row r="1134" spans="18:18">
      <c r="R1134"/>
    </row>
    <row r="1135" spans="18:18">
      <c r="R1135"/>
    </row>
    <row r="1136" spans="18:18">
      <c r="R1136"/>
    </row>
    <row r="1137" spans="18:18">
      <c r="R1137"/>
    </row>
    <row r="1138" spans="18:18">
      <c r="R1138"/>
    </row>
    <row r="1139" spans="18:18">
      <c r="R1139"/>
    </row>
    <row r="1140" spans="18:18">
      <c r="R1140"/>
    </row>
    <row r="1141" spans="18:18">
      <c r="R1141"/>
    </row>
    <row r="1142" spans="18:18">
      <c r="R1142"/>
    </row>
    <row r="1143" spans="18:18">
      <c r="R1143"/>
    </row>
    <row r="1144" spans="18:18">
      <c r="R1144"/>
    </row>
    <row r="1145" spans="18:18">
      <c r="R1145"/>
    </row>
    <row r="1146" spans="18:18">
      <c r="R1146"/>
    </row>
    <row r="1147" spans="18:18">
      <c r="R1147"/>
    </row>
    <row r="1148" spans="18:18">
      <c r="R1148"/>
    </row>
    <row r="1149" spans="18:18">
      <c r="R1149"/>
    </row>
    <row r="1150" spans="18:18">
      <c r="R1150"/>
    </row>
    <row r="1151" spans="18:18">
      <c r="R1151"/>
    </row>
    <row r="1152" spans="18:18">
      <c r="R1152"/>
    </row>
    <row r="1153" spans="18:18">
      <c r="R1153"/>
    </row>
    <row r="1154" spans="18:18">
      <c r="R1154"/>
    </row>
    <row r="1155" spans="18:18">
      <c r="R1155"/>
    </row>
    <row r="1156" spans="18:18">
      <c r="R1156"/>
    </row>
    <row r="1157" spans="18:18">
      <c r="R1157"/>
    </row>
    <row r="1158" spans="18:18">
      <c r="R1158"/>
    </row>
    <row r="1159" spans="18:18">
      <c r="R1159"/>
    </row>
    <row r="1160" spans="18:18">
      <c r="R1160"/>
    </row>
    <row r="1161" spans="18:18">
      <c r="R1161"/>
    </row>
    <row r="1162" spans="18:18">
      <c r="R1162"/>
    </row>
    <row r="1163" spans="18:18">
      <c r="R1163"/>
    </row>
    <row r="1164" spans="18:18">
      <c r="R1164"/>
    </row>
    <row r="1165" spans="18:18">
      <c r="R1165"/>
    </row>
    <row r="1166" spans="18:18">
      <c r="R1166"/>
    </row>
    <row r="1167" spans="18:18">
      <c r="R1167"/>
    </row>
    <row r="1168" spans="18:18">
      <c r="R1168"/>
    </row>
    <row r="1169" spans="18:18">
      <c r="R1169"/>
    </row>
    <row r="1170" spans="18:18">
      <c r="R1170"/>
    </row>
    <row r="1171" spans="18:18">
      <c r="R1171"/>
    </row>
    <row r="1172" spans="18:18">
      <c r="R1172"/>
    </row>
    <row r="1173" spans="18:18">
      <c r="R1173"/>
    </row>
  </sheetData>
  <mergeCells count="152">
    <mergeCell ref="O1:R1"/>
    <mergeCell ref="N2:R2"/>
    <mergeCell ref="D94:D95"/>
    <mergeCell ref="A129:A130"/>
    <mergeCell ref="D60:D61"/>
    <mergeCell ref="E60:E61"/>
    <mergeCell ref="A132:A135"/>
    <mergeCell ref="O101:O102"/>
    <mergeCell ref="Q101:Q102"/>
    <mergeCell ref="Q60:Q61"/>
    <mergeCell ref="P60:P61"/>
    <mergeCell ref="R60:R61"/>
    <mergeCell ref="O105:O106"/>
    <mergeCell ref="P105:P106"/>
    <mergeCell ref="Q105:Q106"/>
    <mergeCell ref="R105:R106"/>
    <mergeCell ref="O57:O58"/>
    <mergeCell ref="P57:P58"/>
    <mergeCell ref="Q57:Q58"/>
    <mergeCell ref="R57:R58"/>
    <mergeCell ref="O94:O95"/>
    <mergeCell ref="P94:P95"/>
    <mergeCell ref="Q94:Q95"/>
    <mergeCell ref="R94:R95"/>
    <mergeCell ref="O96:O97"/>
    <mergeCell ref="P96:P97"/>
    <mergeCell ref="Q96:Q97"/>
    <mergeCell ref="R96:R97"/>
    <mergeCell ref="O90:O92"/>
    <mergeCell ref="P90:P92"/>
    <mergeCell ref="Q90:Q92"/>
    <mergeCell ref="R90:R91"/>
    <mergeCell ref="A43:A46"/>
    <mergeCell ref="R101:R102"/>
    <mergeCell ref="J9:J10"/>
    <mergeCell ref="K9:K10"/>
    <mergeCell ref="Q62:Q63"/>
    <mergeCell ref="R62:R63"/>
    <mergeCell ref="N9:N10"/>
    <mergeCell ref="L9:L10"/>
    <mergeCell ref="K90:K91"/>
    <mergeCell ref="L90:L91"/>
    <mergeCell ref="M90:M91"/>
    <mergeCell ref="M9:M10"/>
    <mergeCell ref="O98:O99"/>
    <mergeCell ref="P98:P99"/>
    <mergeCell ref="Q98:Q99"/>
    <mergeCell ref="R98:R99"/>
    <mergeCell ref="O11:O20"/>
    <mergeCell ref="P11:P20"/>
    <mergeCell ref="Q11:Q20"/>
    <mergeCell ref="R11:R20"/>
    <mergeCell ref="P8:P10"/>
    <mergeCell ref="Q8:Q10"/>
    <mergeCell ref="R8:R10"/>
    <mergeCell ref="P101:P102"/>
    <mergeCell ref="B148:D148"/>
    <mergeCell ref="B150:D150"/>
    <mergeCell ref="A51:A65"/>
    <mergeCell ref="A66:A67"/>
    <mergeCell ref="A137:A138"/>
    <mergeCell ref="A139:A141"/>
    <mergeCell ref="B131:E131"/>
    <mergeCell ref="A144:A145"/>
    <mergeCell ref="B53:B58"/>
    <mergeCell ref="C53:C58"/>
    <mergeCell ref="B144:B145"/>
    <mergeCell ref="C85:C86"/>
    <mergeCell ref="B85:B86"/>
    <mergeCell ref="A79:A87"/>
    <mergeCell ref="A94:A107"/>
    <mergeCell ref="A90:A93"/>
    <mergeCell ref="A123:A127"/>
    <mergeCell ref="A69:A78"/>
    <mergeCell ref="A88:A89"/>
    <mergeCell ref="B88:B89"/>
    <mergeCell ref="B108:B122"/>
    <mergeCell ref="A108:A122"/>
    <mergeCell ref="C60:C61"/>
    <mergeCell ref="B60:B61"/>
    <mergeCell ref="A4:R4"/>
    <mergeCell ref="A128:E128"/>
    <mergeCell ref="A11:E11"/>
    <mergeCell ref="G8:I8"/>
    <mergeCell ref="J8:N8"/>
    <mergeCell ref="O73:O74"/>
    <mergeCell ref="P73:P74"/>
    <mergeCell ref="O62:O63"/>
    <mergeCell ref="P62:P63"/>
    <mergeCell ref="N90:N91"/>
    <mergeCell ref="B90:B93"/>
    <mergeCell ref="B79:B82"/>
    <mergeCell ref="C69:C70"/>
    <mergeCell ref="B69:B70"/>
    <mergeCell ref="D69:D70"/>
    <mergeCell ref="A6:B7"/>
    <mergeCell ref="A5:B5"/>
    <mergeCell ref="C5:E5"/>
    <mergeCell ref="C6:E6"/>
    <mergeCell ref="C7:E7"/>
    <mergeCell ref="C88:C89"/>
    <mergeCell ref="C108:C122"/>
    <mergeCell ref="D96:D97"/>
    <mergeCell ref="D98:D99"/>
    <mergeCell ref="F8:F10"/>
    <mergeCell ref="O8:O10"/>
    <mergeCell ref="G9:G10"/>
    <mergeCell ref="H9:H10"/>
    <mergeCell ref="J90:J91"/>
    <mergeCell ref="I9:I10"/>
    <mergeCell ref="H90:H91"/>
    <mergeCell ref="I90:I91"/>
    <mergeCell ref="C90:C93"/>
    <mergeCell ref="F90:F91"/>
    <mergeCell ref="E12:E20"/>
    <mergeCell ref="D12:D20"/>
    <mergeCell ref="C12:C20"/>
    <mergeCell ref="O60:O61"/>
    <mergeCell ref="G90:G91"/>
    <mergeCell ref="C62:C63"/>
    <mergeCell ref="D62:D63"/>
    <mergeCell ref="E62:E63"/>
    <mergeCell ref="C79:C82"/>
    <mergeCell ref="D57:D58"/>
    <mergeCell ref="E57:E58"/>
    <mergeCell ref="C25:C27"/>
    <mergeCell ref="D90:D92"/>
    <mergeCell ref="E90:E92"/>
    <mergeCell ref="B25:B27"/>
    <mergeCell ref="E105:E106"/>
    <mergeCell ref="E94:E95"/>
    <mergeCell ref="C73:C74"/>
    <mergeCell ref="C36:C37"/>
    <mergeCell ref="B12:B20"/>
    <mergeCell ref="A12:A20"/>
    <mergeCell ref="A8:E8"/>
    <mergeCell ref="B73:B74"/>
    <mergeCell ref="A47:A49"/>
    <mergeCell ref="A30:A40"/>
    <mergeCell ref="B36:B37"/>
    <mergeCell ref="B94:B106"/>
    <mergeCell ref="A21:A28"/>
    <mergeCell ref="B62:B63"/>
    <mergeCell ref="A41:A42"/>
    <mergeCell ref="C94:C106"/>
    <mergeCell ref="D101:D102"/>
    <mergeCell ref="E101:E102"/>
    <mergeCell ref="E96:E97"/>
    <mergeCell ref="E98:E99"/>
    <mergeCell ref="D103:D104"/>
    <mergeCell ref="E103:E104"/>
    <mergeCell ref="D105:D106"/>
  </mergeCells>
  <phoneticPr fontId="2" type="noConversion"/>
  <pageMargins left="0.7" right="0.7" top="0.75" bottom="0.75" header="0.3" footer="0.3"/>
  <pageSetup paperSize="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36761-13F9-4600-92BD-580A308A2075}">
  <dimension ref="A1:M9"/>
  <sheetViews>
    <sheetView workbookViewId="0">
      <selection activeCell="H6" sqref="H6"/>
    </sheetView>
  </sheetViews>
  <sheetFormatPr defaultColWidth="10.54296875" defaultRowHeight="13"/>
  <cols>
    <col min="1" max="2" width="10.54296875" style="297"/>
    <col min="3" max="3" width="18.26953125" style="297" customWidth="1"/>
    <col min="4" max="4" width="14" style="297" customWidth="1"/>
    <col min="5" max="16384" width="10.54296875" style="297"/>
  </cols>
  <sheetData>
    <row r="1" spans="1:13">
      <c r="B1" s="1009"/>
      <c r="C1" s="1010"/>
      <c r="D1" s="1566" t="s">
        <v>1378</v>
      </c>
      <c r="E1" s="1566"/>
      <c r="F1" s="1010"/>
      <c r="G1" s="1010"/>
      <c r="H1" s="1009"/>
      <c r="I1" s="1009"/>
      <c r="J1" s="1009"/>
      <c r="K1" s="1009"/>
      <c r="L1" s="1566"/>
      <c r="M1" s="1566"/>
    </row>
    <row r="4" spans="1:13" ht="52.5">
      <c r="B4" s="1015" t="s">
        <v>415</v>
      </c>
      <c r="C4" s="1016" t="s">
        <v>416</v>
      </c>
      <c r="D4" s="1016" t="s">
        <v>1379</v>
      </c>
      <c r="E4" s="1009"/>
      <c r="F4" s="1009"/>
      <c r="G4" s="1009"/>
      <c r="H4" s="1009"/>
      <c r="I4" s="1009"/>
      <c r="J4" s="1009"/>
      <c r="K4" s="1009"/>
      <c r="L4" s="1009"/>
      <c r="M4" s="1009"/>
    </row>
    <row r="5" spans="1:13" ht="78">
      <c r="B5" s="1011">
        <v>1</v>
      </c>
      <c r="C5" s="1012" t="s">
        <v>427</v>
      </c>
      <c r="D5" s="1013">
        <v>20000</v>
      </c>
      <c r="E5" s="1009"/>
      <c r="F5" s="1009"/>
      <c r="G5" s="1009"/>
      <c r="H5" s="1009"/>
      <c r="I5" s="1009"/>
      <c r="J5" s="1009"/>
      <c r="K5" s="1009"/>
      <c r="L5" s="1009"/>
      <c r="M5" s="1009"/>
    </row>
    <row r="6" spans="1:13" ht="91">
      <c r="B6" s="1011">
        <v>2</v>
      </c>
      <c r="C6" s="1012" t="s">
        <v>428</v>
      </c>
      <c r="D6" s="1013">
        <v>30400</v>
      </c>
      <c r="E6" s="1009"/>
      <c r="F6" s="1009"/>
      <c r="G6" s="1009"/>
      <c r="H6" s="1009"/>
      <c r="I6" s="1009"/>
      <c r="J6" s="1009"/>
      <c r="K6" s="1009"/>
      <c r="L6" s="1009"/>
      <c r="M6" s="1009"/>
    </row>
    <row r="7" spans="1:13" ht="26">
      <c r="B7" s="1011">
        <v>3</v>
      </c>
      <c r="C7" s="1012" t="s">
        <v>429</v>
      </c>
      <c r="D7" s="1013">
        <v>420</v>
      </c>
      <c r="E7" s="1009"/>
      <c r="F7" s="1009"/>
      <c r="G7" s="1009"/>
      <c r="H7" s="1009"/>
      <c r="I7" s="1009"/>
      <c r="J7" s="1009"/>
      <c r="K7" s="1009"/>
      <c r="L7" s="1009"/>
      <c r="M7" s="1009"/>
    </row>
    <row r="8" spans="1:13">
      <c r="B8" s="1564" t="s">
        <v>430</v>
      </c>
      <c r="C8" s="1565"/>
      <c r="D8" s="1014">
        <f>D5+D6+D7</f>
        <v>50820</v>
      </c>
      <c r="E8" s="1009"/>
      <c r="F8" s="1009"/>
      <c r="G8" s="1009"/>
      <c r="H8" s="1009"/>
      <c r="I8" s="1009"/>
      <c r="J8" s="1009"/>
      <c r="K8" s="1009"/>
      <c r="L8" s="1009"/>
      <c r="M8" s="1009"/>
    </row>
    <row r="9" spans="1:13">
      <c r="A9" s="297" t="s">
        <v>421</v>
      </c>
    </row>
  </sheetData>
  <mergeCells count="3">
    <mergeCell ref="B8:C8"/>
    <mergeCell ref="L1:M1"/>
    <mergeCell ref="D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394C0-7C15-457F-BC3C-364BF80C644F}">
  <dimension ref="A1:L20"/>
  <sheetViews>
    <sheetView zoomScale="64" zoomScaleNormal="64" workbookViewId="0">
      <selection activeCell="F31" sqref="F31"/>
    </sheetView>
  </sheetViews>
  <sheetFormatPr defaultColWidth="9.1796875" defaultRowHeight="13"/>
  <cols>
    <col min="1" max="1" width="35.54296875" style="297" customWidth="1"/>
    <col min="2" max="2" width="11.81640625" style="297" customWidth="1"/>
    <col min="3" max="3" width="12" style="297" customWidth="1"/>
    <col min="4" max="4" width="10.1796875" style="297" bestFit="1" customWidth="1"/>
    <col min="5" max="5" width="13.54296875" style="297" customWidth="1"/>
    <col min="6" max="6" width="11.7265625" style="297" customWidth="1"/>
    <col min="7" max="7" width="14.1796875" style="297" customWidth="1"/>
    <col min="8" max="8" width="11.26953125" style="297" bestFit="1" customWidth="1"/>
    <col min="9" max="9" width="13.54296875" style="297" customWidth="1"/>
    <col min="10" max="10" width="16.26953125" style="297" customWidth="1"/>
    <col min="11" max="11" width="21" style="297" customWidth="1"/>
    <col min="12" max="12" width="19.1796875" style="297" customWidth="1"/>
    <col min="13" max="16384" width="9.1796875" style="297"/>
  </cols>
  <sheetData>
    <row r="1" spans="1:12">
      <c r="K1" s="1569" t="s">
        <v>468</v>
      </c>
      <c r="L1" s="1569"/>
    </row>
    <row r="2" spans="1:12">
      <c r="A2" s="1570" t="s">
        <v>469</v>
      </c>
      <c r="B2" s="1570"/>
      <c r="C2" s="1570"/>
      <c r="D2" s="1570"/>
      <c r="E2" s="1570"/>
      <c r="F2" s="1570"/>
      <c r="G2" s="1570"/>
      <c r="H2" s="1570"/>
      <c r="I2" s="1570"/>
      <c r="J2" s="1570"/>
      <c r="K2" s="1570"/>
      <c r="L2" s="1570"/>
    </row>
    <row r="3" spans="1:12" ht="52">
      <c r="A3" s="347" t="s">
        <v>470</v>
      </c>
      <c r="B3" s="348" t="s">
        <v>471</v>
      </c>
      <c r="C3" s="347" t="s">
        <v>472</v>
      </c>
      <c r="D3" s="347" t="s">
        <v>473</v>
      </c>
      <c r="E3" s="347" t="s">
        <v>474</v>
      </c>
      <c r="F3" s="347" t="s">
        <v>475</v>
      </c>
      <c r="G3" s="349" t="s">
        <v>476</v>
      </c>
      <c r="H3" s="348" t="s">
        <v>477</v>
      </c>
      <c r="I3" s="348" t="s">
        <v>478</v>
      </c>
      <c r="J3" s="348" t="s">
        <v>479</v>
      </c>
      <c r="K3" s="347" t="s">
        <v>480</v>
      </c>
      <c r="L3" s="347" t="s">
        <v>481</v>
      </c>
    </row>
    <row r="4" spans="1:12">
      <c r="A4" s="350" t="s">
        <v>482</v>
      </c>
      <c r="B4" s="351" t="s">
        <v>483</v>
      </c>
      <c r="C4" s="351">
        <v>35</v>
      </c>
      <c r="D4" s="352" t="s">
        <v>484</v>
      </c>
      <c r="E4" s="352">
        <v>11</v>
      </c>
      <c r="F4" s="352">
        <v>1</v>
      </c>
      <c r="G4" s="353">
        <v>1382</v>
      </c>
      <c r="H4" s="354">
        <f>G4*10%</f>
        <v>138.20000000000002</v>
      </c>
      <c r="I4" s="354">
        <f>G4*10%</f>
        <v>138.20000000000002</v>
      </c>
      <c r="J4" s="354">
        <f>G4*5%</f>
        <v>69.100000000000009</v>
      </c>
      <c r="K4" s="354">
        <f>(G4+H4+I4)*23.59%</f>
        <v>391.21656000000002</v>
      </c>
      <c r="L4" s="354">
        <f>G4+H4+I4+J4+K4</f>
        <v>2118.7165599999998</v>
      </c>
    </row>
    <row r="5" spans="1:12">
      <c r="A5" s="355" t="s">
        <v>485</v>
      </c>
      <c r="B5" s="356" t="s">
        <v>486</v>
      </c>
      <c r="C5" s="357" t="s">
        <v>487</v>
      </c>
      <c r="D5" s="356" t="s">
        <v>488</v>
      </c>
      <c r="E5" s="352">
        <v>12</v>
      </c>
      <c r="F5" s="352">
        <v>1</v>
      </c>
      <c r="G5" s="353">
        <v>1647</v>
      </c>
      <c r="H5" s="354">
        <f t="shared" ref="H5:H7" si="0">G5*10%</f>
        <v>164.70000000000002</v>
      </c>
      <c r="I5" s="354">
        <f t="shared" ref="I5:I7" si="1">G5*10%</f>
        <v>164.70000000000002</v>
      </c>
      <c r="J5" s="354">
        <f>G5*5%</f>
        <v>82.350000000000009</v>
      </c>
      <c r="K5" s="354">
        <f>(G5+H5+I5)*23.59%</f>
        <v>466.23276000000004</v>
      </c>
      <c r="L5" s="354">
        <f t="shared" ref="L5:L6" si="2">G5+H5+I5+J5+K5</f>
        <v>2524.9827599999999</v>
      </c>
    </row>
    <row r="6" spans="1:12">
      <c r="A6" s="355" t="s">
        <v>489</v>
      </c>
      <c r="B6" s="356" t="s">
        <v>490</v>
      </c>
      <c r="C6" s="357" t="s">
        <v>491</v>
      </c>
      <c r="D6" s="356" t="s">
        <v>492</v>
      </c>
      <c r="E6" s="352">
        <v>10</v>
      </c>
      <c r="F6" s="352">
        <v>1</v>
      </c>
      <c r="G6" s="353">
        <v>1287</v>
      </c>
      <c r="H6" s="354">
        <f t="shared" si="0"/>
        <v>128.70000000000002</v>
      </c>
      <c r="I6" s="354">
        <f t="shared" si="1"/>
        <v>128.70000000000002</v>
      </c>
      <c r="J6" s="354">
        <f t="shared" ref="J6" si="3">G6*5%</f>
        <v>64.350000000000009</v>
      </c>
      <c r="K6" s="354">
        <f>(G6+H6+I6)*23.59%</f>
        <v>364.32396</v>
      </c>
      <c r="L6" s="354">
        <f t="shared" si="2"/>
        <v>1973.0739599999999</v>
      </c>
    </row>
    <row r="7" spans="1:12">
      <c r="A7" s="355" t="s">
        <v>489</v>
      </c>
      <c r="B7" s="356" t="s">
        <v>490</v>
      </c>
      <c r="C7" s="357" t="s">
        <v>491</v>
      </c>
      <c r="D7" s="356" t="s">
        <v>492</v>
      </c>
      <c r="E7" s="352">
        <v>10</v>
      </c>
      <c r="F7" s="352">
        <v>1</v>
      </c>
      <c r="G7" s="353">
        <v>1287</v>
      </c>
      <c r="H7" s="354">
        <f t="shared" si="0"/>
        <v>128.70000000000002</v>
      </c>
      <c r="I7" s="354">
        <f t="shared" si="1"/>
        <v>128.70000000000002</v>
      </c>
      <c r="J7" s="354">
        <f>G7*5%</f>
        <v>64.350000000000009</v>
      </c>
      <c r="K7" s="354">
        <f>(G7+H7+I7)*23.59%</f>
        <v>364.32396</v>
      </c>
      <c r="L7" s="354">
        <f>G7+H7+I7+J7+K7</f>
        <v>1973.0739599999999</v>
      </c>
    </row>
    <row r="8" spans="1:12">
      <c r="A8" s="358"/>
      <c r="B8" s="359"/>
      <c r="C8" s="359"/>
      <c r="D8" s="359"/>
      <c r="E8" s="359"/>
      <c r="F8" s="360" t="s">
        <v>493</v>
      </c>
      <c r="G8" s="361">
        <f t="shared" ref="G8:L8" si="4">SUM(G4:G7)</f>
        <v>5603</v>
      </c>
      <c r="H8" s="361">
        <f t="shared" si="4"/>
        <v>560.30000000000007</v>
      </c>
      <c r="I8" s="361">
        <f t="shared" si="4"/>
        <v>560.30000000000007</v>
      </c>
      <c r="J8" s="361">
        <f t="shared" si="4"/>
        <v>280.15000000000003</v>
      </c>
      <c r="K8" s="361">
        <f t="shared" si="4"/>
        <v>1586.0972400000001</v>
      </c>
      <c r="L8" s="361">
        <f t="shared" si="4"/>
        <v>8589.8472399999991</v>
      </c>
    </row>
    <row r="9" spans="1:12">
      <c r="A9" s="358"/>
      <c r="B9" s="359"/>
      <c r="C9" s="359"/>
      <c r="D9" s="359"/>
      <c r="E9" s="359"/>
      <c r="F9" s="359"/>
      <c r="G9" s="359"/>
      <c r="H9" s="359"/>
      <c r="I9" s="359"/>
      <c r="J9" s="359"/>
      <c r="K9" s="359"/>
      <c r="L9" s="359"/>
    </row>
    <row r="10" spans="1:12">
      <c r="A10" s="358"/>
      <c r="B10" s="359"/>
      <c r="C10" s="359"/>
      <c r="D10" s="359"/>
      <c r="E10" s="359"/>
      <c r="F10" s="359"/>
      <c r="G10" s="359"/>
      <c r="H10" s="359"/>
      <c r="I10" s="359"/>
      <c r="J10" s="359"/>
      <c r="K10" s="359"/>
      <c r="L10" s="359"/>
    </row>
    <row r="11" spans="1:12">
      <c r="A11" s="358"/>
      <c r="B11" s="359"/>
      <c r="C11" s="359"/>
      <c r="D11" s="359"/>
      <c r="E11" s="359"/>
      <c r="F11" s="359"/>
      <c r="G11" s="359"/>
      <c r="H11" s="359"/>
      <c r="I11" s="359"/>
      <c r="J11" s="359"/>
      <c r="K11" s="362"/>
      <c r="L11" s="359"/>
    </row>
    <row r="12" spans="1:12">
      <c r="A12" s="358"/>
      <c r="B12" s="1571" t="s">
        <v>494</v>
      </c>
      <c r="C12" s="1571"/>
      <c r="D12" s="1571"/>
      <c r="E12" s="1571" t="s">
        <v>495</v>
      </c>
      <c r="F12" s="1571"/>
      <c r="G12" s="1571"/>
      <c r="H12" s="1571" t="s">
        <v>496</v>
      </c>
      <c r="I12" s="1571"/>
      <c r="J12" s="1571"/>
      <c r="K12" s="359"/>
      <c r="L12" s="359"/>
    </row>
    <row r="13" spans="1:12" ht="39">
      <c r="A13" s="349" t="s">
        <v>470</v>
      </c>
      <c r="B13" s="347" t="s">
        <v>497</v>
      </c>
      <c r="C13" s="347" t="s">
        <v>498</v>
      </c>
      <c r="D13" s="347" t="s">
        <v>481</v>
      </c>
      <c r="E13" s="347" t="s">
        <v>497</v>
      </c>
      <c r="F13" s="347" t="s">
        <v>498</v>
      </c>
      <c r="G13" s="347" t="s">
        <v>481</v>
      </c>
      <c r="H13" s="347" t="s">
        <v>497</v>
      </c>
      <c r="I13" s="347" t="s">
        <v>498</v>
      </c>
      <c r="J13" s="347" t="s">
        <v>481</v>
      </c>
      <c r="K13" s="359"/>
      <c r="L13" s="1354" t="s">
        <v>857</v>
      </c>
    </row>
    <row r="14" spans="1:12">
      <c r="A14" s="350" t="s">
        <v>482</v>
      </c>
      <c r="B14" s="353">
        <f>G4+H4+I4</f>
        <v>1658.4</v>
      </c>
      <c r="C14" s="354">
        <f>J4+K4</f>
        <v>460.31656000000004</v>
      </c>
      <c r="D14" s="354">
        <f>B14+C14</f>
        <v>2118.7165600000003</v>
      </c>
      <c r="E14" s="354">
        <f t="shared" ref="E14:F17" si="5">B14*6</f>
        <v>9950.4000000000015</v>
      </c>
      <c r="F14" s="354">
        <f t="shared" si="5"/>
        <v>2761.8993600000003</v>
      </c>
      <c r="G14" s="354">
        <f>E14+F14</f>
        <v>12712.299360000001</v>
      </c>
      <c r="H14" s="354">
        <f t="shared" ref="H14:I17" si="6">B14*12</f>
        <v>19900.800000000003</v>
      </c>
      <c r="I14" s="354">
        <f t="shared" si="6"/>
        <v>5523.7987200000007</v>
      </c>
      <c r="J14" s="354">
        <f>H14+I14</f>
        <v>25424.598720000002</v>
      </c>
      <c r="K14" s="359"/>
      <c r="L14" s="1567">
        <f>J18</f>
        <v>103079</v>
      </c>
    </row>
    <row r="15" spans="1:12">
      <c r="A15" s="355" t="s">
        <v>499</v>
      </c>
      <c r="B15" s="353">
        <f>G5+H5+I5</f>
        <v>1976.4</v>
      </c>
      <c r="C15" s="354">
        <f>J5+K5</f>
        <v>548.58276000000001</v>
      </c>
      <c r="D15" s="354">
        <f t="shared" ref="D15:D17" si="7">B15+C15</f>
        <v>2524.9827599999999</v>
      </c>
      <c r="E15" s="354">
        <f t="shared" si="5"/>
        <v>11858.400000000001</v>
      </c>
      <c r="F15" s="354">
        <f t="shared" si="5"/>
        <v>3291.49656</v>
      </c>
      <c r="G15" s="354">
        <f t="shared" ref="G15:G17" si="8">E15+F15</f>
        <v>15149.896560000001</v>
      </c>
      <c r="H15" s="354">
        <f t="shared" si="6"/>
        <v>23716.800000000003</v>
      </c>
      <c r="I15" s="354">
        <f t="shared" si="6"/>
        <v>6582.9931200000001</v>
      </c>
      <c r="J15" s="354">
        <f t="shared" ref="J15:J17" si="9">H15+I15</f>
        <v>30299.793120000002</v>
      </c>
      <c r="K15" s="359"/>
      <c r="L15" s="1568"/>
    </row>
    <row r="16" spans="1:12">
      <c r="A16" s="363" t="s">
        <v>489</v>
      </c>
      <c r="B16" s="353">
        <f>G6+H6+I6</f>
        <v>1544.4</v>
      </c>
      <c r="C16" s="354">
        <f>J6+K6</f>
        <v>428.67396000000002</v>
      </c>
      <c r="D16" s="354">
        <f t="shared" si="7"/>
        <v>1973.0739600000002</v>
      </c>
      <c r="E16" s="354">
        <f t="shared" si="5"/>
        <v>9266.4000000000015</v>
      </c>
      <c r="F16" s="354">
        <f t="shared" si="5"/>
        <v>2572.04376</v>
      </c>
      <c r="G16" s="354">
        <f t="shared" si="8"/>
        <v>11838.443760000002</v>
      </c>
      <c r="H16" s="354">
        <f t="shared" si="6"/>
        <v>18532.800000000003</v>
      </c>
      <c r="I16" s="354">
        <f t="shared" si="6"/>
        <v>5144.08752</v>
      </c>
      <c r="J16" s="354">
        <f t="shared" si="9"/>
        <v>23676.887520000004</v>
      </c>
      <c r="K16" s="359"/>
      <c r="L16" s="1568"/>
    </row>
    <row r="17" spans="1:12">
      <c r="A17" s="363" t="s">
        <v>489</v>
      </c>
      <c r="B17" s="353">
        <f>G7+H7+I7</f>
        <v>1544.4</v>
      </c>
      <c r="C17" s="354">
        <f>J7+K7</f>
        <v>428.67396000000002</v>
      </c>
      <c r="D17" s="354">
        <f t="shared" si="7"/>
        <v>1973.0739600000002</v>
      </c>
      <c r="E17" s="354">
        <f t="shared" si="5"/>
        <v>9266.4000000000015</v>
      </c>
      <c r="F17" s="354">
        <f t="shared" si="5"/>
        <v>2572.04376</v>
      </c>
      <c r="G17" s="354">
        <f t="shared" si="8"/>
        <v>11838.443760000002</v>
      </c>
      <c r="H17" s="354">
        <f t="shared" si="6"/>
        <v>18532.800000000003</v>
      </c>
      <c r="I17" s="354">
        <f t="shared" si="6"/>
        <v>5144.08752</v>
      </c>
      <c r="J17" s="354">
        <f t="shared" si="9"/>
        <v>23676.887520000004</v>
      </c>
      <c r="K17" s="359"/>
      <c r="L17" s="1568"/>
    </row>
    <row r="18" spans="1:12">
      <c r="A18" s="364" t="s">
        <v>493</v>
      </c>
      <c r="B18" s="365">
        <f t="shared" ref="B18:I18" si="10">SUM(B14:B17)</f>
        <v>6723.6</v>
      </c>
      <c r="C18" s="365">
        <f t="shared" si="10"/>
        <v>1866.2472400000001</v>
      </c>
      <c r="D18" s="365">
        <f t="shared" si="10"/>
        <v>8589.8472399999991</v>
      </c>
      <c r="E18" s="365">
        <f t="shared" si="10"/>
        <v>40341.600000000006</v>
      </c>
      <c r="F18" s="365">
        <f t="shared" si="10"/>
        <v>11197.483440000002</v>
      </c>
      <c r="G18" s="365">
        <f t="shared" si="10"/>
        <v>51539.083440000009</v>
      </c>
      <c r="H18" s="365">
        <f t="shared" si="10"/>
        <v>80683.200000000012</v>
      </c>
      <c r="I18" s="365">
        <f t="shared" si="10"/>
        <v>22394.966880000004</v>
      </c>
      <c r="J18" s="366">
        <f>ROUNDUP(SUM(J14:J17),0)</f>
        <v>103079</v>
      </c>
      <c r="K18" s="359"/>
      <c r="L18" s="1568"/>
    </row>
    <row r="19" spans="1:12">
      <c r="A19" s="359"/>
      <c r="B19" s="359"/>
      <c r="C19" s="359"/>
      <c r="D19" s="359"/>
      <c r="E19" s="359"/>
      <c r="F19" s="359"/>
      <c r="G19" s="359"/>
      <c r="H19" s="359"/>
      <c r="I19" s="359"/>
      <c r="J19" s="359"/>
      <c r="K19" s="359"/>
      <c r="L19" s="359"/>
    </row>
    <row r="20" spans="1:12">
      <c r="A20" s="359"/>
      <c r="B20" s="359"/>
      <c r="C20" s="359"/>
      <c r="D20" s="359"/>
      <c r="E20" s="359"/>
      <c r="F20" s="359"/>
      <c r="G20" s="359"/>
      <c r="H20" s="359"/>
      <c r="I20" s="359"/>
      <c r="J20" s="359"/>
      <c r="K20" s="359"/>
      <c r="L20" s="359"/>
    </row>
  </sheetData>
  <mergeCells count="6">
    <mergeCell ref="L14:L18"/>
    <mergeCell ref="K1:L1"/>
    <mergeCell ref="A2:L2"/>
    <mergeCell ref="B12:D12"/>
    <mergeCell ref="E12:G12"/>
    <mergeCell ref="H12:J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ED924-B8DC-4BC7-B722-CFEEB04B5002}">
  <dimension ref="A1:P32"/>
  <sheetViews>
    <sheetView zoomScale="80" zoomScaleNormal="80" workbookViewId="0">
      <selection activeCell="F19" sqref="F19"/>
    </sheetView>
  </sheetViews>
  <sheetFormatPr defaultColWidth="14.453125" defaultRowHeight="13"/>
  <cols>
    <col min="1" max="5" width="14.453125" style="297"/>
    <col min="6" max="6" width="13.453125" style="297" customWidth="1"/>
    <col min="7" max="7" width="11.81640625" style="297" customWidth="1"/>
    <col min="8" max="9" width="12.7265625" style="367" customWidth="1"/>
    <col min="10" max="10" width="12.7265625" style="297" customWidth="1"/>
    <col min="11" max="11" width="14.453125" style="297"/>
    <col min="12" max="12" width="5.453125" style="297" customWidth="1"/>
    <col min="13" max="13" width="28.7265625" style="297" customWidth="1"/>
    <col min="14" max="14" width="13.453125" style="297" customWidth="1"/>
    <col min="15" max="16384" width="14.453125" style="297"/>
  </cols>
  <sheetData>
    <row r="1" spans="1:16">
      <c r="G1" s="1555" t="s">
        <v>500</v>
      </c>
      <c r="H1" s="1555"/>
    </row>
    <row r="2" spans="1:16">
      <c r="A2" s="1563" t="s">
        <v>501</v>
      </c>
      <c r="B2" s="1563"/>
      <c r="C2" s="1563"/>
      <c r="D2" s="1563"/>
      <c r="E2" s="1563"/>
      <c r="F2" s="1563"/>
      <c r="G2" s="1563"/>
      <c r="H2" s="1563"/>
    </row>
    <row r="3" spans="1:16" ht="26.25" customHeight="1">
      <c r="A3" s="1573"/>
      <c r="B3" s="1573"/>
      <c r="C3" s="1573"/>
      <c r="D3" s="1573"/>
      <c r="E3" s="1573"/>
      <c r="F3" s="1573" t="s">
        <v>505</v>
      </c>
      <c r="G3" s="1573"/>
      <c r="H3" s="1573"/>
      <c r="I3" s="368"/>
      <c r="J3" s="368"/>
      <c r="K3" s="368"/>
    </row>
    <row r="4" spans="1:16" ht="39">
      <c r="A4" s="1573"/>
      <c r="B4" s="1573"/>
      <c r="C4" s="1573"/>
      <c r="D4" s="1573"/>
      <c r="E4" s="1573"/>
      <c r="F4" s="382" t="s">
        <v>124</v>
      </c>
      <c r="G4" s="382" t="s">
        <v>125</v>
      </c>
      <c r="H4" s="382" t="s">
        <v>504</v>
      </c>
      <c r="I4" s="369"/>
      <c r="J4" s="368"/>
      <c r="K4" s="368"/>
    </row>
    <row r="5" spans="1:16">
      <c r="A5" s="1572" t="s">
        <v>502</v>
      </c>
      <c r="B5" s="1572"/>
      <c r="C5" s="1572"/>
      <c r="D5" s="1572"/>
      <c r="E5" s="1572"/>
      <c r="F5" s="303">
        <v>260000</v>
      </c>
      <c r="G5" s="303">
        <v>260000</v>
      </c>
      <c r="H5" s="303">
        <v>260000</v>
      </c>
      <c r="I5" s="370"/>
      <c r="J5" s="368"/>
      <c r="K5" s="368"/>
    </row>
    <row r="6" spans="1:16">
      <c r="A6" s="1572" t="s">
        <v>503</v>
      </c>
      <c r="B6" s="1572"/>
      <c r="C6" s="1572"/>
      <c r="D6" s="1572"/>
      <c r="E6" s="1572"/>
      <c r="F6" s="303">
        <v>260000</v>
      </c>
      <c r="G6" s="303">
        <v>260000</v>
      </c>
      <c r="H6" s="303">
        <v>260000</v>
      </c>
      <c r="I6" s="370"/>
      <c r="J6" s="368"/>
      <c r="K6" s="368"/>
    </row>
    <row r="7" spans="1:16">
      <c r="A7" s="1572"/>
      <c r="B7" s="1572"/>
      <c r="C7" s="1572"/>
      <c r="D7" s="1572"/>
      <c r="E7" s="1572"/>
      <c r="F7" s="371">
        <f>SUM(F5:F6)</f>
        <v>520000</v>
      </c>
      <c r="G7" s="371">
        <f t="shared" ref="G7:H7" si="0">SUM(G5:G6)</f>
        <v>520000</v>
      </c>
      <c r="H7" s="371">
        <f t="shared" si="0"/>
        <v>520000</v>
      </c>
      <c r="I7" s="370"/>
      <c r="J7" s="368"/>
      <c r="K7" s="368"/>
    </row>
    <row r="8" spans="1:16">
      <c r="F8" s="372"/>
      <c r="G8" s="370"/>
      <c r="H8" s="370"/>
      <c r="I8" s="370"/>
      <c r="J8" s="368"/>
      <c r="K8" s="368"/>
    </row>
    <row r="9" spans="1:16">
      <c r="A9" s="368"/>
      <c r="B9" s="368"/>
      <c r="C9" s="368"/>
      <c r="D9" s="368"/>
      <c r="E9" s="368"/>
      <c r="F9" s="368"/>
      <c r="G9" s="368"/>
      <c r="H9" s="368"/>
      <c r="I9" s="368"/>
      <c r="J9" s="368"/>
      <c r="K9" s="368"/>
    </row>
    <row r="10" spans="1:16">
      <c r="A10" s="368"/>
      <c r="B10" s="368"/>
      <c r="C10" s="368"/>
      <c r="D10" s="368"/>
      <c r="E10" s="368"/>
      <c r="F10" s="368"/>
      <c r="G10" s="368"/>
      <c r="H10" s="373"/>
      <c r="I10" s="373"/>
      <c r="J10" s="373"/>
      <c r="K10" s="368"/>
    </row>
    <row r="11" spans="1:16">
      <c r="A11" s="374"/>
      <c r="B11" s="374"/>
      <c r="C11" s="374"/>
      <c r="D11" s="374"/>
      <c r="E11" s="374"/>
      <c r="F11" s="374"/>
      <c r="G11" s="374"/>
      <c r="H11" s="375"/>
      <c r="I11" s="375"/>
      <c r="J11" s="375"/>
      <c r="K11" s="368"/>
    </row>
    <row r="12" spans="1:16">
      <c r="A12" s="368"/>
      <c r="B12" s="368"/>
      <c r="C12" s="368"/>
      <c r="D12" s="368"/>
      <c r="E12" s="368"/>
      <c r="F12" s="368"/>
      <c r="G12" s="368"/>
      <c r="H12" s="368"/>
      <c r="I12" s="368"/>
      <c r="J12" s="368"/>
      <c r="K12" s="368"/>
      <c r="L12" s="368"/>
      <c r="M12" s="368"/>
      <c r="N12" s="368"/>
      <c r="O12" s="368"/>
      <c r="P12" s="368"/>
    </row>
    <row r="13" spans="1:16">
      <c r="A13" s="376"/>
      <c r="B13" s="376"/>
      <c r="C13" s="376"/>
      <c r="D13" s="376"/>
      <c r="E13" s="376"/>
      <c r="F13" s="376"/>
      <c r="G13" s="376"/>
      <c r="H13" s="376"/>
      <c r="I13" s="376"/>
      <c r="J13" s="376"/>
      <c r="K13" s="376"/>
      <c r="L13" s="376"/>
      <c r="M13" s="368"/>
      <c r="N13" s="368"/>
      <c r="O13" s="368"/>
      <c r="P13" s="368"/>
    </row>
    <row r="14" spans="1:16">
      <c r="A14" s="368"/>
      <c r="B14" s="377"/>
      <c r="C14" s="377"/>
      <c r="D14" s="368"/>
      <c r="E14" s="368"/>
      <c r="F14" s="368"/>
      <c r="G14" s="368"/>
      <c r="H14" s="378"/>
      <c r="I14" s="378"/>
      <c r="J14" s="368"/>
      <c r="K14" s="368"/>
      <c r="L14" s="368"/>
      <c r="M14" s="368"/>
      <c r="N14" s="368"/>
      <c r="O14" s="368"/>
      <c r="P14" s="368"/>
    </row>
    <row r="15" spans="1:16">
      <c r="B15" s="379"/>
      <c r="C15" s="379"/>
    </row>
    <row r="16" spans="1:16">
      <c r="B16" s="379"/>
      <c r="C16" s="379"/>
    </row>
    <row r="17" spans="1:3">
      <c r="B17" s="379"/>
      <c r="C17" s="379"/>
    </row>
    <row r="18" spans="1:3">
      <c r="B18" s="379"/>
      <c r="C18" s="379"/>
    </row>
    <row r="19" spans="1:3">
      <c r="B19" s="379"/>
      <c r="C19" s="379"/>
    </row>
    <row r="20" spans="1:3">
      <c r="B20" s="379"/>
      <c r="C20" s="379"/>
    </row>
    <row r="21" spans="1:3">
      <c r="B21" s="379"/>
      <c r="C21" s="379"/>
    </row>
    <row r="22" spans="1:3">
      <c r="B22" s="379"/>
      <c r="C22" s="379"/>
    </row>
    <row r="23" spans="1:3">
      <c r="B23" s="379"/>
      <c r="C23" s="379"/>
    </row>
    <row r="24" spans="1:3">
      <c r="B24" s="379"/>
      <c r="C24" s="379"/>
    </row>
    <row r="25" spans="1:3">
      <c r="B25" s="379"/>
      <c r="C25" s="379"/>
    </row>
    <row r="26" spans="1:3">
      <c r="B26" s="379"/>
      <c r="C26" s="379"/>
    </row>
    <row r="27" spans="1:3">
      <c r="B27" s="379"/>
      <c r="C27" s="379"/>
    </row>
    <row r="28" spans="1:3">
      <c r="B28" s="379"/>
      <c r="C28" s="379"/>
    </row>
    <row r="29" spans="1:3">
      <c r="B29" s="379"/>
      <c r="C29" s="379"/>
    </row>
    <row r="30" spans="1:3">
      <c r="B30" s="379"/>
      <c r="C30" s="379"/>
    </row>
    <row r="31" spans="1:3">
      <c r="A31" s="380"/>
      <c r="B31" s="367"/>
      <c r="C31" s="367"/>
    </row>
    <row r="32" spans="1:3">
      <c r="A32" s="381"/>
    </row>
  </sheetData>
  <mergeCells count="7">
    <mergeCell ref="A7:E7"/>
    <mergeCell ref="G1:H1"/>
    <mergeCell ref="A2:H2"/>
    <mergeCell ref="A3:E4"/>
    <mergeCell ref="F3:H3"/>
    <mergeCell ref="A5:E5"/>
    <mergeCell ref="A6:E6"/>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EEF40-A5E3-4C2C-A096-9BB9ECB51C60}">
  <dimension ref="A1:E7"/>
  <sheetViews>
    <sheetView workbookViewId="0">
      <selection activeCell="C19" sqref="C19"/>
    </sheetView>
  </sheetViews>
  <sheetFormatPr defaultColWidth="8.81640625" defaultRowHeight="13"/>
  <cols>
    <col min="1" max="1" width="8.7265625" style="297" bestFit="1" customWidth="1"/>
    <col min="2" max="2" width="46" style="297" customWidth="1"/>
    <col min="3" max="3" width="28.1796875" style="297" customWidth="1"/>
    <col min="4" max="4" width="32.1796875" style="297" customWidth="1"/>
    <col min="5" max="5" width="29.81640625" style="297" customWidth="1"/>
    <col min="6" max="16384" width="8.81640625" style="297"/>
  </cols>
  <sheetData>
    <row r="1" spans="1:5">
      <c r="E1" s="297" t="s">
        <v>1001</v>
      </c>
    </row>
    <row r="2" spans="1:5">
      <c r="A2" s="1575" t="s">
        <v>1002</v>
      </c>
      <c r="B2" s="1575"/>
      <c r="C2" s="1575"/>
      <c r="D2" s="1575"/>
      <c r="E2" s="1575"/>
    </row>
    <row r="3" spans="1:5" ht="26.5">
      <c r="A3" s="687" t="s">
        <v>415</v>
      </c>
      <c r="B3" s="687" t="s">
        <v>416</v>
      </c>
      <c r="C3" s="687" t="s">
        <v>433</v>
      </c>
      <c r="D3" s="687" t="s">
        <v>1000</v>
      </c>
      <c r="E3" s="687" t="s">
        <v>964</v>
      </c>
    </row>
    <row r="4" spans="1:5" ht="26">
      <c r="A4" s="688">
        <v>1</v>
      </c>
      <c r="B4" s="689" t="s">
        <v>997</v>
      </c>
      <c r="C4" s="688">
        <v>20000</v>
      </c>
      <c r="D4" s="690">
        <v>0</v>
      </c>
      <c r="E4" s="690">
        <v>0</v>
      </c>
    </row>
    <row r="5" spans="1:5" ht="15" customHeight="1">
      <c r="A5" s="688">
        <v>2</v>
      </c>
      <c r="B5" s="689" t="s">
        <v>998</v>
      </c>
      <c r="C5" s="688">
        <v>20000</v>
      </c>
      <c r="D5" s="690">
        <v>10000</v>
      </c>
      <c r="E5" s="690">
        <v>0</v>
      </c>
    </row>
    <row r="6" spans="1:5">
      <c r="A6" s="688">
        <v>3</v>
      </c>
      <c r="B6" s="689" t="s">
        <v>999</v>
      </c>
      <c r="C6" s="688">
        <v>80000</v>
      </c>
      <c r="D6" s="690">
        <v>50000</v>
      </c>
      <c r="E6" s="690">
        <v>0</v>
      </c>
    </row>
    <row r="7" spans="1:5">
      <c r="A7" s="1574" t="s">
        <v>430</v>
      </c>
      <c r="B7" s="1574"/>
      <c r="C7" s="691">
        <f>SUM(C4:C6)</f>
        <v>120000</v>
      </c>
      <c r="D7" s="691">
        <f t="shared" ref="D7:E7" si="0">SUM(D4:D6)</f>
        <v>60000</v>
      </c>
      <c r="E7" s="691">
        <f t="shared" si="0"/>
        <v>0</v>
      </c>
    </row>
  </sheetData>
  <mergeCells count="2">
    <mergeCell ref="A7:B7"/>
    <mergeCell ref="A2:E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D634-03CD-48F1-9E30-FF3EB796F635}">
  <dimension ref="A1:G8"/>
  <sheetViews>
    <sheetView zoomScale="78" zoomScaleNormal="78" workbookViewId="0">
      <selection activeCell="E42" sqref="E42"/>
    </sheetView>
  </sheetViews>
  <sheetFormatPr defaultColWidth="27.26953125" defaultRowHeight="13"/>
  <cols>
    <col min="1" max="1" width="35.81640625" style="297" customWidth="1"/>
    <col min="2" max="2" width="21.453125" style="297" customWidth="1"/>
    <col min="3" max="4" width="19.7265625" style="297" customWidth="1"/>
    <col min="5" max="5" width="15.81640625" style="297" customWidth="1"/>
    <col min="6" max="6" width="20.453125" style="297" customWidth="1"/>
    <col min="7" max="7" width="22" style="297" customWidth="1"/>
    <col min="8" max="16384" width="27.26953125" style="297"/>
  </cols>
  <sheetData>
    <row r="1" spans="1:7">
      <c r="G1" s="297" t="s">
        <v>517</v>
      </c>
    </row>
    <row r="2" spans="1:7">
      <c r="A2" s="1576" t="s">
        <v>506</v>
      </c>
      <c r="B2" s="1576"/>
      <c r="C2" s="1576"/>
      <c r="D2" s="1576"/>
      <c r="E2" s="1576"/>
      <c r="F2" s="1576"/>
      <c r="G2" s="1576"/>
    </row>
    <row r="3" spans="1:7" ht="78">
      <c r="A3" s="383"/>
      <c r="B3" s="300" t="s">
        <v>507</v>
      </c>
      <c r="C3" s="300" t="s">
        <v>508</v>
      </c>
      <c r="D3" s="300" t="s">
        <v>509</v>
      </c>
      <c r="E3" s="300" t="s">
        <v>510</v>
      </c>
      <c r="F3" s="300" t="s">
        <v>511</v>
      </c>
      <c r="G3" s="300" t="s">
        <v>512</v>
      </c>
    </row>
    <row r="4" spans="1:7">
      <c r="A4" s="384" t="s">
        <v>513</v>
      </c>
      <c r="B4" s="344">
        <v>905</v>
      </c>
      <c r="C4" s="344">
        <v>4</v>
      </c>
      <c r="D4" s="344"/>
      <c r="E4" s="344">
        <f>C4*B4-D4</f>
        <v>3620</v>
      </c>
      <c r="F4" s="344">
        <v>3620</v>
      </c>
      <c r="G4" s="344">
        <v>3620</v>
      </c>
    </row>
    <row r="5" spans="1:7" ht="52">
      <c r="A5" s="385" t="s">
        <v>514</v>
      </c>
      <c r="B5" s="344">
        <v>8035</v>
      </c>
      <c r="C5" s="344">
        <v>4</v>
      </c>
      <c r="D5" s="344"/>
      <c r="E5" s="344">
        <f t="shared" ref="E5:E7" si="0">C5*B5-D5</f>
        <v>32140</v>
      </c>
      <c r="F5" s="344">
        <v>32140</v>
      </c>
      <c r="G5" s="344">
        <v>32140</v>
      </c>
    </row>
    <row r="6" spans="1:7">
      <c r="A6" s="384" t="s">
        <v>515</v>
      </c>
      <c r="B6" s="344">
        <v>346</v>
      </c>
      <c r="C6" s="344">
        <v>4</v>
      </c>
      <c r="D6" s="344"/>
      <c r="E6" s="344">
        <f t="shared" si="0"/>
        <v>1384</v>
      </c>
      <c r="F6" s="344">
        <v>1384</v>
      </c>
      <c r="G6" s="344">
        <v>1384</v>
      </c>
    </row>
    <row r="7" spans="1:7">
      <c r="A7" s="385" t="s">
        <v>516</v>
      </c>
      <c r="B7" s="344">
        <v>5746</v>
      </c>
      <c r="C7" s="344">
        <v>3</v>
      </c>
      <c r="D7" s="344"/>
      <c r="E7" s="344">
        <f t="shared" si="0"/>
        <v>17238</v>
      </c>
      <c r="F7" s="344">
        <v>17238</v>
      </c>
      <c r="G7" s="344">
        <v>17238</v>
      </c>
    </row>
    <row r="8" spans="1:7">
      <c r="A8" s="384"/>
      <c r="B8" s="344"/>
      <c r="C8" s="344"/>
      <c r="D8" s="344">
        <v>761</v>
      </c>
      <c r="E8" s="386">
        <f>SUM(E4:E7)-D8</f>
        <v>53621</v>
      </c>
      <c r="F8" s="386">
        <v>53621</v>
      </c>
      <c r="G8" s="386">
        <v>53621</v>
      </c>
    </row>
  </sheetData>
  <mergeCells count="1">
    <mergeCell ref="A2:G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A599A-4457-4BE7-86D0-1CA0E6D89A24}">
  <dimension ref="A1:J15"/>
  <sheetViews>
    <sheetView zoomScale="73" zoomScaleNormal="73" workbookViewId="0">
      <selection activeCell="G5" sqref="G5"/>
    </sheetView>
  </sheetViews>
  <sheetFormatPr defaultColWidth="9.1796875" defaultRowHeight="13"/>
  <cols>
    <col min="1" max="1" width="35.26953125" style="297" customWidth="1"/>
    <col min="2" max="2" width="21.54296875" style="297" customWidth="1"/>
    <col min="3" max="3" width="19.453125" style="297" customWidth="1"/>
    <col min="4" max="4" width="20.1796875" style="297" customWidth="1"/>
    <col min="5" max="5" width="17.26953125" style="297" customWidth="1"/>
    <col min="6" max="6" width="17.453125" style="297" customWidth="1"/>
    <col min="7" max="7" width="18.26953125" style="297" customWidth="1"/>
    <col min="8" max="8" width="19.26953125" style="297" customWidth="1"/>
    <col min="9" max="9" width="22" style="297" customWidth="1"/>
    <col min="10" max="10" width="17.54296875" style="297" customWidth="1"/>
    <col min="11" max="16384" width="9.1796875" style="297"/>
  </cols>
  <sheetData>
    <row r="1" spans="1:10">
      <c r="I1" s="297" t="s">
        <v>518</v>
      </c>
    </row>
    <row r="2" spans="1:10">
      <c r="A2" s="1577" t="s">
        <v>519</v>
      </c>
      <c r="B2" s="1577"/>
      <c r="C2" s="1577"/>
      <c r="D2" s="1577"/>
      <c r="E2" s="1577"/>
      <c r="F2" s="1577"/>
      <c r="G2" s="1577"/>
      <c r="H2" s="1577"/>
      <c r="I2" s="1577"/>
      <c r="J2" s="1577"/>
    </row>
    <row r="3" spans="1:10" ht="78">
      <c r="A3" s="387"/>
      <c r="B3" s="388" t="s">
        <v>520</v>
      </c>
      <c r="C3" s="388" t="s">
        <v>521</v>
      </c>
      <c r="D3" s="388" t="s">
        <v>522</v>
      </c>
      <c r="E3" s="388" t="s">
        <v>523</v>
      </c>
      <c r="F3" s="388" t="s">
        <v>524</v>
      </c>
      <c r="G3" s="388" t="s">
        <v>525</v>
      </c>
      <c r="H3" s="388" t="s">
        <v>526</v>
      </c>
      <c r="I3" s="388" t="s">
        <v>545</v>
      </c>
    </row>
    <row r="4" spans="1:10">
      <c r="A4" s="385" t="s">
        <v>527</v>
      </c>
      <c r="B4" s="384">
        <v>197756</v>
      </c>
      <c r="C4" s="389">
        <f>B4*0.5</f>
        <v>98878</v>
      </c>
      <c r="D4" s="390">
        <f>C4*I12</f>
        <v>2197069.1599999997</v>
      </c>
      <c r="E4" s="384"/>
      <c r="F4" s="384"/>
      <c r="G4" s="384"/>
      <c r="H4" s="384"/>
      <c r="I4" s="384"/>
    </row>
    <row r="5" spans="1:10">
      <c r="A5" s="385" t="s">
        <v>528</v>
      </c>
      <c r="B5" s="384">
        <f>SUM(B6:B7)</f>
        <v>129100</v>
      </c>
      <c r="C5" s="389">
        <f>B5*0.5</f>
        <v>64550</v>
      </c>
      <c r="D5" s="390">
        <f>SUM(D6:D7)</f>
        <v>2422618.1228</v>
      </c>
      <c r="E5" s="391">
        <f>D5-D4</f>
        <v>225548.96280000033</v>
      </c>
      <c r="F5" s="384">
        <v>77460</v>
      </c>
      <c r="G5" s="391">
        <v>710072.58735999977</v>
      </c>
      <c r="H5" s="384">
        <v>90370</v>
      </c>
      <c r="I5" s="391">
        <v>1194596.2119199997</v>
      </c>
    </row>
    <row r="6" spans="1:10" ht="26">
      <c r="A6" s="385" t="s">
        <v>529</v>
      </c>
      <c r="B6" s="384">
        <v>108722</v>
      </c>
      <c r="C6" s="389">
        <f>B6*0.5</f>
        <v>54361</v>
      </c>
      <c r="D6" s="390">
        <f>C6*0.58*I15+C6*0.42*I14</f>
        <v>2132842.9627999999</v>
      </c>
      <c r="E6" s="384"/>
      <c r="F6" s="390">
        <v>65233.2</v>
      </c>
      <c r="G6" s="384"/>
      <c r="H6" s="390">
        <v>76105.399999999994</v>
      </c>
      <c r="I6" s="384"/>
    </row>
    <row r="7" spans="1:10">
      <c r="A7" s="385" t="s">
        <v>530</v>
      </c>
      <c r="B7" s="384">
        <v>20378</v>
      </c>
      <c r="C7" s="389">
        <f>B7*0.5</f>
        <v>10189</v>
      </c>
      <c r="D7" s="390">
        <f>C7*I13</f>
        <v>289775.15999999997</v>
      </c>
      <c r="E7" s="384"/>
      <c r="F7" s="390">
        <v>12226.8</v>
      </c>
      <c r="G7" s="384"/>
      <c r="H7" s="390">
        <v>14264.599999999999</v>
      </c>
      <c r="I7" s="384"/>
    </row>
    <row r="8" spans="1:10">
      <c r="A8" s="297" t="s">
        <v>531</v>
      </c>
      <c r="C8" s="392"/>
      <c r="D8" s="393"/>
      <c r="E8" s="393"/>
    </row>
    <row r="9" spans="1:10">
      <c r="A9" s="297" t="s">
        <v>532</v>
      </c>
      <c r="C9" s="393"/>
      <c r="D9" s="392"/>
      <c r="E9" s="393"/>
      <c r="F9" s="393"/>
    </row>
    <row r="11" spans="1:10" ht="78">
      <c r="A11" s="387"/>
      <c r="B11" s="388" t="s">
        <v>533</v>
      </c>
      <c r="C11" s="388" t="s">
        <v>534</v>
      </c>
      <c r="D11" s="388" t="s">
        <v>535</v>
      </c>
      <c r="E11" s="388" t="s">
        <v>536</v>
      </c>
      <c r="F11" s="394" t="s">
        <v>537</v>
      </c>
      <c r="G11" s="388" t="s">
        <v>538</v>
      </c>
      <c r="H11" s="388" t="s">
        <v>539</v>
      </c>
      <c r="I11" s="395" t="s">
        <v>540</v>
      </c>
    </row>
    <row r="12" spans="1:10" ht="26">
      <c r="A12" s="385" t="s">
        <v>541</v>
      </c>
      <c r="B12" s="344">
        <v>2.66</v>
      </c>
      <c r="C12" s="344">
        <v>8.7799999999999994</v>
      </c>
      <c r="D12" s="344">
        <v>4</v>
      </c>
      <c r="E12" s="344">
        <v>6.78</v>
      </c>
      <c r="F12" s="344"/>
      <c r="G12" s="344"/>
      <c r="H12" s="344"/>
      <c r="I12" s="396">
        <f>SUM(B12:H12)</f>
        <v>22.22</v>
      </c>
    </row>
    <row r="13" spans="1:10" ht="26">
      <c r="A13" s="385" t="s">
        <v>542</v>
      </c>
      <c r="B13" s="344">
        <v>2.66</v>
      </c>
      <c r="C13" s="344">
        <v>8.7799999999999994</v>
      </c>
      <c r="D13" s="344">
        <v>4</v>
      </c>
      <c r="E13" s="344"/>
      <c r="F13" s="344">
        <v>13</v>
      </c>
      <c r="G13" s="344"/>
      <c r="H13" s="344"/>
      <c r="I13" s="396">
        <f>SUM(B13:H13)</f>
        <v>28.439999999999998</v>
      </c>
    </row>
    <row r="14" spans="1:10" ht="26">
      <c r="A14" s="385" t="s">
        <v>543</v>
      </c>
      <c r="B14" s="344">
        <v>2.66</v>
      </c>
      <c r="C14" s="344">
        <v>8.7799999999999994</v>
      </c>
      <c r="D14" s="344">
        <v>4</v>
      </c>
      <c r="E14" s="344"/>
      <c r="F14" s="344"/>
      <c r="G14" s="344">
        <v>28.98</v>
      </c>
      <c r="H14" s="344"/>
      <c r="I14" s="396">
        <f>SUM(B14:H14)</f>
        <v>44.42</v>
      </c>
    </row>
    <row r="15" spans="1:10" ht="26">
      <c r="A15" s="385" t="s">
        <v>544</v>
      </c>
      <c r="B15" s="344">
        <v>2.66</v>
      </c>
      <c r="C15" s="344">
        <v>8.7799999999999994</v>
      </c>
      <c r="D15" s="344">
        <v>4</v>
      </c>
      <c r="E15" s="344"/>
      <c r="F15" s="344"/>
      <c r="G15" s="344"/>
      <c r="H15" s="344">
        <v>20.04</v>
      </c>
      <c r="I15" s="396">
        <f>SUM(B15:H15)</f>
        <v>35.479999999999997</v>
      </c>
    </row>
  </sheetData>
  <mergeCells count="1">
    <mergeCell ref="A2:J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90215-393B-4B67-A390-FF5B76414CF2}">
  <dimension ref="A1:E7"/>
  <sheetViews>
    <sheetView workbookViewId="0">
      <selection activeCell="D22" sqref="D22"/>
    </sheetView>
  </sheetViews>
  <sheetFormatPr defaultColWidth="8.81640625" defaultRowHeight="13"/>
  <cols>
    <col min="1" max="1" width="8.7265625" style="297" bestFit="1" customWidth="1"/>
    <col min="2" max="2" width="46" style="297" customWidth="1"/>
    <col min="3" max="3" width="28.1796875" style="297" customWidth="1"/>
    <col min="4" max="4" width="32.1796875" style="297" customWidth="1"/>
    <col min="5" max="5" width="29.81640625" style="297" customWidth="1"/>
    <col min="6" max="16384" width="8.81640625" style="297"/>
  </cols>
  <sheetData>
    <row r="1" spans="1:5">
      <c r="E1" s="297" t="s">
        <v>962</v>
      </c>
    </row>
    <row r="2" spans="1:5" ht="12.75" customHeight="1">
      <c r="A2" s="1551" t="s">
        <v>963</v>
      </c>
      <c r="B2" s="1551"/>
      <c r="C2" s="1551"/>
      <c r="D2" s="1551"/>
      <c r="E2" s="1551"/>
    </row>
    <row r="3" spans="1:5" ht="26.5">
      <c r="A3" s="687" t="s">
        <v>415</v>
      </c>
      <c r="B3" s="687" t="s">
        <v>416</v>
      </c>
      <c r="C3" s="687" t="s">
        <v>433</v>
      </c>
      <c r="D3" s="687" t="s">
        <v>960</v>
      </c>
      <c r="E3" s="687" t="s">
        <v>964</v>
      </c>
    </row>
    <row r="4" spans="1:5" ht="26">
      <c r="A4" s="688">
        <v>1</v>
      </c>
      <c r="B4" s="689" t="s">
        <v>957</v>
      </c>
      <c r="C4" s="688">
        <v>50000</v>
      </c>
      <c r="D4" s="690">
        <v>0</v>
      </c>
      <c r="E4" s="690">
        <v>0</v>
      </c>
    </row>
    <row r="5" spans="1:5">
      <c r="A5" s="688">
        <v>2</v>
      </c>
      <c r="B5" s="689" t="s">
        <v>958</v>
      </c>
      <c r="C5" s="688">
        <v>55000</v>
      </c>
      <c r="D5" s="690">
        <v>0</v>
      </c>
      <c r="E5" s="690">
        <v>0</v>
      </c>
    </row>
    <row r="6" spans="1:5" ht="26">
      <c r="A6" s="688">
        <v>3</v>
      </c>
      <c r="B6" s="689" t="s">
        <v>959</v>
      </c>
      <c r="C6" s="688">
        <v>95000</v>
      </c>
      <c r="D6" s="690">
        <v>200000</v>
      </c>
      <c r="E6" s="690">
        <v>100000</v>
      </c>
    </row>
    <row r="7" spans="1:5">
      <c r="A7" s="1574" t="s">
        <v>430</v>
      </c>
      <c r="B7" s="1574"/>
      <c r="C7" s="692">
        <f>SUM(C4:C6)</f>
        <v>200000</v>
      </c>
      <c r="D7" s="692">
        <f>SUM(D4:D6)</f>
        <v>200000</v>
      </c>
      <c r="E7" s="692">
        <f>SUM(E4:E6)</f>
        <v>100000</v>
      </c>
    </row>
  </sheetData>
  <mergeCells count="2">
    <mergeCell ref="A7:B7"/>
    <mergeCell ref="A2:E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36E13-2B50-4145-A6E0-31E38466E555}">
  <dimension ref="A1:E7"/>
  <sheetViews>
    <sheetView workbookViewId="0">
      <selection activeCell="C10" sqref="C9:C10"/>
    </sheetView>
  </sheetViews>
  <sheetFormatPr defaultColWidth="8.81640625" defaultRowHeight="42" customHeight="1"/>
  <cols>
    <col min="1" max="1" width="8.7265625" style="693" bestFit="1" customWidth="1"/>
    <col min="2" max="2" width="46" style="693" customWidth="1"/>
    <col min="3" max="3" width="28.1796875" style="693" customWidth="1"/>
    <col min="4" max="4" width="32.1796875" style="693" customWidth="1"/>
    <col min="5" max="5" width="29.81640625" style="693" customWidth="1"/>
    <col min="6" max="16384" width="8.81640625" style="297"/>
  </cols>
  <sheetData>
    <row r="1" spans="1:5" ht="13">
      <c r="E1" s="693" t="s">
        <v>970</v>
      </c>
    </row>
    <row r="2" spans="1:5" ht="12.75" customHeight="1">
      <c r="A2" s="1551" t="s">
        <v>969</v>
      </c>
      <c r="B2" s="1551"/>
      <c r="C2" s="1551"/>
      <c r="D2" s="1551"/>
      <c r="E2" s="1551"/>
    </row>
    <row r="3" spans="1:5" ht="29.25" customHeight="1">
      <c r="A3" s="687" t="s">
        <v>415</v>
      </c>
      <c r="B3" s="687" t="s">
        <v>416</v>
      </c>
      <c r="C3" s="687" t="s">
        <v>433</v>
      </c>
      <c r="D3" s="687" t="s">
        <v>960</v>
      </c>
      <c r="E3" s="687" t="s">
        <v>971</v>
      </c>
    </row>
    <row r="4" spans="1:5" ht="26">
      <c r="A4" s="688">
        <v>1</v>
      </c>
      <c r="B4" s="689" t="s">
        <v>965</v>
      </c>
      <c r="C4" s="688">
        <v>60000</v>
      </c>
      <c r="D4" s="690">
        <v>0</v>
      </c>
      <c r="E4" s="690">
        <v>0</v>
      </c>
    </row>
    <row r="5" spans="1:5" ht="39">
      <c r="A5" s="688">
        <v>2</v>
      </c>
      <c r="B5" s="689" t="s">
        <v>966</v>
      </c>
      <c r="C5" s="688">
        <v>0</v>
      </c>
      <c r="D5" s="690">
        <v>80000</v>
      </c>
      <c r="E5" s="690">
        <v>20000</v>
      </c>
    </row>
    <row r="6" spans="1:5" ht="26">
      <c r="A6" s="688">
        <v>3</v>
      </c>
      <c r="B6" s="689" t="s">
        <v>967</v>
      </c>
      <c r="C6" s="688">
        <v>0</v>
      </c>
      <c r="D6" s="690">
        <v>20000</v>
      </c>
      <c r="E6" s="690">
        <v>70000</v>
      </c>
    </row>
    <row r="7" spans="1:5" ht="13.5">
      <c r="A7" s="1578" t="s">
        <v>968</v>
      </c>
      <c r="B7" s="1578"/>
      <c r="C7" s="691">
        <f>SUM(C4:C6)</f>
        <v>60000</v>
      </c>
      <c r="D7" s="691">
        <f>SUM(D4:D6)</f>
        <v>100000</v>
      </c>
      <c r="E7" s="691">
        <f>SUM(E4:E6)</f>
        <v>90000</v>
      </c>
    </row>
  </sheetData>
  <mergeCells count="2">
    <mergeCell ref="A7:B7"/>
    <mergeCell ref="A2:E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7BA4-5B8B-4075-B3B5-49C61B2F4B84}">
  <dimension ref="A1:E7"/>
  <sheetViews>
    <sheetView workbookViewId="0">
      <selection activeCell="D14" sqref="D14"/>
    </sheetView>
  </sheetViews>
  <sheetFormatPr defaultColWidth="8.81640625" defaultRowHeight="13"/>
  <cols>
    <col min="1" max="1" width="7" style="297" customWidth="1"/>
    <col min="2" max="2" width="46" style="297" customWidth="1"/>
    <col min="3" max="3" width="28.1796875" style="297" customWidth="1"/>
    <col min="4" max="4" width="32.1796875" style="297" customWidth="1"/>
    <col min="5" max="5" width="29.81640625" style="297" customWidth="1"/>
    <col min="6" max="16384" width="8.81640625" style="297"/>
  </cols>
  <sheetData>
    <row r="1" spans="1:5">
      <c r="E1" s="297" t="s">
        <v>976</v>
      </c>
    </row>
    <row r="2" spans="1:5" ht="12.75" customHeight="1">
      <c r="A2" s="1551" t="s">
        <v>975</v>
      </c>
      <c r="B2" s="1551"/>
      <c r="C2" s="1551"/>
      <c r="D2" s="1551"/>
      <c r="E2" s="1551"/>
    </row>
    <row r="3" spans="1:5" ht="26.5">
      <c r="A3" s="687" t="s">
        <v>415</v>
      </c>
      <c r="B3" s="687" t="s">
        <v>416</v>
      </c>
      <c r="C3" s="687" t="s">
        <v>433</v>
      </c>
      <c r="D3" s="687" t="s">
        <v>960</v>
      </c>
      <c r="E3" s="687" t="s">
        <v>961</v>
      </c>
    </row>
    <row r="4" spans="1:5" ht="26">
      <c r="A4" s="688">
        <v>1</v>
      </c>
      <c r="B4" s="689" t="s">
        <v>972</v>
      </c>
      <c r="C4" s="688">
        <v>20000</v>
      </c>
      <c r="D4" s="690">
        <v>0</v>
      </c>
      <c r="E4" s="690">
        <v>0</v>
      </c>
    </row>
    <row r="5" spans="1:5" ht="26">
      <c r="A5" s="688">
        <v>2</v>
      </c>
      <c r="B5" s="689" t="s">
        <v>973</v>
      </c>
      <c r="C5" s="688">
        <v>0</v>
      </c>
      <c r="D5" s="690">
        <v>55000</v>
      </c>
      <c r="E5" s="690">
        <v>0</v>
      </c>
    </row>
    <row r="6" spans="1:5">
      <c r="A6" s="688">
        <v>3</v>
      </c>
      <c r="B6" s="689" t="s">
        <v>974</v>
      </c>
      <c r="C6" s="688">
        <v>0</v>
      </c>
      <c r="D6" s="690">
        <v>5000</v>
      </c>
      <c r="E6" s="690">
        <v>0</v>
      </c>
    </row>
    <row r="7" spans="1:5">
      <c r="A7" s="1574" t="s">
        <v>430</v>
      </c>
      <c r="B7" s="1574"/>
      <c r="C7" s="691">
        <f>SUM(C4:C6)</f>
        <v>20000</v>
      </c>
      <c r="D7" s="691">
        <f>SUM(D4:D6)</f>
        <v>60000</v>
      </c>
      <c r="E7" s="691">
        <f>SUM(E4:E6)</f>
        <v>0</v>
      </c>
    </row>
  </sheetData>
  <mergeCells count="2">
    <mergeCell ref="A7:B7"/>
    <mergeCell ref="A2:E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D305C-B79A-4BDA-BE8D-07CC4BFA6818}">
  <sheetPr>
    <tabColor theme="9" tint="0.79998168889431442"/>
  </sheetPr>
  <dimension ref="A1:F5"/>
  <sheetViews>
    <sheetView workbookViewId="0">
      <selection activeCell="E9" sqref="E9"/>
    </sheetView>
  </sheetViews>
  <sheetFormatPr defaultColWidth="8.7265625" defaultRowHeight="13"/>
  <cols>
    <col min="1" max="1" width="16.81640625" style="1075" customWidth="1"/>
    <col min="2" max="2" width="11.26953125" style="1075" customWidth="1"/>
    <col min="3" max="3" width="21.26953125" style="1075" customWidth="1"/>
    <col min="4" max="4" width="12.7265625" style="1075" customWidth="1"/>
    <col min="5" max="5" width="15.26953125" style="1075" customWidth="1"/>
    <col min="6" max="6" width="23.54296875" style="1075" customWidth="1"/>
    <col min="7" max="16384" width="8.7265625" style="1075"/>
  </cols>
  <sheetData>
    <row r="1" spans="1:6" ht="15.75" customHeight="1">
      <c r="E1" s="1555" t="s">
        <v>1574</v>
      </c>
      <c r="F1" s="1555"/>
    </row>
    <row r="2" spans="1:6" ht="32.25" customHeight="1">
      <c r="A2" s="1580" t="s">
        <v>142</v>
      </c>
      <c r="B2" s="1580"/>
      <c r="C2" s="1580"/>
      <c r="D2" s="1580"/>
      <c r="E2" s="1580"/>
      <c r="F2" s="1580"/>
    </row>
    <row r="3" spans="1:6" ht="42" customHeight="1">
      <c r="A3" s="1579" t="s">
        <v>1571</v>
      </c>
      <c r="B3" s="1579"/>
      <c r="C3" s="1579"/>
      <c r="D3" s="1579"/>
      <c r="E3" s="1579"/>
      <c r="F3" s="1579"/>
    </row>
    <row r="4" spans="1:6" ht="47.25" customHeight="1">
      <c r="A4" s="1256" t="s">
        <v>546</v>
      </c>
      <c r="B4" s="1256" t="s">
        <v>547</v>
      </c>
      <c r="C4" s="1256" t="s">
        <v>551</v>
      </c>
      <c r="D4" s="1256" t="s">
        <v>548</v>
      </c>
      <c r="E4" s="1256" t="s">
        <v>550</v>
      </c>
      <c r="F4" s="1256" t="s">
        <v>552</v>
      </c>
    </row>
    <row r="5" spans="1:6">
      <c r="A5" s="1262" t="s">
        <v>549</v>
      </c>
      <c r="B5" s="1262">
        <v>1</v>
      </c>
      <c r="C5" s="1262">
        <v>11840</v>
      </c>
      <c r="D5" s="1262">
        <v>1.21</v>
      </c>
      <c r="E5" s="1262">
        <f>C5*D5</f>
        <v>14326.4</v>
      </c>
      <c r="F5" s="346">
        <f>SUM(B5*E5)</f>
        <v>14326.4</v>
      </c>
    </row>
  </sheetData>
  <mergeCells count="3">
    <mergeCell ref="A3:F3"/>
    <mergeCell ref="E1:F1"/>
    <mergeCell ref="A2:F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1BE58-8792-4532-ADAA-545C08463D2D}">
  <dimension ref="A1"/>
  <sheetViews>
    <sheetView workbookViewId="0"/>
  </sheetViews>
  <sheetFormatPr defaultRowHeight="14.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A2AA0-EA69-45D2-84A6-399076388E31}">
  <dimension ref="A1:L16"/>
  <sheetViews>
    <sheetView zoomScale="62" zoomScaleNormal="62" workbookViewId="0">
      <selection activeCell="B28" sqref="B28"/>
    </sheetView>
  </sheetViews>
  <sheetFormatPr defaultColWidth="9.1796875" defaultRowHeight="13"/>
  <cols>
    <col min="1" max="1" width="34.453125" style="425" customWidth="1"/>
    <col min="2" max="2" width="9" style="425" customWidth="1"/>
    <col min="3" max="3" width="8.7265625" style="425" customWidth="1"/>
    <col min="4" max="4" width="6" style="425" customWidth="1"/>
    <col min="5" max="5" width="9.26953125" style="425" customWidth="1"/>
    <col min="6" max="6" width="8.453125" style="425" customWidth="1"/>
    <col min="7" max="7" width="8.81640625" style="425" customWidth="1"/>
    <col min="8" max="8" width="12" style="425" customWidth="1"/>
    <col min="9" max="9" width="4.1796875" style="425" customWidth="1"/>
    <col min="10" max="10" width="15.453125" style="425" customWidth="1"/>
    <col min="11" max="11" width="12.453125" style="425" customWidth="1"/>
    <col min="12" max="12" width="18.26953125" style="425" customWidth="1"/>
    <col min="13" max="16384" width="9.1796875" style="425"/>
  </cols>
  <sheetData>
    <row r="1" spans="1:12">
      <c r="G1" s="1587" t="s">
        <v>650</v>
      </c>
      <c r="H1" s="1587"/>
    </row>
    <row r="2" spans="1:12" ht="15">
      <c r="A2" s="1588" t="s">
        <v>651</v>
      </c>
      <c r="B2" s="1588"/>
      <c r="C2" s="1588"/>
      <c r="D2" s="1588"/>
      <c r="E2" s="1588"/>
      <c r="F2" s="1588"/>
      <c r="G2" s="1588"/>
      <c r="H2" s="1588"/>
    </row>
    <row r="3" spans="1:12">
      <c r="A3" s="425" t="s">
        <v>652</v>
      </c>
    </row>
    <row r="4" spans="1:12" ht="52">
      <c r="A4" s="447"/>
      <c r="B4" s="448" t="s">
        <v>653</v>
      </c>
      <c r="C4" s="448" t="s">
        <v>654</v>
      </c>
      <c r="D4" s="448" t="s">
        <v>655</v>
      </c>
      <c r="E4" s="448" t="s">
        <v>656</v>
      </c>
      <c r="F4" s="448" t="s">
        <v>657</v>
      </c>
      <c r="G4" s="448" t="s">
        <v>658</v>
      </c>
      <c r="H4" s="448"/>
      <c r="I4" s="449"/>
      <c r="J4" s="450" t="s">
        <v>659</v>
      </c>
      <c r="K4" s="450" t="s">
        <v>660</v>
      </c>
      <c r="L4" s="450" t="s">
        <v>661</v>
      </c>
    </row>
    <row r="5" spans="1:12">
      <c r="A5" s="451" t="s">
        <v>662</v>
      </c>
      <c r="B5" s="452"/>
      <c r="C5" s="452"/>
      <c r="D5" s="452"/>
      <c r="E5" s="452"/>
      <c r="F5" s="452"/>
      <c r="G5" s="452"/>
      <c r="H5" s="452"/>
      <c r="J5" s="452"/>
      <c r="K5" s="452"/>
      <c r="L5" s="452"/>
    </row>
    <row r="6" spans="1:12">
      <c r="A6" s="451" t="s">
        <v>663</v>
      </c>
      <c r="B6" s="453">
        <f>1862*12</f>
        <v>22344</v>
      </c>
      <c r="C6" s="453">
        <f>B6*0.2359</f>
        <v>5270.9495999999999</v>
      </c>
      <c r="D6" s="453">
        <v>0</v>
      </c>
      <c r="E6" s="453">
        <v>2624</v>
      </c>
      <c r="F6" s="453">
        <v>299</v>
      </c>
      <c r="G6" s="453">
        <v>493</v>
      </c>
      <c r="H6" s="454">
        <f>SUM(B6:G6)</f>
        <v>31030.9496</v>
      </c>
      <c r="I6" s="455"/>
      <c r="J6" s="456">
        <f>H13</f>
        <v>248248</v>
      </c>
      <c r="K6" s="456">
        <f>J6</f>
        <v>248248</v>
      </c>
      <c r="L6" s="456">
        <f>K6</f>
        <v>248248</v>
      </c>
    </row>
    <row r="8" spans="1:12">
      <c r="A8" s="1589" t="s">
        <v>664</v>
      </c>
      <c r="B8" s="1589"/>
      <c r="C8" s="1589"/>
      <c r="D8" s="1589"/>
      <c r="E8" s="1589"/>
      <c r="F8" s="1589"/>
      <c r="G8" s="1589"/>
      <c r="H8" s="457">
        <f>H6*2</f>
        <v>62061.8992</v>
      </c>
    </row>
    <row r="9" spans="1:12">
      <c r="A9" s="1590" t="s">
        <v>665</v>
      </c>
      <c r="B9" s="1591"/>
      <c r="C9" s="1591"/>
      <c r="D9" s="1591"/>
      <c r="E9" s="1591"/>
      <c r="F9" s="1591"/>
      <c r="G9" s="1592"/>
      <c r="H9" s="457">
        <f>H6*2</f>
        <v>62061.8992</v>
      </c>
    </row>
    <row r="10" spans="1:12">
      <c r="A10" s="1593" t="s">
        <v>666</v>
      </c>
      <c r="B10" s="1594"/>
      <c r="C10" s="1594"/>
      <c r="D10" s="1594"/>
      <c r="E10" s="1594"/>
      <c r="F10" s="1594"/>
      <c r="G10" s="1595"/>
      <c r="H10" s="457">
        <f>H6*2</f>
        <v>62061.8992</v>
      </c>
    </row>
    <row r="11" spans="1:12">
      <c r="A11" s="1596" t="s">
        <v>667</v>
      </c>
      <c r="B11" s="1597"/>
      <c r="C11" s="1597"/>
      <c r="D11" s="1597"/>
      <c r="E11" s="1597"/>
      <c r="F11" s="1597"/>
      <c r="G11" s="1598"/>
      <c r="H11" s="457">
        <f>H6</f>
        <v>31030.9496</v>
      </c>
    </row>
    <row r="12" spans="1:12">
      <c r="A12" s="1581" t="s">
        <v>668</v>
      </c>
      <c r="B12" s="1582"/>
      <c r="C12" s="1582"/>
      <c r="D12" s="1582"/>
      <c r="E12" s="1582"/>
      <c r="F12" s="1582"/>
      <c r="G12" s="1583"/>
      <c r="H12" s="457">
        <f>H6</f>
        <v>31030.9496</v>
      </c>
    </row>
    <row r="13" spans="1:12">
      <c r="A13" s="1584" t="s">
        <v>493</v>
      </c>
      <c r="B13" s="1585"/>
      <c r="C13" s="1585"/>
      <c r="D13" s="1585"/>
      <c r="E13" s="1585"/>
      <c r="F13" s="1585"/>
      <c r="G13" s="1586"/>
      <c r="H13" s="458">
        <f>ROUNDUP(SUM(H8:H12),0)</f>
        <v>248248</v>
      </c>
    </row>
    <row r="14" spans="1:12">
      <c r="H14" s="459"/>
    </row>
    <row r="15" spans="1:12">
      <c r="H15" s="459"/>
    </row>
    <row r="16" spans="1:12">
      <c r="H16" s="459"/>
    </row>
  </sheetData>
  <mergeCells count="8">
    <mergeCell ref="A12:G12"/>
    <mergeCell ref="A13:G13"/>
    <mergeCell ref="G1:H1"/>
    <mergeCell ref="A2:H2"/>
    <mergeCell ref="A8:G8"/>
    <mergeCell ref="A9:G9"/>
    <mergeCell ref="A10:G10"/>
    <mergeCell ref="A11:G1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DF899-7388-47BC-B17B-4A39081C1AB5}">
  <dimension ref="B1:J45"/>
  <sheetViews>
    <sheetView zoomScale="73" zoomScaleNormal="73" workbookViewId="0">
      <selection activeCell="M37" sqref="M37"/>
    </sheetView>
  </sheetViews>
  <sheetFormatPr defaultColWidth="12" defaultRowHeight="13"/>
  <cols>
    <col min="1" max="1" width="3.7265625" style="875" customWidth="1"/>
    <col min="2" max="2" width="38.453125" style="875" customWidth="1"/>
    <col min="3" max="3" width="21.453125" style="875" customWidth="1"/>
    <col min="4" max="4" width="20.81640625" style="875" customWidth="1"/>
    <col min="5" max="5" width="20" style="875" customWidth="1"/>
    <col min="6" max="8" width="20.54296875" style="875" customWidth="1"/>
    <col min="9" max="9" width="21.81640625" style="876" customWidth="1"/>
    <col min="10" max="10" width="9.54296875" style="876" customWidth="1"/>
    <col min="11" max="16384" width="12" style="875"/>
  </cols>
  <sheetData>
    <row r="1" spans="2:10">
      <c r="I1" s="876" t="s">
        <v>1278</v>
      </c>
    </row>
    <row r="2" spans="2:10" ht="27" customHeight="1">
      <c r="B2" s="1601" t="s">
        <v>1277</v>
      </c>
      <c r="C2" s="1601"/>
      <c r="D2" s="1601"/>
      <c r="E2" s="1601"/>
      <c r="F2" s="1601"/>
      <c r="G2" s="1601"/>
      <c r="H2" s="1601"/>
      <c r="I2" s="1601"/>
    </row>
    <row r="3" spans="2:10" ht="52">
      <c r="B3" s="820" t="s">
        <v>1198</v>
      </c>
      <c r="C3" s="588" t="s">
        <v>1199</v>
      </c>
      <c r="D3" s="588" t="s">
        <v>1200</v>
      </c>
      <c r="E3" s="588" t="s">
        <v>1272</v>
      </c>
      <c r="F3" s="588" t="s">
        <v>1273</v>
      </c>
      <c r="G3" s="588" t="s">
        <v>1274</v>
      </c>
      <c r="H3" s="588" t="s">
        <v>1275</v>
      </c>
      <c r="I3" s="588" t="s">
        <v>1276</v>
      </c>
      <c r="J3" s="851"/>
    </row>
    <row r="4" spans="2:10">
      <c r="B4" s="1610" t="s">
        <v>1206</v>
      </c>
      <c r="C4" s="879"/>
      <c r="D4" s="837" t="s">
        <v>1207</v>
      </c>
      <c r="E4" s="879"/>
      <c r="F4" s="879"/>
      <c r="G4" s="879"/>
      <c r="H4" s="879"/>
      <c r="I4" s="1608"/>
    </row>
    <row r="5" spans="2:10" ht="14">
      <c r="B5" s="1610"/>
      <c r="C5" s="880"/>
      <c r="D5" s="840" t="s">
        <v>1208</v>
      </c>
      <c r="E5" s="880"/>
      <c r="F5" s="880"/>
      <c r="G5" s="880"/>
      <c r="H5" s="880"/>
      <c r="I5" s="1611"/>
      <c r="J5" s="881"/>
    </row>
    <row r="6" spans="2:10" ht="14">
      <c r="B6" s="1610"/>
      <c r="C6" s="880">
        <v>1100</v>
      </c>
      <c r="D6" s="840" t="s">
        <v>1209</v>
      </c>
      <c r="E6" s="880">
        <v>700</v>
      </c>
      <c r="F6" s="880">
        <v>40</v>
      </c>
      <c r="G6" s="880"/>
      <c r="H6" s="880">
        <v>700</v>
      </c>
      <c r="I6" s="1611"/>
      <c r="J6" s="881"/>
    </row>
    <row r="7" spans="2:10" ht="14">
      <c r="B7" s="1610"/>
      <c r="C7" s="882"/>
      <c r="D7" s="883" t="s">
        <v>1210</v>
      </c>
      <c r="E7" s="882"/>
      <c r="F7" s="882"/>
      <c r="G7" s="882"/>
      <c r="H7" s="882"/>
      <c r="I7" s="1609"/>
      <c r="J7" s="881"/>
    </row>
    <row r="8" spans="2:10" ht="14">
      <c r="B8" s="884"/>
      <c r="D8" s="885" t="s">
        <v>1259</v>
      </c>
      <c r="E8" s="877">
        <f>E6</f>
        <v>700</v>
      </c>
      <c r="F8" s="886">
        <f>F6</f>
        <v>40</v>
      </c>
      <c r="G8" s="886">
        <f>G6</f>
        <v>0</v>
      </c>
      <c r="H8" s="886">
        <f>H6</f>
        <v>700</v>
      </c>
      <c r="I8" s="887">
        <v>0</v>
      </c>
      <c r="J8" s="881"/>
    </row>
    <row r="9" spans="2:10" ht="14">
      <c r="B9" s="884"/>
      <c r="D9" s="885" t="s">
        <v>761</v>
      </c>
      <c r="E9" s="888">
        <v>564.36</v>
      </c>
      <c r="F9" s="889">
        <v>1506.96</v>
      </c>
      <c r="G9" s="889">
        <v>270</v>
      </c>
      <c r="H9" s="888">
        <v>137.24</v>
      </c>
      <c r="I9" s="890"/>
      <c r="J9" s="881"/>
    </row>
    <row r="10" spans="2:10" ht="14">
      <c r="B10" s="884"/>
      <c r="D10" s="885" t="s">
        <v>1260</v>
      </c>
      <c r="E10" s="891">
        <f>E8*E9</f>
        <v>395052</v>
      </c>
      <c r="F10" s="892">
        <f>F8*F9</f>
        <v>60278.400000000001</v>
      </c>
      <c r="G10" s="892">
        <f>G8*G9</f>
        <v>0</v>
      </c>
      <c r="H10" s="892">
        <f>H8*H9</f>
        <v>96068</v>
      </c>
      <c r="I10" s="892"/>
      <c r="J10" s="881"/>
    </row>
    <row r="11" spans="2:10" ht="14">
      <c r="B11" s="893"/>
      <c r="C11" s="888"/>
      <c r="D11" s="888"/>
      <c r="E11" s="888"/>
      <c r="F11" s="888"/>
      <c r="G11" s="888"/>
      <c r="H11" s="888"/>
      <c r="I11" s="890"/>
      <c r="J11" s="881"/>
    </row>
    <row r="12" spans="2:10">
      <c r="B12" s="894" t="s">
        <v>1211</v>
      </c>
      <c r="C12" s="878">
        <v>330</v>
      </c>
      <c r="D12" s="878"/>
      <c r="E12" s="878">
        <v>150</v>
      </c>
      <c r="F12" s="878"/>
      <c r="G12" s="878"/>
      <c r="H12" s="878"/>
      <c r="I12" s="878"/>
    </row>
    <row r="13" spans="2:10">
      <c r="B13" s="1612" t="s">
        <v>1212</v>
      </c>
      <c r="C13" s="1608">
        <v>25</v>
      </c>
      <c r="D13" s="879"/>
      <c r="E13" s="1608">
        <v>25</v>
      </c>
      <c r="F13" s="879"/>
      <c r="G13" s="879"/>
      <c r="H13" s="879"/>
      <c r="I13" s="1608"/>
    </row>
    <row r="14" spans="2:10" ht="2.25" customHeight="1">
      <c r="B14" s="1613"/>
      <c r="C14" s="1609"/>
      <c r="D14" s="895"/>
      <c r="E14" s="1609"/>
      <c r="F14" s="895"/>
      <c r="G14" s="895"/>
      <c r="H14" s="895"/>
      <c r="I14" s="1609"/>
      <c r="J14" s="881"/>
    </row>
    <row r="15" spans="2:10">
      <c r="B15" s="849" t="s">
        <v>1213</v>
      </c>
      <c r="C15" s="850">
        <v>45</v>
      </c>
      <c r="D15" s="850"/>
      <c r="E15" s="850">
        <v>45</v>
      </c>
      <c r="F15" s="850"/>
      <c r="G15" s="850"/>
      <c r="H15" s="850"/>
      <c r="I15" s="850"/>
      <c r="J15" s="851"/>
    </row>
    <row r="16" spans="2:10">
      <c r="B16" s="896" t="s">
        <v>1214</v>
      </c>
      <c r="C16" s="878">
        <v>24</v>
      </c>
      <c r="D16" s="878"/>
      <c r="E16" s="878">
        <v>24</v>
      </c>
      <c r="F16" s="878"/>
      <c r="G16" s="878"/>
      <c r="H16" s="878"/>
      <c r="I16" s="878"/>
    </row>
    <row r="17" spans="2:10">
      <c r="B17" s="883" t="s">
        <v>1215</v>
      </c>
      <c r="C17" s="882" t="s">
        <v>1216</v>
      </c>
      <c r="D17" s="882"/>
      <c r="E17" s="897">
        <v>275</v>
      </c>
      <c r="F17" s="882"/>
      <c r="G17" s="882">
        <v>275</v>
      </c>
      <c r="H17" s="882">
        <v>275</v>
      </c>
      <c r="I17" s="878"/>
    </row>
    <row r="18" spans="2:10" ht="26">
      <c r="B18" s="774" t="s">
        <v>1218</v>
      </c>
      <c r="C18" s="850" t="s">
        <v>1219</v>
      </c>
      <c r="D18" s="850"/>
      <c r="E18" s="850">
        <v>600</v>
      </c>
      <c r="F18" s="850"/>
      <c r="G18" s="850">
        <v>600</v>
      </c>
      <c r="H18" s="850"/>
      <c r="I18" s="850"/>
      <c r="J18" s="851"/>
    </row>
    <row r="19" spans="2:10">
      <c r="B19" s="1602" t="s">
        <v>1220</v>
      </c>
      <c r="C19" s="898" t="s">
        <v>1221</v>
      </c>
      <c r="D19" s="898"/>
      <c r="E19" s="876">
        <v>40</v>
      </c>
      <c r="F19" s="898"/>
      <c r="G19" s="1599"/>
      <c r="H19" s="876">
        <v>40</v>
      </c>
      <c r="I19" s="1599">
        <v>110</v>
      </c>
      <c r="J19" s="851"/>
    </row>
    <row r="20" spans="2:10" ht="14">
      <c r="B20" s="1603"/>
      <c r="C20" s="899" t="s">
        <v>1222</v>
      </c>
      <c r="D20" s="899"/>
      <c r="F20" s="899"/>
      <c r="G20" s="1600"/>
      <c r="I20" s="1604"/>
      <c r="J20" s="900"/>
    </row>
    <row r="21" spans="2:10">
      <c r="B21" s="1605" t="s">
        <v>1223</v>
      </c>
      <c r="C21" s="879" t="s">
        <v>1224</v>
      </c>
      <c r="D21" s="879"/>
      <c r="E21" s="1606">
        <v>600</v>
      </c>
      <c r="F21" s="879"/>
      <c r="G21" s="879"/>
      <c r="H21" s="1608">
        <v>150</v>
      </c>
      <c r="I21" s="1608"/>
    </row>
    <row r="22" spans="2:10" ht="14">
      <c r="B22" s="1605"/>
      <c r="C22" s="882" t="s">
        <v>1225</v>
      </c>
      <c r="D22" s="882"/>
      <c r="E22" s="1607"/>
      <c r="F22" s="882"/>
      <c r="G22" s="882"/>
      <c r="H22" s="1609"/>
      <c r="I22" s="1609"/>
      <c r="J22" s="881"/>
    </row>
    <row r="23" spans="2:10" ht="14">
      <c r="B23" s="896" t="s">
        <v>1226</v>
      </c>
      <c r="C23" s="878" t="s">
        <v>1227</v>
      </c>
      <c r="D23" s="878"/>
      <c r="E23" s="901">
        <v>300</v>
      </c>
      <c r="F23" s="878"/>
      <c r="G23" s="878">
        <v>300</v>
      </c>
      <c r="H23" s="902"/>
      <c r="I23" s="902"/>
      <c r="J23" s="881"/>
    </row>
    <row r="24" spans="2:10" ht="14">
      <c r="B24" s="896" t="s">
        <v>1228</v>
      </c>
      <c r="C24" s="878" t="s">
        <v>1229</v>
      </c>
      <c r="D24" s="878"/>
      <c r="E24" s="901">
        <v>120</v>
      </c>
      <c r="F24" s="878"/>
      <c r="G24" s="878"/>
      <c r="H24" s="902">
        <v>120</v>
      </c>
      <c r="I24" s="902"/>
      <c r="J24" s="881"/>
    </row>
    <row r="25" spans="2:10" ht="14">
      <c r="B25" s="896" t="s">
        <v>1230</v>
      </c>
      <c r="C25" s="878" t="s">
        <v>1231</v>
      </c>
      <c r="D25" s="878"/>
      <c r="E25" s="901">
        <v>75</v>
      </c>
      <c r="F25" s="878"/>
      <c r="G25" s="878"/>
      <c r="H25" s="902">
        <v>75</v>
      </c>
      <c r="I25" s="902"/>
      <c r="J25" s="881"/>
    </row>
    <row r="26" spans="2:10" ht="14">
      <c r="B26" s="896" t="s">
        <v>1232</v>
      </c>
      <c r="C26" s="878"/>
      <c r="D26" s="878"/>
      <c r="E26" s="901">
        <v>200</v>
      </c>
      <c r="F26" s="878"/>
      <c r="G26" s="878"/>
      <c r="H26" s="902"/>
      <c r="I26" s="902"/>
      <c r="J26" s="881"/>
    </row>
    <row r="27" spans="2:10" ht="14">
      <c r="B27" s="896" t="s">
        <v>1233</v>
      </c>
      <c r="C27" s="878" t="s">
        <v>1234</v>
      </c>
      <c r="D27" s="878"/>
      <c r="E27" s="901">
        <v>100</v>
      </c>
      <c r="F27" s="878"/>
      <c r="G27" s="878"/>
      <c r="H27" s="902">
        <v>100</v>
      </c>
      <c r="I27" s="902"/>
      <c r="J27" s="881"/>
    </row>
    <row r="28" spans="2:10" ht="14">
      <c r="B28" s="896" t="s">
        <v>1236</v>
      </c>
      <c r="C28" s="878"/>
      <c r="D28" s="878"/>
      <c r="E28" s="901">
        <v>20</v>
      </c>
      <c r="F28" s="878">
        <v>20</v>
      </c>
      <c r="G28" s="878"/>
      <c r="H28" s="902"/>
      <c r="I28" s="902"/>
      <c r="J28" s="881"/>
    </row>
    <row r="29" spans="2:10" ht="14">
      <c r="B29" s="896" t="s">
        <v>1237</v>
      </c>
      <c r="C29" s="878"/>
      <c r="D29" s="878"/>
      <c r="E29" s="901">
        <v>20</v>
      </c>
      <c r="F29" s="878">
        <v>20</v>
      </c>
      <c r="G29" s="878"/>
      <c r="H29" s="902"/>
      <c r="I29" s="902"/>
      <c r="J29" s="881"/>
    </row>
    <row r="30" spans="2:10" ht="14">
      <c r="B30" s="896" t="s">
        <v>1261</v>
      </c>
      <c r="C30" s="878"/>
      <c r="D30" s="878"/>
      <c r="E30" s="901">
        <v>70</v>
      </c>
      <c r="F30" s="878"/>
      <c r="G30" s="878">
        <v>70</v>
      </c>
      <c r="H30" s="902">
        <v>70</v>
      </c>
      <c r="I30" s="902"/>
      <c r="J30" s="881"/>
    </row>
    <row r="31" spans="2:10" ht="14">
      <c r="B31" s="896" t="s">
        <v>1262</v>
      </c>
      <c r="C31" s="878"/>
      <c r="D31" s="878"/>
      <c r="E31" s="901">
        <v>72</v>
      </c>
      <c r="F31" s="878"/>
      <c r="G31" s="878"/>
      <c r="H31" s="902"/>
      <c r="I31" s="902"/>
      <c r="J31" s="881"/>
    </row>
    <row r="32" spans="2:10" ht="14">
      <c r="B32" s="896" t="s">
        <v>1263</v>
      </c>
      <c r="C32" s="878"/>
      <c r="D32" s="878"/>
      <c r="E32" s="901">
        <v>265</v>
      </c>
      <c r="F32" s="878"/>
      <c r="G32" s="878">
        <v>265</v>
      </c>
      <c r="H32" s="902"/>
      <c r="I32" s="902"/>
      <c r="J32" s="881"/>
    </row>
    <row r="33" spans="2:10" ht="14">
      <c r="B33" s="896" t="s">
        <v>1264</v>
      </c>
      <c r="C33" s="878"/>
      <c r="D33" s="878"/>
      <c r="E33" s="901">
        <v>63</v>
      </c>
      <c r="F33" s="878"/>
      <c r="G33" s="878"/>
      <c r="H33" s="902"/>
      <c r="I33" s="902"/>
      <c r="J33" s="881"/>
    </row>
    <row r="34" spans="2:10" ht="14">
      <c r="B34" s="896" t="s">
        <v>1265</v>
      </c>
      <c r="C34" s="878"/>
      <c r="D34" s="878"/>
      <c r="E34" s="901">
        <v>23</v>
      </c>
      <c r="F34" s="878"/>
      <c r="G34" s="878"/>
      <c r="H34" s="902"/>
      <c r="I34" s="902"/>
      <c r="J34" s="881"/>
    </row>
    <row r="35" spans="2:10" ht="14">
      <c r="B35" s="896" t="s">
        <v>1266</v>
      </c>
      <c r="C35" s="878"/>
      <c r="D35" s="878"/>
      <c r="E35" s="901">
        <v>75</v>
      </c>
      <c r="F35" s="878"/>
      <c r="G35" s="878">
        <v>75</v>
      </c>
      <c r="H35" s="902"/>
      <c r="I35" s="902"/>
      <c r="J35" s="881"/>
    </row>
    <row r="36" spans="2:10" ht="14">
      <c r="B36" s="896" t="s">
        <v>1267</v>
      </c>
      <c r="C36" s="878"/>
      <c r="D36" s="878"/>
      <c r="E36" s="901">
        <v>65</v>
      </c>
      <c r="F36" s="878"/>
      <c r="G36" s="878">
        <v>65</v>
      </c>
      <c r="H36" s="902"/>
      <c r="I36" s="902"/>
      <c r="J36" s="881"/>
    </row>
    <row r="37" spans="2:10" ht="14">
      <c r="B37" s="896" t="s">
        <v>1268</v>
      </c>
      <c r="C37" s="878"/>
      <c r="D37" s="878"/>
      <c r="E37" s="901">
        <v>10</v>
      </c>
      <c r="F37" s="878"/>
      <c r="G37" s="878"/>
      <c r="H37" s="902"/>
      <c r="I37" s="902"/>
      <c r="J37" s="881"/>
    </row>
    <row r="38" spans="2:10" ht="14">
      <c r="B38" s="896" t="s">
        <v>1269</v>
      </c>
      <c r="C38" s="878"/>
      <c r="D38" s="878"/>
      <c r="E38" s="901">
        <v>75</v>
      </c>
      <c r="F38" s="878"/>
      <c r="G38" s="878"/>
      <c r="H38" s="902"/>
      <c r="I38" s="902"/>
      <c r="J38" s="881"/>
    </row>
    <row r="39" spans="2:10">
      <c r="D39" s="903" t="s">
        <v>1238</v>
      </c>
      <c r="E39" s="904">
        <f>SUM(E12:E38)+E8</f>
        <v>4012</v>
      </c>
      <c r="F39" s="904">
        <f>SUM(F12:F38)+F8</f>
        <v>80</v>
      </c>
      <c r="G39" s="904">
        <f>SUM(G12:G38)+G8</f>
        <v>1650</v>
      </c>
      <c r="H39" s="904">
        <f>SUM(H12:H38)+H8</f>
        <v>1530</v>
      </c>
      <c r="I39" s="904">
        <f>SUM(I12:I38)+I8</f>
        <v>110</v>
      </c>
      <c r="J39" s="891"/>
    </row>
    <row r="40" spans="2:10">
      <c r="D40" s="885" t="s">
        <v>761</v>
      </c>
      <c r="E40" s="878">
        <v>564.36</v>
      </c>
      <c r="F40" s="905">
        <v>1506.96</v>
      </c>
      <c r="G40" s="905">
        <v>270</v>
      </c>
      <c r="H40" s="878">
        <v>137.24</v>
      </c>
      <c r="I40" s="878">
        <v>214</v>
      </c>
    </row>
    <row r="41" spans="2:10" ht="14">
      <c r="B41" s="906"/>
      <c r="D41" s="907" t="s">
        <v>1239</v>
      </c>
      <c r="E41" s="908">
        <f>E39*E40</f>
        <v>2264212.3199999998</v>
      </c>
      <c r="F41" s="909">
        <f t="shared" ref="F41:H41" si="0">F39*F40</f>
        <v>120556.8</v>
      </c>
      <c r="G41" s="909">
        <f t="shared" si="0"/>
        <v>445500</v>
      </c>
      <c r="H41" s="908">
        <f t="shared" si="0"/>
        <v>209977.2</v>
      </c>
      <c r="I41" s="909">
        <f>I39*I40</f>
        <v>23540</v>
      </c>
      <c r="J41" s="910"/>
    </row>
    <row r="42" spans="2:10" ht="21" customHeight="1">
      <c r="B42" s="906"/>
      <c r="C42" s="906"/>
      <c r="D42" s="906" t="s">
        <v>540</v>
      </c>
      <c r="E42" s="911">
        <f>E41+F41+G41+H41+I41</f>
        <v>3063786.32</v>
      </c>
      <c r="F42" s="906"/>
      <c r="G42" s="906"/>
      <c r="H42" s="906"/>
      <c r="I42" s="912"/>
      <c r="J42" s="912"/>
    </row>
    <row r="44" spans="2:10" ht="15">
      <c r="B44" s="913"/>
      <c r="C44" s="1616" t="s">
        <v>124</v>
      </c>
      <c r="D44" s="1617"/>
      <c r="E44" s="1618" t="s">
        <v>1270</v>
      </c>
      <c r="F44" s="1619"/>
      <c r="G44" s="1620" t="s">
        <v>1271</v>
      </c>
      <c r="H44" s="1620"/>
    </row>
    <row r="45" spans="2:10" ht="18" customHeight="1">
      <c r="B45" s="914" t="s">
        <v>1279</v>
      </c>
      <c r="C45" s="1614">
        <v>3063786</v>
      </c>
      <c r="D45" s="1615"/>
      <c r="E45" s="1614">
        <f>ROUND(C45*1.3,0)</f>
        <v>3982922</v>
      </c>
      <c r="F45" s="1615"/>
      <c r="G45" s="1621">
        <f>ROUND(E45*1.3,0)</f>
        <v>5177799</v>
      </c>
      <c r="H45" s="1621"/>
    </row>
  </sheetData>
  <mergeCells count="20">
    <mergeCell ref="E45:F45"/>
    <mergeCell ref="C45:D45"/>
    <mergeCell ref="C44:D44"/>
    <mergeCell ref="E44:F44"/>
    <mergeCell ref="G44:H44"/>
    <mergeCell ref="G45:H45"/>
    <mergeCell ref="G19:G20"/>
    <mergeCell ref="B2:I2"/>
    <mergeCell ref="B19:B20"/>
    <mergeCell ref="I19:I20"/>
    <mergeCell ref="B21:B22"/>
    <mergeCell ref="E21:E22"/>
    <mergeCell ref="H21:H22"/>
    <mergeCell ref="I21:I22"/>
    <mergeCell ref="B4:B7"/>
    <mergeCell ref="I4:I7"/>
    <mergeCell ref="B13:B14"/>
    <mergeCell ref="C13:C14"/>
    <mergeCell ref="E13:E14"/>
    <mergeCell ref="I13:I14"/>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22983-D261-4DF7-9CFF-623DCFDF2C79}">
  <sheetPr>
    <tabColor theme="0" tint="-0.14999847407452621"/>
  </sheetPr>
  <dimension ref="A1:E16"/>
  <sheetViews>
    <sheetView topLeftCell="A7" workbookViewId="0">
      <selection activeCell="A14" sqref="A14:A15"/>
    </sheetView>
  </sheetViews>
  <sheetFormatPr defaultColWidth="9.1796875" defaultRowHeight="13"/>
  <cols>
    <col min="1" max="1" width="50.453125" style="1075" bestFit="1" customWidth="1"/>
    <col min="2" max="2" width="65.54296875" style="1075" bestFit="1" customWidth="1"/>
    <col min="3" max="3" width="9.1796875" style="1075"/>
    <col min="4" max="4" width="12" style="1075" customWidth="1"/>
    <col min="5" max="5" width="14.26953125" style="1075" customWidth="1"/>
    <col min="6" max="16384" width="9.1796875" style="1075"/>
  </cols>
  <sheetData>
    <row r="1" spans="1:5">
      <c r="E1" s="1075" t="s">
        <v>1538</v>
      </c>
    </row>
    <row r="2" spans="1:5" ht="80.25" customHeight="1">
      <c r="A2" s="1622" t="s">
        <v>266</v>
      </c>
      <c r="B2" s="1623"/>
      <c r="C2" s="1623"/>
      <c r="D2" s="1623"/>
      <c r="E2" s="1623"/>
    </row>
    <row r="3" spans="1:5">
      <c r="C3" s="1624" t="s">
        <v>1283</v>
      </c>
      <c r="D3" s="1624"/>
      <c r="E3" s="1624"/>
    </row>
    <row r="4" spans="1:5" ht="26">
      <c r="A4" s="795" t="s">
        <v>1252</v>
      </c>
      <c r="B4" s="795" t="s">
        <v>1253</v>
      </c>
      <c r="C4" s="795" t="s">
        <v>124</v>
      </c>
      <c r="D4" s="795" t="s">
        <v>125</v>
      </c>
      <c r="E4" s="1259" t="s">
        <v>1564</v>
      </c>
    </row>
    <row r="5" spans="1:5" ht="39">
      <c r="A5" s="1276" t="s">
        <v>1254</v>
      </c>
      <c r="B5" s="1264" t="s">
        <v>1518</v>
      </c>
      <c r="C5" s="1277">
        <v>170000</v>
      </c>
      <c r="D5" s="873"/>
      <c r="E5" s="873"/>
    </row>
    <row r="6" spans="1:5" ht="39">
      <c r="A6" s="1276" t="s">
        <v>1526</v>
      </c>
      <c r="B6" s="1265" t="s">
        <v>1519</v>
      </c>
      <c r="C6" s="873"/>
      <c r="D6" s="1277">
        <v>100000</v>
      </c>
      <c r="E6" s="1277">
        <v>20000</v>
      </c>
    </row>
    <row r="7" spans="1:5" ht="53.25" customHeight="1">
      <c r="A7" s="873" t="s">
        <v>1527</v>
      </c>
      <c r="B7" s="1322" t="s">
        <v>1520</v>
      </c>
      <c r="C7" s="1277">
        <v>30000</v>
      </c>
      <c r="D7" s="873">
        <v>15000</v>
      </c>
      <c r="E7" s="873">
        <v>2500</v>
      </c>
    </row>
    <row r="8" spans="1:5" ht="39">
      <c r="A8" s="873" t="s">
        <v>1255</v>
      </c>
      <c r="B8" s="1265" t="s">
        <v>1521</v>
      </c>
      <c r="C8" s="873"/>
      <c r="D8" s="1277">
        <v>70000</v>
      </c>
      <c r="E8" s="873"/>
    </row>
    <row r="9" spans="1:5" ht="39">
      <c r="A9" s="873" t="s">
        <v>1256</v>
      </c>
      <c r="B9" s="1265" t="s">
        <v>1522</v>
      </c>
      <c r="C9" s="873"/>
      <c r="D9" s="873"/>
      <c r="E9" s="1277">
        <v>31000</v>
      </c>
    </row>
    <row r="10" spans="1:5" ht="52">
      <c r="A10" s="1346" t="s">
        <v>1531</v>
      </c>
      <c r="B10" s="1265" t="s">
        <v>1532</v>
      </c>
      <c r="C10" s="873"/>
      <c r="D10" s="873"/>
      <c r="E10" s="1277">
        <v>13000</v>
      </c>
    </row>
    <row r="11" spans="1:5" ht="39">
      <c r="A11" s="873" t="s">
        <v>1533</v>
      </c>
      <c r="B11" s="1265" t="s">
        <v>1523</v>
      </c>
      <c r="C11" s="873"/>
      <c r="D11" s="1277">
        <v>80000</v>
      </c>
      <c r="E11" s="873"/>
    </row>
    <row r="12" spans="1:5" ht="40.5" customHeight="1">
      <c r="A12" s="1346" t="s">
        <v>1534</v>
      </c>
      <c r="B12" s="1322" t="s">
        <v>1524</v>
      </c>
      <c r="C12" s="873"/>
      <c r="D12" s="1277">
        <v>35000</v>
      </c>
      <c r="E12" s="1277">
        <v>13500</v>
      </c>
    </row>
    <row r="13" spans="1:5" ht="52">
      <c r="A13" s="1346" t="s">
        <v>1535</v>
      </c>
      <c r="B13" s="1322" t="s">
        <v>1525</v>
      </c>
      <c r="C13" s="873"/>
      <c r="D13" s="873"/>
      <c r="E13" s="1277">
        <v>120000</v>
      </c>
    </row>
    <row r="14" spans="1:5" ht="26">
      <c r="A14" s="1347" t="s">
        <v>1536</v>
      </c>
      <c r="B14" s="1348" t="s">
        <v>1258</v>
      </c>
      <c r="C14" s="1349">
        <v>200000</v>
      </c>
      <c r="D14" s="384"/>
      <c r="E14" s="1275"/>
    </row>
    <row r="15" spans="1:5" ht="26">
      <c r="A15" s="1274" t="s">
        <v>1537</v>
      </c>
      <c r="B15" s="1350" t="s">
        <v>1257</v>
      </c>
      <c r="C15" s="384"/>
      <c r="D15" s="1277">
        <v>100000</v>
      </c>
      <c r="E15" s="934"/>
    </row>
    <row r="16" spans="1:5">
      <c r="A16" s="874"/>
      <c r="C16" s="934">
        <f>SUM(C5:C15)</f>
        <v>400000</v>
      </c>
      <c r="D16" s="934">
        <f>SUM(D6:D15)</f>
        <v>400000</v>
      </c>
      <c r="E16" s="1351">
        <f>SUM(E5:E15)</f>
        <v>200000</v>
      </c>
    </row>
  </sheetData>
  <mergeCells count="2">
    <mergeCell ref="A2:E2"/>
    <mergeCell ref="C3:E3"/>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A53EB-05A0-4010-AB5D-EE0AF4EACA52}">
  <sheetPr>
    <tabColor theme="0" tint="-0.14999847407452621"/>
  </sheetPr>
  <dimension ref="A1:E13"/>
  <sheetViews>
    <sheetView workbookViewId="0">
      <selection activeCell="C24" sqref="C24"/>
    </sheetView>
  </sheetViews>
  <sheetFormatPr defaultColWidth="9.1796875" defaultRowHeight="13"/>
  <cols>
    <col min="1" max="1" width="10.26953125" style="1075" customWidth="1"/>
    <col min="2" max="2" width="27.54296875" style="1075" customWidth="1"/>
    <col min="3" max="3" width="18.7265625" style="1075" customWidth="1"/>
    <col min="4" max="5" width="9.1796875" style="1075"/>
    <col min="6" max="6" width="22.26953125" style="1075" customWidth="1"/>
    <col min="7" max="7" width="16.7265625" style="1075" customWidth="1"/>
    <col min="8" max="16384" width="9.1796875" style="1075"/>
  </cols>
  <sheetData>
    <row r="1" spans="1:5">
      <c r="D1" s="1555" t="s">
        <v>1249</v>
      </c>
      <c r="E1" s="1555"/>
    </row>
    <row r="2" spans="1:5" ht="38.25" customHeight="1">
      <c r="A2" s="1551" t="s">
        <v>56</v>
      </c>
      <c r="B2" s="1551"/>
      <c r="C2" s="1551"/>
      <c r="D2" s="1551"/>
    </row>
    <row r="3" spans="1:5" ht="52">
      <c r="A3" s="1259" t="s">
        <v>415</v>
      </c>
      <c r="B3" s="1259" t="s">
        <v>1243</v>
      </c>
      <c r="C3" s="1259" t="s">
        <v>692</v>
      </c>
      <c r="D3" s="795" t="s">
        <v>1515</v>
      </c>
    </row>
    <row r="4" spans="1:5">
      <c r="A4" s="478">
        <v>1</v>
      </c>
      <c r="B4" s="689" t="s">
        <v>1248</v>
      </c>
      <c r="C4" s="1270">
        <v>220000</v>
      </c>
      <c r="D4" s="1272" t="s">
        <v>2</v>
      </c>
    </row>
    <row r="5" spans="1:5">
      <c r="A5" s="478">
        <v>2</v>
      </c>
      <c r="B5" s="689" t="s">
        <v>1244</v>
      </c>
      <c r="C5" s="1270">
        <v>13000</v>
      </c>
      <c r="D5" s="1272" t="s">
        <v>2</v>
      </c>
    </row>
    <row r="6" spans="1:5" ht="12.75" customHeight="1">
      <c r="A6" s="478">
        <v>3</v>
      </c>
      <c r="B6" s="689" t="s">
        <v>1245</v>
      </c>
      <c r="C6" s="1270">
        <v>50000</v>
      </c>
      <c r="D6" s="1272" t="s">
        <v>1246</v>
      </c>
    </row>
    <row r="7" spans="1:5" ht="26">
      <c r="A7" s="478">
        <v>4</v>
      </c>
      <c r="B7" s="689" t="s">
        <v>1528</v>
      </c>
      <c r="C7" s="344">
        <v>5000</v>
      </c>
      <c r="D7" s="1272" t="s">
        <v>1250</v>
      </c>
    </row>
    <row r="8" spans="1:5" ht="26">
      <c r="A8" s="478">
        <v>5</v>
      </c>
      <c r="B8" s="1271" t="s">
        <v>1514</v>
      </c>
      <c r="C8" s="1270">
        <v>700000</v>
      </c>
      <c r="D8" s="1272" t="s">
        <v>1247</v>
      </c>
    </row>
    <row r="9" spans="1:5" ht="26">
      <c r="A9" s="478">
        <v>6</v>
      </c>
      <c r="B9" s="1267" t="s">
        <v>1513</v>
      </c>
      <c r="C9" s="1270">
        <v>12000</v>
      </c>
      <c r="D9" s="1272" t="s">
        <v>1250</v>
      </c>
    </row>
    <row r="12" spans="1:5" ht="39">
      <c r="A12" s="1269"/>
      <c r="B12" s="1259" t="s">
        <v>1517</v>
      </c>
      <c r="C12" s="1257" t="s">
        <v>1516</v>
      </c>
    </row>
    <row r="13" spans="1:5">
      <c r="A13" s="1269"/>
      <c r="B13" s="1258">
        <f>C4+C5+C6+C7+C9</f>
        <v>300000</v>
      </c>
      <c r="C13" s="1268">
        <f>C8</f>
        <v>700000</v>
      </c>
    </row>
  </sheetData>
  <mergeCells count="2">
    <mergeCell ref="D1:E1"/>
    <mergeCell ref="A2:D2"/>
  </mergeCell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28BD8-8ACA-462B-96CA-62211DA548CC}">
  <dimension ref="B1:J33"/>
  <sheetViews>
    <sheetView zoomScale="71" zoomScaleNormal="71" workbookViewId="0">
      <selection activeCell="G29" sqref="G29"/>
    </sheetView>
  </sheetViews>
  <sheetFormatPr defaultColWidth="12" defaultRowHeight="13"/>
  <cols>
    <col min="1" max="1" width="3.7265625" style="706" customWidth="1"/>
    <col min="2" max="2" width="39.1796875" style="706" customWidth="1"/>
    <col min="3" max="3" width="26.1796875" style="706" customWidth="1"/>
    <col min="4" max="4" width="25.7265625" style="706" customWidth="1"/>
    <col min="5" max="5" width="20" style="706" customWidth="1"/>
    <col min="6" max="8" width="20.54296875" style="706" customWidth="1"/>
    <col min="9" max="9" width="21.81640625" style="460" customWidth="1"/>
    <col min="10" max="10" width="9.54296875" style="460" customWidth="1"/>
    <col min="11" max="16384" width="12" style="706"/>
  </cols>
  <sheetData>
    <row r="1" spans="2:10">
      <c r="H1" s="1636" t="s">
        <v>1241</v>
      </c>
      <c r="I1" s="1636"/>
    </row>
    <row r="2" spans="2:10">
      <c r="B2" s="1637" t="s">
        <v>1242</v>
      </c>
      <c r="C2" s="1637"/>
      <c r="D2" s="1637"/>
      <c r="E2" s="1637"/>
      <c r="F2" s="1637"/>
      <c r="G2" s="1637"/>
      <c r="H2" s="1637"/>
      <c r="I2" s="1637"/>
      <c r="J2" s="707"/>
    </row>
    <row r="3" spans="2:10" ht="65">
      <c r="B3" s="795" t="s">
        <v>1198</v>
      </c>
      <c r="C3" s="679" t="s">
        <v>1199</v>
      </c>
      <c r="D3" s="679" t="s">
        <v>1200</v>
      </c>
      <c r="E3" s="679" t="s">
        <v>1201</v>
      </c>
      <c r="F3" s="679" t="s">
        <v>1202</v>
      </c>
      <c r="G3" s="679" t="s">
        <v>1203</v>
      </c>
      <c r="H3" s="679" t="s">
        <v>1204</v>
      </c>
      <c r="I3" s="679" t="s">
        <v>1205</v>
      </c>
      <c r="J3" s="835"/>
    </row>
    <row r="4" spans="2:10">
      <c r="B4" s="1638" t="s">
        <v>1206</v>
      </c>
      <c r="C4" s="836"/>
      <c r="D4" s="837" t="s">
        <v>1207</v>
      </c>
      <c r="E4" s="836"/>
      <c r="F4" s="836"/>
      <c r="G4" s="836"/>
      <c r="H4" s="836"/>
      <c r="I4" s="1627"/>
      <c r="J4" s="838"/>
    </row>
    <row r="5" spans="2:10" ht="14">
      <c r="B5" s="1638"/>
      <c r="C5" s="839"/>
      <c r="D5" s="840" t="s">
        <v>1208</v>
      </c>
      <c r="E5" s="839"/>
      <c r="F5" s="839"/>
      <c r="G5" s="839"/>
      <c r="H5" s="839"/>
      <c r="I5" s="1639"/>
      <c r="J5" s="841"/>
    </row>
    <row r="6" spans="2:10" ht="14">
      <c r="B6" s="1638"/>
      <c r="C6" s="839">
        <v>1100</v>
      </c>
      <c r="D6" s="842" t="s">
        <v>1209</v>
      </c>
      <c r="E6" s="839">
        <v>600</v>
      </c>
      <c r="F6" s="839">
        <v>20</v>
      </c>
      <c r="G6" s="839">
        <v>600</v>
      </c>
      <c r="H6" s="839"/>
      <c r="I6" s="1639"/>
      <c r="J6" s="841"/>
    </row>
    <row r="7" spans="2:10" ht="14">
      <c r="B7" s="1638"/>
      <c r="C7" s="843"/>
      <c r="D7" s="844" t="s">
        <v>1210</v>
      </c>
      <c r="E7" s="843"/>
      <c r="F7" s="843"/>
      <c r="G7" s="843"/>
      <c r="H7" s="843"/>
      <c r="I7" s="1634"/>
      <c r="J7" s="841"/>
    </row>
    <row r="8" spans="2:10">
      <c r="B8" s="845" t="s">
        <v>1211</v>
      </c>
      <c r="C8" s="462">
        <v>330</v>
      </c>
      <c r="D8" s="462"/>
      <c r="E8" s="462">
        <v>150</v>
      </c>
      <c r="F8" s="462"/>
      <c r="G8" s="462"/>
      <c r="H8" s="462"/>
      <c r="I8" s="462"/>
      <c r="J8" s="838"/>
    </row>
    <row r="9" spans="2:10">
      <c r="B9" s="1640" t="s">
        <v>1212</v>
      </c>
      <c r="C9" s="1627">
        <v>25</v>
      </c>
      <c r="D9" s="836"/>
      <c r="E9" s="1627">
        <v>25</v>
      </c>
      <c r="F9" s="836"/>
      <c r="G9" s="836"/>
      <c r="H9" s="836"/>
      <c r="I9" s="1627"/>
      <c r="J9" s="838"/>
    </row>
    <row r="10" spans="2:10" ht="14">
      <c r="B10" s="1641"/>
      <c r="C10" s="1634"/>
      <c r="D10" s="846"/>
      <c r="E10" s="1642"/>
      <c r="F10" s="847"/>
      <c r="G10" s="847"/>
      <c r="H10" s="847"/>
      <c r="I10" s="1634"/>
      <c r="J10" s="848"/>
    </row>
    <row r="11" spans="2:10">
      <c r="B11" s="849" t="s">
        <v>1213</v>
      </c>
      <c r="C11" s="850">
        <v>45</v>
      </c>
      <c r="D11" s="850"/>
      <c r="E11" s="850">
        <v>45</v>
      </c>
      <c r="F11" s="850"/>
      <c r="G11" s="850"/>
      <c r="H11" s="850"/>
      <c r="I11" s="850"/>
      <c r="J11" s="851"/>
    </row>
    <row r="12" spans="2:10">
      <c r="B12" s="852" t="s">
        <v>1214</v>
      </c>
      <c r="C12" s="462">
        <v>24</v>
      </c>
      <c r="D12" s="462"/>
      <c r="E12" s="462"/>
      <c r="F12" s="462"/>
      <c r="G12" s="462"/>
      <c r="H12" s="462"/>
      <c r="I12" s="462"/>
      <c r="J12" s="838"/>
    </row>
    <row r="13" spans="2:10">
      <c r="B13" s="844" t="s">
        <v>1215</v>
      </c>
      <c r="C13" s="843" t="s">
        <v>1216</v>
      </c>
      <c r="D13" s="843"/>
      <c r="E13" s="853" t="s">
        <v>1217</v>
      </c>
      <c r="F13" s="843"/>
      <c r="G13" s="843">
        <v>0</v>
      </c>
      <c r="H13" s="843"/>
      <c r="I13" s="344"/>
      <c r="J13" s="838"/>
    </row>
    <row r="14" spans="2:10" ht="26">
      <c r="B14" s="854" t="s">
        <v>1218</v>
      </c>
      <c r="C14" s="478" t="s">
        <v>1219</v>
      </c>
      <c r="D14" s="478"/>
      <c r="E14" s="478">
        <v>600</v>
      </c>
      <c r="F14" s="478"/>
      <c r="G14" s="478"/>
      <c r="H14" s="478"/>
      <c r="I14" s="478"/>
      <c r="J14" s="835"/>
    </row>
    <row r="15" spans="2:10" s="856" customFormat="1">
      <c r="B15" s="1625" t="s">
        <v>1220</v>
      </c>
      <c r="C15" s="855" t="s">
        <v>1221</v>
      </c>
      <c r="D15" s="855"/>
      <c r="E15" s="838">
        <v>40</v>
      </c>
      <c r="F15" s="855"/>
      <c r="G15" s="1627">
        <v>40</v>
      </c>
      <c r="H15" s="838"/>
      <c r="I15" s="1629">
        <v>110</v>
      </c>
      <c r="J15" s="835"/>
    </row>
    <row r="16" spans="2:10" s="856" customFormat="1" ht="14">
      <c r="B16" s="1626"/>
      <c r="C16" s="767" t="s">
        <v>1222</v>
      </c>
      <c r="D16" s="767"/>
      <c r="F16" s="767"/>
      <c r="G16" s="1628"/>
      <c r="I16" s="1630"/>
      <c r="J16" s="857"/>
    </row>
    <row r="17" spans="2:10" s="856" customFormat="1">
      <c r="B17" s="1631" t="s">
        <v>1223</v>
      </c>
      <c r="C17" s="836" t="s">
        <v>1224</v>
      </c>
      <c r="D17" s="836"/>
      <c r="E17" s="1632">
        <v>0</v>
      </c>
      <c r="F17" s="836"/>
      <c r="G17" s="1627">
        <v>150</v>
      </c>
      <c r="H17" s="836"/>
      <c r="I17" s="1635"/>
      <c r="J17" s="838"/>
    </row>
    <row r="18" spans="2:10" s="856" customFormat="1" ht="14">
      <c r="B18" s="1631"/>
      <c r="C18" s="843" t="s">
        <v>1225</v>
      </c>
      <c r="D18" s="843"/>
      <c r="E18" s="1633"/>
      <c r="F18" s="843"/>
      <c r="G18" s="1634"/>
      <c r="H18" s="846"/>
      <c r="I18" s="1634"/>
      <c r="J18" s="848"/>
    </row>
    <row r="19" spans="2:10" s="856" customFormat="1" ht="14">
      <c r="B19" s="852" t="s">
        <v>1226</v>
      </c>
      <c r="C19" s="462" t="s">
        <v>1227</v>
      </c>
      <c r="D19" s="462"/>
      <c r="E19" s="858">
        <v>300</v>
      </c>
      <c r="F19" s="462"/>
      <c r="G19" s="773"/>
      <c r="H19" s="773"/>
      <c r="I19" s="773"/>
      <c r="J19" s="848"/>
    </row>
    <row r="20" spans="2:10" s="856" customFormat="1" ht="14">
      <c r="B20" s="852" t="s">
        <v>1228</v>
      </c>
      <c r="C20" s="462" t="s">
        <v>1229</v>
      </c>
      <c r="D20" s="462"/>
      <c r="E20" s="858"/>
      <c r="F20" s="462"/>
      <c r="G20" s="773">
        <v>120</v>
      </c>
      <c r="H20" s="773"/>
      <c r="I20" s="773"/>
      <c r="J20" s="848"/>
    </row>
    <row r="21" spans="2:10" s="856" customFormat="1" ht="14">
      <c r="B21" s="852" t="s">
        <v>1230</v>
      </c>
      <c r="C21" s="462" t="s">
        <v>1231</v>
      </c>
      <c r="D21" s="462"/>
      <c r="E21" s="858">
        <v>75</v>
      </c>
      <c r="F21" s="462"/>
      <c r="G21" s="773">
        <v>75</v>
      </c>
      <c r="H21" s="773"/>
      <c r="I21" s="773"/>
      <c r="J21" s="848"/>
    </row>
    <row r="22" spans="2:10" s="856" customFormat="1" ht="14">
      <c r="B22" s="852" t="s">
        <v>1232</v>
      </c>
      <c r="C22" s="462"/>
      <c r="D22" s="462"/>
      <c r="E22" s="858">
        <v>200</v>
      </c>
      <c r="F22" s="462"/>
      <c r="G22" s="773"/>
      <c r="H22" s="773" t="s">
        <v>1217</v>
      </c>
      <c r="I22" s="773"/>
      <c r="J22" s="848"/>
    </row>
    <row r="23" spans="2:10" s="856" customFormat="1" ht="14">
      <c r="B23" s="852" t="s">
        <v>1233</v>
      </c>
      <c r="C23" s="462" t="s">
        <v>1234</v>
      </c>
      <c r="D23" s="462"/>
      <c r="E23" s="858"/>
      <c r="F23" s="462"/>
      <c r="G23" s="773">
        <v>100</v>
      </c>
      <c r="H23" s="773"/>
      <c r="I23" s="773"/>
      <c r="J23" s="848"/>
    </row>
    <row r="24" spans="2:10" s="856" customFormat="1" ht="14">
      <c r="B24" s="852" t="s">
        <v>1235</v>
      </c>
      <c r="C24" s="462"/>
      <c r="D24" s="462"/>
      <c r="E24" s="858"/>
      <c r="F24" s="462"/>
      <c r="G24" s="773"/>
      <c r="H24" s="773">
        <v>1000</v>
      </c>
      <c r="I24" s="773"/>
      <c r="J24" s="848"/>
    </row>
    <row r="25" spans="2:10" s="856" customFormat="1" ht="14">
      <c r="B25" s="852" t="s">
        <v>1236</v>
      </c>
      <c r="C25" s="462"/>
      <c r="D25" s="462"/>
      <c r="E25" s="858">
        <v>20</v>
      </c>
      <c r="F25" s="462">
        <v>20</v>
      </c>
      <c r="G25" s="773"/>
      <c r="H25" s="773"/>
      <c r="I25" s="773"/>
      <c r="J25" s="848"/>
    </row>
    <row r="26" spans="2:10" s="856" customFormat="1" ht="14">
      <c r="B26" s="852" t="s">
        <v>1237</v>
      </c>
      <c r="C26" s="462"/>
      <c r="D26" s="462"/>
      <c r="E26" s="858">
        <v>20</v>
      </c>
      <c r="F26" s="462">
        <v>20</v>
      </c>
      <c r="G26" s="773"/>
      <c r="H26" s="773"/>
      <c r="I26" s="773"/>
      <c r="J26" s="848"/>
    </row>
    <row r="27" spans="2:10">
      <c r="D27" s="859" t="s">
        <v>1238</v>
      </c>
      <c r="E27" s="860">
        <f>SUM(E4:E26)</f>
        <v>2075</v>
      </c>
      <c r="F27" s="860">
        <f t="shared" ref="F27:I27" si="0">SUM(F4:F26)</f>
        <v>60</v>
      </c>
      <c r="G27" s="860">
        <f t="shared" si="0"/>
        <v>1085</v>
      </c>
      <c r="H27" s="860">
        <f t="shared" si="0"/>
        <v>1000</v>
      </c>
      <c r="I27" s="860">
        <f t="shared" si="0"/>
        <v>110</v>
      </c>
      <c r="J27" s="861"/>
    </row>
    <row r="28" spans="2:10">
      <c r="D28" s="862" t="s">
        <v>761</v>
      </c>
      <c r="E28" s="344">
        <v>564.36</v>
      </c>
      <c r="F28" s="863">
        <v>1506.96</v>
      </c>
      <c r="G28" s="344">
        <v>137.24</v>
      </c>
      <c r="H28" s="344">
        <v>137.24</v>
      </c>
      <c r="I28" s="344">
        <v>214</v>
      </c>
      <c r="J28" s="838"/>
    </row>
    <row r="29" spans="2:10" ht="14">
      <c r="B29" s="864"/>
      <c r="D29" s="865" t="s">
        <v>1239</v>
      </c>
      <c r="E29" s="866">
        <f>E27*E28</f>
        <v>1171047</v>
      </c>
      <c r="F29" s="867">
        <f>F27*F28</f>
        <v>90417.600000000006</v>
      </c>
      <c r="G29" s="866">
        <f>G27*G28</f>
        <v>148905.40000000002</v>
      </c>
      <c r="H29" s="866">
        <f>H28*H24</f>
        <v>137240</v>
      </c>
      <c r="I29" s="867">
        <f>I27*I28</f>
        <v>23540</v>
      </c>
      <c r="J29" s="868"/>
    </row>
    <row r="30" spans="2:10" ht="14">
      <c r="B30" s="864"/>
      <c r="C30" s="864"/>
      <c r="D30" s="869" t="s">
        <v>1240</v>
      </c>
      <c r="E30" s="870">
        <f>E29+F29+G29+I29+H29</f>
        <v>1571150</v>
      </c>
      <c r="F30" s="864"/>
      <c r="G30" s="864"/>
      <c r="H30" s="864"/>
      <c r="I30" s="871"/>
      <c r="J30" s="872"/>
    </row>
    <row r="31" spans="2:10" ht="39">
      <c r="C31" s="862"/>
      <c r="D31" s="862"/>
      <c r="E31" s="862"/>
      <c r="F31" s="862"/>
      <c r="G31" s="450" t="s">
        <v>1182</v>
      </c>
      <c r="H31" s="450" t="s">
        <v>1183</v>
      </c>
      <c r="I31" s="450" t="s">
        <v>1184</v>
      </c>
      <c r="J31" s="838"/>
    </row>
    <row r="32" spans="2:10" ht="14">
      <c r="G32" s="452"/>
      <c r="H32" s="452"/>
      <c r="I32" s="452"/>
      <c r="J32" s="868"/>
    </row>
    <row r="33" spans="7:9">
      <c r="G33" s="456">
        <v>1571150</v>
      </c>
      <c r="H33" s="456">
        <f>G33</f>
        <v>1571150</v>
      </c>
      <c r="I33" s="456">
        <f>H33</f>
        <v>1571150</v>
      </c>
    </row>
  </sheetData>
  <mergeCells count="15">
    <mergeCell ref="H1:I1"/>
    <mergeCell ref="B2:I2"/>
    <mergeCell ref="B4:B7"/>
    <mergeCell ref="I4:I7"/>
    <mergeCell ref="B9:B10"/>
    <mergeCell ref="C9:C10"/>
    <mergeCell ref="E9:E10"/>
    <mergeCell ref="I9:I10"/>
    <mergeCell ref="B15:B16"/>
    <mergeCell ref="G15:G16"/>
    <mergeCell ref="I15:I16"/>
    <mergeCell ref="B17:B18"/>
    <mergeCell ref="E17:E18"/>
    <mergeCell ref="G17:G18"/>
    <mergeCell ref="I17:I18"/>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D3B60-DDCF-45BC-8773-A0C3285328BF}">
  <dimension ref="A1:N14"/>
  <sheetViews>
    <sheetView zoomScale="75" zoomScaleNormal="75" workbookViewId="0">
      <selection activeCell="H13" sqref="H13"/>
    </sheetView>
  </sheetViews>
  <sheetFormatPr defaultColWidth="9.1796875" defaultRowHeight="14"/>
  <cols>
    <col min="1" max="1" width="9.1796875" style="398"/>
    <col min="2" max="2" width="25" style="398" customWidth="1"/>
    <col min="3" max="3" width="12.1796875" style="398" customWidth="1"/>
    <col min="4" max="4" width="14" style="398" customWidth="1"/>
    <col min="5" max="5" width="9.1796875" style="398"/>
    <col min="6" max="6" width="18" style="398" customWidth="1"/>
    <col min="7" max="7" width="17.26953125" style="398" customWidth="1"/>
    <col min="8" max="8" width="14.81640625" style="398" customWidth="1"/>
    <col min="9" max="9" width="13.453125" style="398" customWidth="1"/>
    <col min="10" max="10" width="11.26953125" style="398" customWidth="1"/>
    <col min="11" max="11" width="11.54296875" style="398" customWidth="1"/>
    <col min="12" max="12" width="13" style="398" customWidth="1"/>
    <col min="13" max="13" width="13.7265625" style="398" customWidth="1"/>
    <col min="14" max="14" width="33.7265625" style="398" customWidth="1"/>
    <col min="15" max="16384" width="9.1796875" style="398"/>
  </cols>
  <sheetData>
    <row r="1" spans="1:14">
      <c r="N1" s="398" t="s">
        <v>1196</v>
      </c>
    </row>
    <row r="2" spans="1:14">
      <c r="A2" s="1647" t="s">
        <v>1197</v>
      </c>
      <c r="B2" s="1647"/>
      <c r="C2" s="1647"/>
      <c r="D2" s="1647"/>
      <c r="E2" s="1647"/>
      <c r="F2" s="1647"/>
      <c r="G2" s="1647"/>
      <c r="H2" s="1647"/>
      <c r="I2" s="1647"/>
      <c r="J2" s="1647"/>
      <c r="K2" s="1647"/>
      <c r="L2" s="1647"/>
      <c r="M2" s="1647"/>
      <c r="N2" s="1647"/>
    </row>
    <row r="3" spans="1:14">
      <c r="A3" s="1648" t="s">
        <v>844</v>
      </c>
      <c r="B3" s="1656" t="s">
        <v>845</v>
      </c>
      <c r="C3" s="1648" t="s">
        <v>846</v>
      </c>
      <c r="D3" s="1658" t="s">
        <v>1186</v>
      </c>
      <c r="E3" s="1650" t="s">
        <v>774</v>
      </c>
      <c r="F3" s="1650" t="s">
        <v>847</v>
      </c>
      <c r="G3" s="1648" t="s">
        <v>833</v>
      </c>
      <c r="H3" s="1650" t="s">
        <v>1187</v>
      </c>
      <c r="I3" s="1650" t="s">
        <v>849</v>
      </c>
      <c r="J3" s="1652" t="s">
        <v>850</v>
      </c>
      <c r="K3" s="1653"/>
      <c r="L3" s="1653"/>
      <c r="M3" s="1653"/>
      <c r="N3" s="1654"/>
    </row>
    <row r="4" spans="1:14" ht="40.5" customHeight="1">
      <c r="A4" s="1649"/>
      <c r="B4" s="1657"/>
      <c r="C4" s="1649"/>
      <c r="D4" s="1659"/>
      <c r="E4" s="1651"/>
      <c r="F4" s="1651"/>
      <c r="G4" s="1649"/>
      <c r="H4" s="1651"/>
      <c r="I4" s="1651"/>
      <c r="J4" s="680" t="s">
        <v>782</v>
      </c>
      <c r="K4" s="680" t="s">
        <v>783</v>
      </c>
      <c r="L4" s="680" t="s">
        <v>784</v>
      </c>
      <c r="M4" s="680" t="s">
        <v>786</v>
      </c>
      <c r="N4" s="680" t="s">
        <v>787</v>
      </c>
    </row>
    <row r="5" spans="1:14" ht="84">
      <c r="A5" s="478">
        <v>46020</v>
      </c>
      <c r="B5" s="822" t="s">
        <v>1188</v>
      </c>
      <c r="C5" s="823">
        <f>G7</f>
        <v>62.21</v>
      </c>
      <c r="D5" s="823">
        <f>C5*3</f>
        <v>186.63</v>
      </c>
      <c r="E5" s="824">
        <v>0</v>
      </c>
      <c r="F5" s="824">
        <f>D5-C5</f>
        <v>124.41999999999999</v>
      </c>
      <c r="G5" s="825" t="s">
        <v>1189</v>
      </c>
      <c r="H5" s="826">
        <f>(H9+H10)*F5</f>
        <v>24261.899999999998</v>
      </c>
      <c r="I5" s="768" t="s">
        <v>802</v>
      </c>
      <c r="J5" s="769">
        <v>0.01</v>
      </c>
      <c r="K5" s="769">
        <v>0</v>
      </c>
      <c r="L5" s="769">
        <v>0.99</v>
      </c>
      <c r="M5" s="770" t="s">
        <v>802</v>
      </c>
      <c r="N5" s="771" t="s">
        <v>853</v>
      </c>
    </row>
    <row r="7" spans="1:14" ht="26">
      <c r="B7" s="827" t="s">
        <v>1190</v>
      </c>
      <c r="C7" s="556" t="s">
        <v>1191</v>
      </c>
      <c r="D7" s="556"/>
      <c r="E7" s="828"/>
      <c r="F7" s="569" t="s">
        <v>1188</v>
      </c>
      <c r="G7" s="829">
        <v>62.21</v>
      </c>
    </row>
    <row r="8" spans="1:14" ht="35.25" customHeight="1">
      <c r="B8" s="830" t="s">
        <v>1192</v>
      </c>
      <c r="H8" s="831" t="s">
        <v>1193</v>
      </c>
      <c r="I8" s="1655" t="s">
        <v>1194</v>
      </c>
      <c r="J8" s="1655"/>
      <c r="K8" s="1655"/>
    </row>
    <row r="9" spans="1:14">
      <c r="B9" s="832" t="s">
        <v>874</v>
      </c>
      <c r="C9" s="1643" t="s">
        <v>1195</v>
      </c>
      <c r="D9" s="1644"/>
      <c r="E9" s="1645"/>
      <c r="F9" s="832" t="s">
        <v>1191</v>
      </c>
      <c r="G9" s="832" t="s">
        <v>1188</v>
      </c>
      <c r="H9" s="833">
        <v>2</v>
      </c>
      <c r="I9" s="1646">
        <f>H9*F5</f>
        <v>248.83999999999997</v>
      </c>
      <c r="J9" s="1646"/>
      <c r="K9" s="1646"/>
    </row>
    <row r="10" spans="1:14">
      <c r="B10" s="832" t="s">
        <v>875</v>
      </c>
      <c r="C10" s="1643" t="s">
        <v>1195</v>
      </c>
      <c r="D10" s="1644"/>
      <c r="E10" s="1645"/>
      <c r="F10" s="832" t="s">
        <v>1191</v>
      </c>
      <c r="G10" s="832" t="s">
        <v>1188</v>
      </c>
      <c r="H10" s="833">
        <v>193</v>
      </c>
      <c r="I10" s="1646">
        <f>H10*F5</f>
        <v>24013.059999999998</v>
      </c>
      <c r="J10" s="1646"/>
      <c r="K10" s="1646"/>
    </row>
    <row r="12" spans="1:14" ht="65">
      <c r="B12" s="382" t="s">
        <v>1182</v>
      </c>
      <c r="C12" s="382" t="s">
        <v>1183</v>
      </c>
      <c r="D12" s="382" t="s">
        <v>1184</v>
      </c>
    </row>
    <row r="13" spans="1:14">
      <c r="B13" s="742"/>
      <c r="C13" s="742"/>
      <c r="D13" s="742"/>
    </row>
    <row r="14" spans="1:14">
      <c r="B14" s="834">
        <v>24262</v>
      </c>
      <c r="C14" s="834">
        <f>B14</f>
        <v>24262</v>
      </c>
      <c r="D14" s="834">
        <f>C14</f>
        <v>24262</v>
      </c>
    </row>
  </sheetData>
  <mergeCells count="16">
    <mergeCell ref="C10:E10"/>
    <mergeCell ref="I10:K10"/>
    <mergeCell ref="A2:N2"/>
    <mergeCell ref="G3:G4"/>
    <mergeCell ref="H3:H4"/>
    <mergeCell ref="I3:I4"/>
    <mergeCell ref="J3:N3"/>
    <mergeCell ref="I8:K8"/>
    <mergeCell ref="C9:E9"/>
    <mergeCell ref="I9:K9"/>
    <mergeCell ref="A3:A4"/>
    <mergeCell ref="B3:B4"/>
    <mergeCell ref="C3:C4"/>
    <mergeCell ref="D3:D4"/>
    <mergeCell ref="E3:E4"/>
    <mergeCell ref="F3:F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2D674-F478-4187-90FB-3650C976D1BB}">
  <dimension ref="A1:J35"/>
  <sheetViews>
    <sheetView zoomScale="77" zoomScaleNormal="77" workbookViewId="0">
      <selection activeCell="H46" sqref="H46"/>
    </sheetView>
  </sheetViews>
  <sheetFormatPr defaultColWidth="9.1796875" defaultRowHeight="13"/>
  <cols>
    <col min="1" max="1" width="11" style="1075" customWidth="1"/>
    <col min="2" max="2" width="41.54296875" style="1075" customWidth="1"/>
    <col min="3" max="3" width="13.7265625" style="1075" customWidth="1"/>
    <col min="4" max="4" width="11.7265625" style="1075" customWidth="1"/>
    <col min="5" max="5" width="17" style="1075" customWidth="1"/>
    <col min="6" max="6" width="17.81640625" style="1075" customWidth="1"/>
    <col min="7" max="7" width="12.7265625" style="1075" bestFit="1" customWidth="1"/>
    <col min="8" max="8" width="23.81640625" style="1075" customWidth="1"/>
    <col min="9" max="9" width="14.26953125" style="1075" bestFit="1" customWidth="1"/>
    <col min="10" max="16384" width="9.1796875" style="1075"/>
  </cols>
  <sheetData>
    <row r="1" spans="1:9">
      <c r="F1" s="1555" t="s">
        <v>1376</v>
      </c>
      <c r="G1" s="1555"/>
    </row>
    <row r="2" spans="1:9">
      <c r="A2" s="1555" t="s">
        <v>211</v>
      </c>
      <c r="B2" s="1555"/>
      <c r="C2" s="1555"/>
      <c r="D2" s="1555"/>
      <c r="E2" s="1555"/>
      <c r="F2" s="1555"/>
      <c r="G2" s="1555"/>
    </row>
    <row r="3" spans="1:9">
      <c r="B3" s="481"/>
      <c r="C3" s="481" t="s">
        <v>673</v>
      </c>
      <c r="D3" s="481"/>
      <c r="E3" s="481"/>
      <c r="F3" s="481" t="s">
        <v>674</v>
      </c>
    </row>
    <row r="4" spans="1:9" ht="27.75" customHeight="1">
      <c r="B4" s="481"/>
      <c r="C4" s="1670" t="s">
        <v>689</v>
      </c>
      <c r="D4" s="1671"/>
      <c r="E4" s="481"/>
      <c r="F4" s="1259" t="s">
        <v>690</v>
      </c>
    </row>
    <row r="5" spans="1:9">
      <c r="B5" s="1081" t="s">
        <v>675</v>
      </c>
      <c r="C5" s="1666">
        <v>1200</v>
      </c>
      <c r="D5" s="1667"/>
      <c r="E5" s="1081"/>
      <c r="F5" s="1080"/>
    </row>
    <row r="6" spans="1:9">
      <c r="B6" s="1081" t="s">
        <v>676</v>
      </c>
      <c r="C6" s="1666"/>
      <c r="D6" s="1667"/>
      <c r="E6" s="1081"/>
      <c r="F6" s="472">
        <v>1001676</v>
      </c>
    </row>
    <row r="7" spans="1:9">
      <c r="B7" s="470" t="s">
        <v>677</v>
      </c>
      <c r="C7" s="1666">
        <v>15000</v>
      </c>
      <c r="D7" s="1667"/>
      <c r="E7" s="1081"/>
      <c r="F7" s="1080"/>
    </row>
    <row r="8" spans="1:9">
      <c r="B8" s="470" t="s">
        <v>678</v>
      </c>
      <c r="C8" s="1666">
        <v>2000</v>
      </c>
      <c r="D8" s="1667"/>
      <c r="E8" s="1081"/>
      <c r="F8" s="1080"/>
    </row>
    <row r="9" spans="1:9">
      <c r="B9" s="470" t="s">
        <v>679</v>
      </c>
      <c r="C9" s="1666">
        <v>8000</v>
      </c>
      <c r="D9" s="1667"/>
      <c r="E9" s="1081"/>
      <c r="F9" s="1080"/>
    </row>
    <row r="10" spans="1:9">
      <c r="B10" s="470" t="s">
        <v>680</v>
      </c>
      <c r="C10" s="1666">
        <f>ROUND(300000/(C12+C14),0)</f>
        <v>3000</v>
      </c>
      <c r="D10" s="1667"/>
      <c r="E10" s="1081"/>
      <c r="F10" s="479">
        <v>291174</v>
      </c>
    </row>
    <row r="11" spans="1:9">
      <c r="B11" s="471" t="s">
        <v>681</v>
      </c>
      <c r="C11" s="1668">
        <f>SUM(C5:C10)</f>
        <v>29200</v>
      </c>
      <c r="D11" s="1669"/>
      <c r="E11" s="1081"/>
      <c r="F11" s="472">
        <f>ROUND(((F10+F6)/F12),0)</f>
        <v>24863</v>
      </c>
    </row>
    <row r="12" spans="1:9">
      <c r="B12" s="470" t="s">
        <v>682</v>
      </c>
      <c r="C12" s="1668">
        <v>80</v>
      </c>
      <c r="D12" s="1669"/>
      <c r="E12" s="1081"/>
      <c r="F12" s="1080">
        <f>43+9</f>
        <v>52</v>
      </c>
    </row>
    <row r="13" spans="1:9">
      <c r="B13" s="471" t="s">
        <v>683</v>
      </c>
      <c r="C13" s="1668">
        <v>50000</v>
      </c>
      <c r="D13" s="1669"/>
      <c r="E13" s="1081"/>
      <c r="F13" s="1080"/>
      <c r="H13" s="464" t="s">
        <v>684</v>
      </c>
      <c r="I13" s="464">
        <f>SUM(C14,C12,F12)/2</f>
        <v>76</v>
      </c>
    </row>
    <row r="14" spans="1:9">
      <c r="B14" s="473" t="s">
        <v>685</v>
      </c>
      <c r="C14" s="1668">
        <v>20</v>
      </c>
      <c r="D14" s="1669"/>
      <c r="E14" s="474"/>
      <c r="F14" s="480"/>
      <c r="H14" s="464" t="s">
        <v>686</v>
      </c>
      <c r="I14" s="465">
        <f>(C16+F16)/2</f>
        <v>29111.25</v>
      </c>
    </row>
    <row r="15" spans="1:9">
      <c r="B15" s="471" t="s">
        <v>615</v>
      </c>
      <c r="C15" s="1660">
        <f>C11*C12+C13*C14</f>
        <v>3336000</v>
      </c>
      <c r="D15" s="1661"/>
      <c r="E15" s="476"/>
      <c r="F15" s="475">
        <f>F10+F6</f>
        <v>1292850</v>
      </c>
      <c r="H15" s="466" t="s">
        <v>693</v>
      </c>
      <c r="I15" s="467">
        <f>I14*I13</f>
        <v>2212455</v>
      </c>
    </row>
    <row r="16" spans="1:9">
      <c r="B16" s="470" t="s">
        <v>687</v>
      </c>
      <c r="C16" s="1662">
        <f>C15/(C14+C12)</f>
        <v>33360</v>
      </c>
      <c r="D16" s="1663"/>
      <c r="E16" s="1081"/>
      <c r="F16" s="477">
        <f>F15/F12</f>
        <v>24862.5</v>
      </c>
    </row>
    <row r="18" spans="1:10">
      <c r="B18" s="1664" t="s">
        <v>691</v>
      </c>
      <c r="C18" s="1664"/>
      <c r="D18" s="1664"/>
      <c r="E18" s="1664"/>
      <c r="F18" s="1664"/>
      <c r="G18" s="464"/>
    </row>
    <row r="19" spans="1:10">
      <c r="B19" s="1664"/>
      <c r="C19" s="1664"/>
      <c r="D19" s="1664"/>
      <c r="E19" s="1664"/>
      <c r="F19" s="1664"/>
      <c r="G19" s="468">
        <v>291174</v>
      </c>
    </row>
    <row r="20" spans="1:10">
      <c r="B20" s="1664"/>
      <c r="C20" s="1664"/>
      <c r="D20" s="1664"/>
      <c r="E20" s="1664"/>
      <c r="F20" s="1664"/>
      <c r="G20" s="464"/>
    </row>
    <row r="22" spans="1:10" ht="14">
      <c r="A22" s="1078"/>
      <c r="B22" s="1078"/>
      <c r="C22" s="1078"/>
      <c r="D22" s="1078"/>
      <c r="E22" s="1078"/>
      <c r="F22" s="1078"/>
      <c r="G22" s="1078" t="s">
        <v>1496</v>
      </c>
      <c r="H22" s="1078"/>
      <c r="I22" s="1078"/>
      <c r="J22" s="1078"/>
    </row>
    <row r="23" spans="1:10" ht="28.5" customHeight="1">
      <c r="A23" s="1340" t="s">
        <v>1497</v>
      </c>
      <c r="B23" s="1340" t="s">
        <v>1498</v>
      </c>
      <c r="C23" s="1340" t="s">
        <v>1499</v>
      </c>
      <c r="D23" s="1340" t="s">
        <v>1500</v>
      </c>
      <c r="E23" s="1340" t="s">
        <v>1501</v>
      </c>
      <c r="F23" s="1261" t="s">
        <v>1505</v>
      </c>
      <c r="G23" s="1340" t="s">
        <v>1104</v>
      </c>
      <c r="H23" s="1261" t="s">
        <v>1105</v>
      </c>
      <c r="I23" s="1341"/>
      <c r="J23" s="1078"/>
    </row>
    <row r="24" spans="1:10" ht="14">
      <c r="A24" s="1078" t="s">
        <v>1502</v>
      </c>
      <c r="B24" s="1078">
        <v>2</v>
      </c>
      <c r="C24" s="1078">
        <v>1117</v>
      </c>
      <c r="D24" s="1342">
        <f>C24*1.2359</f>
        <v>1380.5002999999999</v>
      </c>
      <c r="E24" s="1342">
        <f>B24*D24</f>
        <v>2761.0005999999998</v>
      </c>
      <c r="F24" s="1342">
        <f>E24*12</f>
        <v>33132.0072</v>
      </c>
      <c r="G24" s="1342">
        <f>F24*1.1</f>
        <v>36445.207920000001</v>
      </c>
      <c r="H24" s="1342">
        <f t="shared" ref="H24" si="0">G24*1.1</f>
        <v>40089.728712000004</v>
      </c>
      <c r="I24" s="1343"/>
      <c r="J24" s="1078"/>
    </row>
    <row r="25" spans="1:10" ht="14">
      <c r="A25" s="1078" t="s">
        <v>1503</v>
      </c>
      <c r="B25" s="1078">
        <v>1</v>
      </c>
      <c r="C25" s="1078">
        <v>1862</v>
      </c>
      <c r="D25" s="1342">
        <f t="shared" ref="D25:D26" si="1">C25*1.2359</f>
        <v>2301.2458000000001</v>
      </c>
      <c r="E25" s="1342">
        <f t="shared" ref="E25:E26" si="2">B25*D25</f>
        <v>2301.2458000000001</v>
      </c>
      <c r="F25" s="1342">
        <f t="shared" ref="F25:F26" si="3">E25*12</f>
        <v>27614.9496</v>
      </c>
      <c r="G25" s="1342">
        <f t="shared" ref="G25:H26" si="4">F25*1.1</f>
        <v>30376.444560000004</v>
      </c>
      <c r="H25" s="1342">
        <f t="shared" si="4"/>
        <v>33414.089016000005</v>
      </c>
      <c r="I25" s="1343"/>
      <c r="J25" s="1078"/>
    </row>
    <row r="26" spans="1:10" ht="14">
      <c r="A26" s="1340" t="s">
        <v>1504</v>
      </c>
      <c r="B26" s="1340">
        <v>2</v>
      </c>
      <c r="C26" s="1340">
        <v>1862</v>
      </c>
      <c r="D26" s="1344">
        <f t="shared" si="1"/>
        <v>2301.2458000000001</v>
      </c>
      <c r="E26" s="1344">
        <f t="shared" si="2"/>
        <v>4602.4916000000003</v>
      </c>
      <c r="F26" s="1344">
        <f t="shared" si="3"/>
        <v>55229.8992</v>
      </c>
      <c r="G26" s="1344">
        <f t="shared" si="4"/>
        <v>60752.889120000007</v>
      </c>
      <c r="H26" s="1344">
        <f t="shared" si="4"/>
        <v>66828.178032000011</v>
      </c>
      <c r="I26" s="1343"/>
      <c r="J26" s="1078"/>
    </row>
    <row r="27" spans="1:10" ht="14">
      <c r="A27" s="1078"/>
      <c r="B27" s="1078"/>
      <c r="C27" s="1078"/>
      <c r="D27" s="1342"/>
      <c r="E27" s="1342">
        <f>SUM(E24:E26)</f>
        <v>9664.7380000000012</v>
      </c>
      <c r="F27" s="1345">
        <f>SUM(F24:F26)</f>
        <v>115976.856</v>
      </c>
      <c r="G27" s="1342">
        <f t="shared" ref="G27:H27" si="5">SUM(G24:G26)</f>
        <v>127574.54160000001</v>
      </c>
      <c r="H27" s="1342">
        <f t="shared" si="5"/>
        <v>140331.99576000002</v>
      </c>
      <c r="I27" s="1343"/>
      <c r="J27" s="1078"/>
    </row>
    <row r="28" spans="1:10" ht="14">
      <c r="A28" s="1078"/>
      <c r="B28" s="1078"/>
      <c r="C28" s="1078"/>
      <c r="D28" s="1078"/>
      <c r="E28" s="1078"/>
      <c r="F28" s="1078"/>
      <c r="G28" s="1078"/>
      <c r="H28" s="1078"/>
      <c r="I28" s="1078"/>
      <c r="J28" s="1078"/>
    </row>
    <row r="30" spans="1:10" ht="26.25" customHeight="1">
      <c r="C30" s="1665" t="s">
        <v>692</v>
      </c>
      <c r="D30" s="1665"/>
    </row>
    <row r="31" spans="1:10" ht="26.25" customHeight="1">
      <c r="C31" s="1256" t="s">
        <v>688</v>
      </c>
      <c r="D31" s="1256" t="s">
        <v>1506</v>
      </c>
      <c r="E31" s="1256" t="s">
        <v>1511</v>
      </c>
      <c r="F31" s="1250"/>
    </row>
    <row r="32" spans="1:10">
      <c r="C32" s="469">
        <f>G19+I15+F27</f>
        <v>2619605.8560000001</v>
      </c>
      <c r="D32" s="469">
        <f>I15+G27</f>
        <v>2340029.5416000001</v>
      </c>
      <c r="E32" s="469">
        <f>H27+I15</f>
        <v>2352786.9957599998</v>
      </c>
      <c r="F32" s="1251"/>
    </row>
    <row r="33" spans="2:6">
      <c r="F33" s="1252"/>
    </row>
    <row r="34" spans="2:6">
      <c r="B34" s="1254" t="s">
        <v>1508</v>
      </c>
      <c r="C34" s="1249">
        <f>C32*0.32</f>
        <v>838273.87392000004</v>
      </c>
      <c r="D34" s="1249">
        <f t="shared" ref="D34" si="6">D32*0.32</f>
        <v>748809.45331200003</v>
      </c>
      <c r="E34" s="1249">
        <f>E32*0.32</f>
        <v>752891.8386432</v>
      </c>
      <c r="F34" s="1253"/>
    </row>
    <row r="35" spans="2:6">
      <c r="B35" s="1254" t="s">
        <v>1507</v>
      </c>
      <c r="C35" s="1249">
        <f>C32*0.68</f>
        <v>1781331.9820800002</v>
      </c>
      <c r="D35" s="1249">
        <f>ROUNDUP(D32*0.68,0)</f>
        <v>1591221</v>
      </c>
      <c r="E35" s="1249">
        <f t="shared" ref="E35" si="7">E32*0.68</f>
        <v>1599895.1571168001</v>
      </c>
      <c r="F35" s="1253"/>
    </row>
  </sheetData>
  <mergeCells count="17">
    <mergeCell ref="F1:G1"/>
    <mergeCell ref="C4:D4"/>
    <mergeCell ref="C5:D5"/>
    <mergeCell ref="C6:D6"/>
    <mergeCell ref="C7:D7"/>
    <mergeCell ref="C15:D15"/>
    <mergeCell ref="A2:G2"/>
    <mergeCell ref="C16:D16"/>
    <mergeCell ref="B18:F20"/>
    <mergeCell ref="C30:D30"/>
    <mergeCell ref="C8:D8"/>
    <mergeCell ref="C9:D9"/>
    <mergeCell ref="C10:D10"/>
    <mergeCell ref="C11:D11"/>
    <mergeCell ref="C12:D12"/>
    <mergeCell ref="C13:D13"/>
    <mergeCell ref="C14:D14"/>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4AF0E-76BF-462B-B6BE-26A33EE897D3}">
  <dimension ref="A1:P47"/>
  <sheetViews>
    <sheetView zoomScale="59" zoomScaleNormal="59" workbookViewId="0">
      <selection activeCell="H44" sqref="H44"/>
    </sheetView>
  </sheetViews>
  <sheetFormatPr defaultColWidth="9.1796875" defaultRowHeight="13"/>
  <cols>
    <col min="1" max="1" width="30.1796875" style="297" customWidth="1"/>
    <col min="2" max="2" width="35.54296875" style="297" customWidth="1"/>
    <col min="3" max="3" width="19.1796875" style="297" customWidth="1"/>
    <col min="4" max="4" width="16" style="297" customWidth="1"/>
    <col min="5" max="5" width="13.54296875" style="297" customWidth="1"/>
    <col min="6" max="6" width="13.26953125" style="297" customWidth="1"/>
    <col min="7" max="8" width="13.7265625" style="297" customWidth="1"/>
    <col min="9" max="9" width="15.1796875" style="297" customWidth="1"/>
    <col min="10" max="10" width="21.453125" style="297" customWidth="1"/>
    <col min="11" max="11" width="17" style="297" customWidth="1"/>
    <col min="12" max="12" width="16.1796875" style="297" customWidth="1"/>
    <col min="13" max="13" width="16.453125" style="297" customWidth="1"/>
    <col min="14" max="14" width="20" style="297" customWidth="1"/>
    <col min="15" max="15" width="9.26953125" style="734" bestFit="1" customWidth="1"/>
    <col min="16" max="16" width="9.81640625" style="734" bestFit="1" customWidth="1"/>
    <col min="17" max="16384" width="9.1796875" style="297"/>
  </cols>
  <sheetData>
    <row r="1" spans="1:8">
      <c r="G1" s="1555" t="s">
        <v>1185</v>
      </c>
      <c r="H1" s="1555"/>
    </row>
    <row r="2" spans="1:8">
      <c r="A2" s="1555" t="s">
        <v>136</v>
      </c>
      <c r="B2" s="1555"/>
      <c r="C2" s="1555"/>
      <c r="D2" s="1555"/>
      <c r="E2" s="1555"/>
      <c r="F2" s="1555"/>
      <c r="G2" s="1555"/>
      <c r="H2" s="1555"/>
    </row>
    <row r="3" spans="1:8">
      <c r="A3" s="1676" t="s">
        <v>1130</v>
      </c>
      <c r="B3" s="1676"/>
      <c r="C3" s="1676"/>
      <c r="D3" s="1676"/>
      <c r="E3" s="1676"/>
      <c r="F3" s="1676"/>
    </row>
    <row r="4" spans="1:8">
      <c r="A4" s="1677" t="s">
        <v>1131</v>
      </c>
      <c r="B4" s="1678" t="s">
        <v>1132</v>
      </c>
      <c r="C4" s="1679" t="s">
        <v>1133</v>
      </c>
      <c r="D4" s="1680" t="s">
        <v>1134</v>
      </c>
      <c r="E4" s="1678" t="s">
        <v>1135</v>
      </c>
      <c r="F4" s="1680" t="s">
        <v>1136</v>
      </c>
      <c r="G4" s="1680" t="s">
        <v>1137</v>
      </c>
      <c r="H4" s="1680" t="s">
        <v>1138</v>
      </c>
    </row>
    <row r="5" spans="1:8">
      <c r="A5" s="1677"/>
      <c r="B5" s="1678"/>
      <c r="C5" s="1679"/>
      <c r="D5" s="1680"/>
      <c r="E5" s="1678"/>
      <c r="F5" s="1680"/>
      <c r="G5" s="1680"/>
      <c r="H5" s="1680"/>
    </row>
    <row r="6" spans="1:8">
      <c r="A6" s="789" t="s">
        <v>1139</v>
      </c>
      <c r="B6" s="785">
        <v>1540851</v>
      </c>
      <c r="C6" s="785">
        <v>11212</v>
      </c>
      <c r="D6" s="345">
        <f>B6/C6</f>
        <v>137.42873706742776</v>
      </c>
      <c r="E6" s="790">
        <v>300</v>
      </c>
      <c r="F6" s="765">
        <f>D6*E6*1.3</f>
        <v>53597.207456296834</v>
      </c>
      <c r="G6" s="390">
        <v>53597.207456296834</v>
      </c>
      <c r="H6" s="390">
        <v>53597.207456296834</v>
      </c>
    </row>
    <row r="7" spans="1:8" ht="26">
      <c r="A7" s="791" t="s">
        <v>1140</v>
      </c>
      <c r="B7" s="344">
        <v>1335187</v>
      </c>
      <c r="C7" s="785">
        <v>9225</v>
      </c>
      <c r="D7" s="345">
        <f>B7/C7</f>
        <v>144.73571815718157</v>
      </c>
      <c r="E7" s="344">
        <v>300</v>
      </c>
      <c r="F7" s="765">
        <f>D7*E7*1.3</f>
        <v>56446.930081300816</v>
      </c>
      <c r="G7" s="390">
        <v>56446.930081300816</v>
      </c>
      <c r="H7" s="390">
        <v>56446.930081300816</v>
      </c>
    </row>
    <row r="8" spans="1:8">
      <c r="A8" s="789" t="s">
        <v>1141</v>
      </c>
      <c r="B8" s="344">
        <v>426969</v>
      </c>
      <c r="C8" s="785">
        <v>2722</v>
      </c>
      <c r="D8" s="345">
        <f t="shared" ref="D8:D12" si="0">B8/C8</f>
        <v>156.85855988243938</v>
      </c>
      <c r="E8" s="344">
        <v>200</v>
      </c>
      <c r="F8" s="765">
        <f t="shared" ref="F8:F12" si="1">D8*E8*1.3</f>
        <v>40783.225569434238</v>
      </c>
      <c r="G8" s="390">
        <v>40783.225569434238</v>
      </c>
      <c r="H8" s="390">
        <v>40783.225569434238</v>
      </c>
    </row>
    <row r="9" spans="1:8">
      <c r="A9" s="789" t="s">
        <v>1142</v>
      </c>
      <c r="B9" s="344">
        <v>603460</v>
      </c>
      <c r="C9" s="785">
        <v>9250</v>
      </c>
      <c r="D9" s="345">
        <f t="shared" si="0"/>
        <v>65.238918918918912</v>
      </c>
      <c r="E9" s="344">
        <v>150</v>
      </c>
      <c r="F9" s="765">
        <f t="shared" si="1"/>
        <v>12721.589189189188</v>
      </c>
      <c r="G9" s="390">
        <v>12721.589189189188</v>
      </c>
      <c r="H9" s="390">
        <v>12721.589189189188</v>
      </c>
    </row>
    <row r="10" spans="1:8">
      <c r="A10" s="792" t="s">
        <v>1143</v>
      </c>
      <c r="B10" s="345">
        <v>482693.35999999929</v>
      </c>
      <c r="C10" s="785">
        <v>3645</v>
      </c>
      <c r="D10" s="345">
        <f t="shared" si="0"/>
        <v>132.42616186556907</v>
      </c>
      <c r="E10" s="344">
        <v>150</v>
      </c>
      <c r="F10" s="765">
        <f t="shared" si="1"/>
        <v>25823.101563785967</v>
      </c>
      <c r="G10" s="390">
        <v>25823.101563785967</v>
      </c>
      <c r="H10" s="390">
        <v>25823.101563785967</v>
      </c>
    </row>
    <row r="11" spans="1:8">
      <c r="A11" s="793" t="s">
        <v>1144</v>
      </c>
      <c r="B11" s="345">
        <v>196522.540000001</v>
      </c>
      <c r="C11" s="785">
        <v>2317</v>
      </c>
      <c r="D11" s="345">
        <f t="shared" si="0"/>
        <v>84.817669400086743</v>
      </c>
      <c r="E11" s="344">
        <v>150</v>
      </c>
      <c r="F11" s="765">
        <f t="shared" si="1"/>
        <v>16539.445533016915</v>
      </c>
      <c r="G11" s="390">
        <v>16539.445533016915</v>
      </c>
      <c r="H11" s="390">
        <v>16539.445533016915</v>
      </c>
    </row>
    <row r="12" spans="1:8">
      <c r="A12" s="789" t="s">
        <v>1145</v>
      </c>
      <c r="B12" s="345">
        <v>2644325.6299999962</v>
      </c>
      <c r="C12" s="785">
        <v>29809</v>
      </c>
      <c r="D12" s="345">
        <f t="shared" si="0"/>
        <v>88.708968096883368</v>
      </c>
      <c r="E12" s="344">
        <v>750</v>
      </c>
      <c r="F12" s="765">
        <f t="shared" si="1"/>
        <v>86491.24389446128</v>
      </c>
      <c r="G12" s="390">
        <v>86491.24389446128</v>
      </c>
      <c r="H12" s="390">
        <v>86491.24389446128</v>
      </c>
    </row>
    <row r="13" spans="1:8">
      <c r="E13" s="693" t="s">
        <v>615</v>
      </c>
      <c r="F13" s="794">
        <f>SUM(F6:F12)</f>
        <v>292402.74328748521</v>
      </c>
      <c r="G13" s="711">
        <v>292402.74328748521</v>
      </c>
      <c r="H13" s="711">
        <v>292402.74328748521</v>
      </c>
    </row>
    <row r="15" spans="1:8">
      <c r="A15" s="693" t="s">
        <v>1146</v>
      </c>
    </row>
    <row r="16" spans="1:8" ht="65">
      <c r="A16" s="795"/>
      <c r="B16" s="679" t="s">
        <v>1147</v>
      </c>
      <c r="C16" s="679" t="s">
        <v>1148</v>
      </c>
      <c r="D16" s="679" t="s">
        <v>1149</v>
      </c>
      <c r="E16" s="679" t="s">
        <v>1150</v>
      </c>
      <c r="F16" s="679" t="s">
        <v>1151</v>
      </c>
      <c r="G16" s="679" t="s">
        <v>1152</v>
      </c>
    </row>
    <row r="17" spans="1:16">
      <c r="A17" s="384" t="s">
        <v>1153</v>
      </c>
      <c r="B17" s="384">
        <v>876817</v>
      </c>
      <c r="C17" s="384">
        <v>17261646</v>
      </c>
      <c r="D17" s="390">
        <f>B17*0.15</f>
        <v>131522.54999999999</v>
      </c>
      <c r="E17" s="390">
        <f>C17*0.15</f>
        <v>2589246.9</v>
      </c>
      <c r="F17" s="390">
        <v>2589246.9</v>
      </c>
      <c r="G17" s="390">
        <v>2589246.9</v>
      </c>
      <c r="H17" s="796">
        <v>0.15</v>
      </c>
    </row>
    <row r="18" spans="1:16">
      <c r="A18" s="384" t="s">
        <v>1154</v>
      </c>
      <c r="B18" s="384">
        <v>2068898</v>
      </c>
      <c r="C18" s="384">
        <v>54483214</v>
      </c>
      <c r="D18" s="390">
        <f>B18*0.15</f>
        <v>310334.7</v>
      </c>
      <c r="E18" s="390">
        <f>C18*0.15</f>
        <v>8172482.0999999996</v>
      </c>
      <c r="F18" s="390">
        <v>8172482.0999999996</v>
      </c>
      <c r="G18" s="390">
        <v>8172482.0999999996</v>
      </c>
      <c r="H18" s="796">
        <v>0.15</v>
      </c>
    </row>
    <row r="19" spans="1:16">
      <c r="A19" s="384" t="s">
        <v>1155</v>
      </c>
      <c r="B19" s="384">
        <v>63026</v>
      </c>
      <c r="C19" s="384">
        <v>12034150</v>
      </c>
      <c r="D19" s="390">
        <f t="shared" ref="D19:E21" si="2">B19*0.25</f>
        <v>15756.5</v>
      </c>
      <c r="E19" s="390">
        <f t="shared" si="2"/>
        <v>3008537.5</v>
      </c>
      <c r="F19" s="390">
        <v>3008537.5</v>
      </c>
      <c r="G19" s="390">
        <v>3008537.5</v>
      </c>
      <c r="H19" s="796">
        <v>0.25</v>
      </c>
    </row>
    <row r="20" spans="1:16">
      <c r="A20" s="384" t="s">
        <v>1156</v>
      </c>
      <c r="B20" s="384">
        <v>7732</v>
      </c>
      <c r="C20" s="384">
        <v>142126</v>
      </c>
      <c r="D20" s="384">
        <f t="shared" si="2"/>
        <v>1933</v>
      </c>
      <c r="E20" s="390">
        <f t="shared" si="2"/>
        <v>35531.5</v>
      </c>
      <c r="F20" s="390">
        <v>35531.5</v>
      </c>
      <c r="G20" s="390">
        <v>35531.5</v>
      </c>
      <c r="H20" s="796">
        <v>0.25</v>
      </c>
    </row>
    <row r="21" spans="1:16">
      <c r="A21" s="384" t="s">
        <v>733</v>
      </c>
      <c r="B21" s="384">
        <v>122855</v>
      </c>
      <c r="C21" s="384">
        <v>7636394</v>
      </c>
      <c r="D21" s="390">
        <f t="shared" si="2"/>
        <v>30713.75</v>
      </c>
      <c r="E21" s="390">
        <f t="shared" si="2"/>
        <v>1909098.5</v>
      </c>
      <c r="F21" s="390">
        <v>1909098.5</v>
      </c>
      <c r="G21" s="390">
        <v>1909098.5</v>
      </c>
      <c r="H21" s="796">
        <v>0.25</v>
      </c>
    </row>
    <row r="22" spans="1:16">
      <c r="A22" s="384"/>
      <c r="B22" s="384"/>
      <c r="C22" s="797" t="s">
        <v>540</v>
      </c>
      <c r="D22" s="798">
        <f>SUM(D17:D20)</f>
        <v>459546.75</v>
      </c>
      <c r="E22" s="798">
        <f>SUM(E17:E20)</f>
        <v>13805798</v>
      </c>
      <c r="F22" s="798">
        <v>13805798</v>
      </c>
      <c r="G22" s="798">
        <v>13805798</v>
      </c>
    </row>
    <row r="23" spans="1:16">
      <c r="C23" s="693"/>
      <c r="D23" s="693"/>
      <c r="E23" s="693"/>
      <c r="F23" s="693"/>
      <c r="G23" s="693"/>
    </row>
    <row r="24" spans="1:16">
      <c r="A24" s="297" t="s">
        <v>1157</v>
      </c>
    </row>
    <row r="25" spans="1:16">
      <c r="A25" s="1675" t="s">
        <v>1158</v>
      </c>
      <c r="B25" s="1675"/>
      <c r="C25" s="1675"/>
      <c r="D25" s="1675"/>
      <c r="E25" s="1675"/>
      <c r="F25" s="1675"/>
      <c r="G25" s="1675"/>
      <c r="H25" s="1675"/>
      <c r="I25" s="1675"/>
      <c r="J25" s="1675"/>
    </row>
    <row r="26" spans="1:16">
      <c r="A26" s="297" t="s">
        <v>1159</v>
      </c>
    </row>
    <row r="27" spans="1:16">
      <c r="A27" s="706" t="s">
        <v>1160</v>
      </c>
    </row>
    <row r="28" spans="1:16">
      <c r="A28" s="706"/>
    </row>
    <row r="29" spans="1:16" ht="14.5">
      <c r="A29" s="86"/>
      <c r="B29" s="1672" t="s">
        <v>1161</v>
      </c>
      <c r="C29" s="1672">
        <v>2019</v>
      </c>
      <c r="D29" s="1672"/>
      <c r="E29" s="1672"/>
      <c r="F29" s="1672"/>
      <c r="G29" s="1672"/>
      <c r="H29" s="1672">
        <v>2020</v>
      </c>
      <c r="I29" s="1672"/>
      <c r="J29" s="1672"/>
      <c r="K29" s="1672"/>
      <c r="L29" s="1672"/>
      <c r="M29" s="1673" t="s">
        <v>1162</v>
      </c>
      <c r="N29" s="1673"/>
      <c r="O29" s="1673"/>
      <c r="P29" s="1673"/>
    </row>
    <row r="30" spans="1:16" ht="72.75" customHeight="1">
      <c r="A30" s="708"/>
      <c r="B30" s="1672"/>
      <c r="C30" s="799" t="s">
        <v>1163</v>
      </c>
      <c r="D30" s="799" t="s">
        <v>1164</v>
      </c>
      <c r="E30" s="799" t="s">
        <v>1165</v>
      </c>
      <c r="F30" s="799" t="s">
        <v>1166</v>
      </c>
      <c r="G30" s="800" t="s">
        <v>1167</v>
      </c>
      <c r="H30" s="799" t="s">
        <v>1163</v>
      </c>
      <c r="I30" s="799" t="s">
        <v>1168</v>
      </c>
      <c r="J30" s="799" t="s">
        <v>1165</v>
      </c>
      <c r="K30" s="799" t="s">
        <v>1166</v>
      </c>
      <c r="L30" s="799" t="s">
        <v>1167</v>
      </c>
      <c r="M30" s="653" t="s">
        <v>1169</v>
      </c>
      <c r="N30" s="653" t="s">
        <v>1170</v>
      </c>
      <c r="O30" s="801" t="s">
        <v>1171</v>
      </c>
      <c r="P30" s="802" t="s">
        <v>758</v>
      </c>
    </row>
    <row r="31" spans="1:16" ht="14">
      <c r="A31" s="1674" t="s">
        <v>1172</v>
      </c>
      <c r="B31" s="803" t="s">
        <v>739</v>
      </c>
      <c r="C31" s="804">
        <v>8071</v>
      </c>
      <c r="D31" s="805">
        <v>4317097.1900002575</v>
      </c>
      <c r="E31" s="804">
        <v>416</v>
      </c>
      <c r="F31" s="805">
        <v>222514.24000000226</v>
      </c>
      <c r="G31" s="806">
        <f>F31/D31</f>
        <v>5.1542559781932777E-2</v>
      </c>
      <c r="H31" s="804">
        <v>7367</v>
      </c>
      <c r="I31" s="805">
        <v>4210093.1599998996</v>
      </c>
      <c r="J31" s="804">
        <v>287</v>
      </c>
      <c r="K31" s="805">
        <v>164014.7600000003</v>
      </c>
      <c r="L31" s="806">
        <f>K31/I31</f>
        <v>3.8957513234696262E-2</v>
      </c>
      <c r="M31" s="807">
        <v>8215</v>
      </c>
      <c r="N31" s="808">
        <v>5755019</v>
      </c>
      <c r="O31" s="809">
        <f>ROUND(M31*2.3%,0)</f>
        <v>189</v>
      </c>
      <c r="P31" s="809">
        <f>L31*N31</f>
        <v>224201.22885842845</v>
      </c>
    </row>
    <row r="32" spans="1:16" ht="14">
      <c r="A32" s="1674"/>
      <c r="B32" s="803" t="s">
        <v>733</v>
      </c>
      <c r="C32" s="804">
        <v>538</v>
      </c>
      <c r="D32" s="805">
        <v>1419539.9000000141</v>
      </c>
      <c r="E32" s="804">
        <v>15</v>
      </c>
      <c r="F32" s="805">
        <v>39578.25</v>
      </c>
      <c r="G32" s="806">
        <f t="shared" ref="G32:G40" si="3">F32/D32</f>
        <v>2.7881040892193031E-2</v>
      </c>
      <c r="H32" s="804">
        <v>337</v>
      </c>
      <c r="I32" s="805">
        <v>958060.66999999725</v>
      </c>
      <c r="J32" s="804">
        <v>16</v>
      </c>
      <c r="K32" s="805">
        <v>45486.560000000012</v>
      </c>
      <c r="L32" s="806">
        <f t="shared" ref="L32:L40" si="4">K32/I32</f>
        <v>4.7477744807121809E-2</v>
      </c>
      <c r="M32" s="807">
        <v>430</v>
      </c>
      <c r="N32" s="808">
        <v>1484725</v>
      </c>
      <c r="O32" s="809">
        <f t="shared" ref="O32:O40" si="5">ROUND(M32*2.3%,0)</f>
        <v>10</v>
      </c>
      <c r="P32" s="809">
        <f t="shared" ref="P32:P40" si="6">L32*N32</f>
        <v>70491.394658753925</v>
      </c>
    </row>
    <row r="33" spans="1:16" ht="14">
      <c r="A33" s="1674"/>
      <c r="B33" s="803" t="s">
        <v>1173</v>
      </c>
      <c r="C33" s="804">
        <v>1749</v>
      </c>
      <c r="D33" s="805">
        <v>6037560.3900000118</v>
      </c>
      <c r="E33" s="804">
        <v>26</v>
      </c>
      <c r="F33" s="805">
        <v>89752.15</v>
      </c>
      <c r="G33" s="806">
        <f t="shared" si="3"/>
        <v>1.4865631845050549E-2</v>
      </c>
      <c r="H33" s="804">
        <v>1472</v>
      </c>
      <c r="I33" s="805">
        <v>5442204.7999999523</v>
      </c>
      <c r="J33" s="804">
        <v>25</v>
      </c>
      <c r="K33" s="805">
        <v>92428.749999999971</v>
      </c>
      <c r="L33" s="806">
        <f t="shared" si="4"/>
        <v>1.6983695652174058E-2</v>
      </c>
      <c r="M33" s="807">
        <v>1883</v>
      </c>
      <c r="N33" s="808">
        <v>8438815</v>
      </c>
      <c r="O33" s="809">
        <f t="shared" si="5"/>
        <v>43</v>
      </c>
      <c r="P33" s="809">
        <f t="shared" si="6"/>
        <v>143322.26562500122</v>
      </c>
    </row>
    <row r="34" spans="1:16" ht="14">
      <c r="A34" s="1674"/>
      <c r="B34" s="810" t="s">
        <v>1174</v>
      </c>
      <c r="C34" s="804">
        <v>360</v>
      </c>
      <c r="D34" s="805">
        <v>1111891.0000000002</v>
      </c>
      <c r="E34" s="804"/>
      <c r="F34" s="805"/>
      <c r="G34" s="806">
        <f t="shared" si="3"/>
        <v>0</v>
      </c>
      <c r="H34" s="804">
        <v>400</v>
      </c>
      <c r="I34" s="805">
        <v>1449248.0000000112</v>
      </c>
      <c r="J34" s="804">
        <v>2</v>
      </c>
      <c r="K34" s="805">
        <v>7246.24</v>
      </c>
      <c r="L34" s="806">
        <f t="shared" si="4"/>
        <v>4.9999999999999611E-3</v>
      </c>
      <c r="M34" s="807">
        <v>434</v>
      </c>
      <c r="N34" s="808">
        <v>1905130</v>
      </c>
      <c r="O34" s="809">
        <f t="shared" si="5"/>
        <v>10</v>
      </c>
      <c r="P34" s="809">
        <f t="shared" si="6"/>
        <v>9525.6499999999251</v>
      </c>
    </row>
    <row r="35" spans="1:16" ht="14">
      <c r="A35" s="1674"/>
      <c r="B35" s="803" t="s">
        <v>1175</v>
      </c>
      <c r="C35" s="804">
        <v>68</v>
      </c>
      <c r="D35" s="805">
        <v>271133.68000000028</v>
      </c>
      <c r="E35" s="804">
        <v>5</v>
      </c>
      <c r="F35" s="805">
        <v>19936.300000000003</v>
      </c>
      <c r="G35" s="806">
        <f t="shared" si="3"/>
        <v>7.3529411764705815E-2</v>
      </c>
      <c r="H35" s="804">
        <v>82</v>
      </c>
      <c r="I35" s="805">
        <v>342553.35999999987</v>
      </c>
      <c r="J35" s="804">
        <v>1</v>
      </c>
      <c r="K35" s="805">
        <v>4177.4799999999996</v>
      </c>
      <c r="L35" s="806">
        <f t="shared" si="4"/>
        <v>1.2195121951219516E-2</v>
      </c>
      <c r="M35" s="807">
        <v>25</v>
      </c>
      <c r="N35" s="808">
        <v>120187</v>
      </c>
      <c r="O35" s="809">
        <f t="shared" si="5"/>
        <v>1</v>
      </c>
      <c r="P35" s="809">
        <f t="shared" si="6"/>
        <v>1465.69512195122</v>
      </c>
    </row>
    <row r="36" spans="1:16" ht="14">
      <c r="A36" s="1674"/>
      <c r="B36" s="803" t="s">
        <v>1176</v>
      </c>
      <c r="C36" s="804">
        <v>7007</v>
      </c>
      <c r="D36" s="805">
        <v>6188564.4900000002</v>
      </c>
      <c r="E36" s="804">
        <v>161</v>
      </c>
      <c r="F36" s="805">
        <v>137234.32</v>
      </c>
      <c r="G36" s="806">
        <f t="shared" si="3"/>
        <v>2.2175468999596708E-2</v>
      </c>
      <c r="H36" s="804">
        <v>6064</v>
      </c>
      <c r="I36" s="805">
        <v>5882920.3499999987</v>
      </c>
      <c r="J36" s="804">
        <v>144</v>
      </c>
      <c r="K36" s="805">
        <v>146798.26999999999</v>
      </c>
      <c r="L36" s="806">
        <f t="shared" si="4"/>
        <v>2.4953298917263094E-2</v>
      </c>
      <c r="M36" s="811">
        <v>6064</v>
      </c>
      <c r="N36" s="808">
        <v>6784410.8700000001</v>
      </c>
      <c r="O36" s="809">
        <f t="shared" si="5"/>
        <v>139</v>
      </c>
      <c r="P36" s="809">
        <f t="shared" si="6"/>
        <v>169293.43241663897</v>
      </c>
    </row>
    <row r="37" spans="1:16" ht="14">
      <c r="A37" s="1674"/>
      <c r="B37" s="803" t="s">
        <v>1177</v>
      </c>
      <c r="C37" s="804">
        <v>34</v>
      </c>
      <c r="D37" s="805">
        <v>41215.449999999997</v>
      </c>
      <c r="E37" s="804">
        <v>2</v>
      </c>
      <c r="F37" s="805">
        <v>2424.44</v>
      </c>
      <c r="G37" s="806">
        <f t="shared" si="3"/>
        <v>5.8823572228375531E-2</v>
      </c>
      <c r="H37" s="804">
        <v>200</v>
      </c>
      <c r="I37" s="805">
        <v>275880.62</v>
      </c>
      <c r="J37" s="804">
        <v>11</v>
      </c>
      <c r="K37" s="805">
        <v>15173.43</v>
      </c>
      <c r="L37" s="806">
        <f t="shared" si="4"/>
        <v>5.4999985138499401E-2</v>
      </c>
      <c r="M37" s="811">
        <v>200</v>
      </c>
      <c r="N37" s="808">
        <v>317484.62</v>
      </c>
      <c r="O37" s="809">
        <f t="shared" si="5"/>
        <v>5</v>
      </c>
      <c r="P37" s="809">
        <f t="shared" si="6"/>
        <v>17461.649381702129</v>
      </c>
    </row>
    <row r="38" spans="1:16" ht="14">
      <c r="A38" s="1674"/>
      <c r="B38" s="803" t="s">
        <v>1178</v>
      </c>
      <c r="C38" s="804">
        <v>10742</v>
      </c>
      <c r="D38" s="805">
        <v>11264661.449999999</v>
      </c>
      <c r="E38" s="804">
        <v>211</v>
      </c>
      <c r="F38" s="805">
        <v>204133.72999999998</v>
      </c>
      <c r="G38" s="806">
        <f t="shared" si="3"/>
        <v>1.8121603645709208E-2</v>
      </c>
      <c r="H38" s="804">
        <v>10182</v>
      </c>
      <c r="I38" s="805">
        <v>11822982.140000001</v>
      </c>
      <c r="J38" s="804">
        <v>184</v>
      </c>
      <c r="K38" s="805">
        <v>208796.59000000003</v>
      </c>
      <c r="L38" s="806">
        <f t="shared" si="4"/>
        <v>1.7660230517780349E-2</v>
      </c>
      <c r="M38" s="811">
        <v>10182</v>
      </c>
      <c r="N38" s="808">
        <v>13517320.150000002</v>
      </c>
      <c r="O38" s="809">
        <f t="shared" si="5"/>
        <v>234</v>
      </c>
      <c r="P38" s="809">
        <f t="shared" si="6"/>
        <v>238718.98983163727</v>
      </c>
    </row>
    <row r="39" spans="1:16" ht="14">
      <c r="A39" s="1674"/>
      <c r="B39" s="803" t="s">
        <v>1179</v>
      </c>
      <c r="C39" s="804">
        <v>393</v>
      </c>
      <c r="D39" s="805">
        <v>516692.29000000004</v>
      </c>
      <c r="E39" s="804">
        <v>8</v>
      </c>
      <c r="F39" s="805">
        <v>11397.42</v>
      </c>
      <c r="G39" s="806">
        <f t="shared" si="3"/>
        <v>2.2058428624897809E-2</v>
      </c>
      <c r="H39" s="804">
        <v>405</v>
      </c>
      <c r="I39" s="805">
        <v>566215.1</v>
      </c>
      <c r="J39" s="804">
        <v>11</v>
      </c>
      <c r="K39" s="805">
        <v>15897.75</v>
      </c>
      <c r="L39" s="806">
        <f t="shared" si="4"/>
        <v>2.8077227188042144E-2</v>
      </c>
      <c r="M39" s="811">
        <v>405</v>
      </c>
      <c r="N39" s="808">
        <v>632175.72</v>
      </c>
      <c r="O39" s="809">
        <f t="shared" si="5"/>
        <v>9</v>
      </c>
      <c r="P39" s="809">
        <f t="shared" si="6"/>
        <v>17749.741313204118</v>
      </c>
    </row>
    <row r="40" spans="1:16" ht="14">
      <c r="A40" s="1674"/>
      <c r="B40" s="803" t="s">
        <v>1180</v>
      </c>
      <c r="C40" s="804">
        <v>57</v>
      </c>
      <c r="D40" s="805">
        <v>61596.95</v>
      </c>
      <c r="E40" s="804">
        <v>1</v>
      </c>
      <c r="F40" s="805">
        <v>1080.6500000000001</v>
      </c>
      <c r="G40" s="806">
        <f t="shared" si="3"/>
        <v>1.7543888130824661E-2</v>
      </c>
      <c r="H40" s="804">
        <v>54</v>
      </c>
      <c r="I40" s="805">
        <v>62445.89</v>
      </c>
      <c r="J40" s="804">
        <v>2</v>
      </c>
      <c r="K40" s="805">
        <v>2312.81</v>
      </c>
      <c r="L40" s="806">
        <f t="shared" si="4"/>
        <v>3.7037025174915437E-2</v>
      </c>
      <c r="M40" s="811">
        <v>54</v>
      </c>
      <c r="N40" s="808">
        <v>73020.27</v>
      </c>
      <c r="O40" s="809">
        <f t="shared" si="5"/>
        <v>1</v>
      </c>
      <c r="P40" s="809">
        <f t="shared" si="6"/>
        <v>2704.4535782691228</v>
      </c>
    </row>
    <row r="41" spans="1:16" ht="14">
      <c r="A41" s="1674"/>
      <c r="B41" s="812" t="s">
        <v>1181</v>
      </c>
      <c r="C41" s="813">
        <f>SUM(C31:C40)</f>
        <v>29019</v>
      </c>
      <c r="D41" s="814">
        <f>SUM(D31:D40)</f>
        <v>31229952.790000279</v>
      </c>
      <c r="E41" s="813">
        <f>SUM(E31:E40)</f>
        <v>845</v>
      </c>
      <c r="F41" s="814">
        <f>SUM(F31:F40)</f>
        <v>728051.50000000233</v>
      </c>
      <c r="G41" s="815">
        <f>F41/D41</f>
        <v>2.331260328491825E-2</v>
      </c>
      <c r="H41" s="813">
        <f>SUM(H31:H40)</f>
        <v>26563</v>
      </c>
      <c r="I41" s="814">
        <f t="shared" ref="I41:K41" si="7">SUM(I31:I40)</f>
        <v>31012604.089999862</v>
      </c>
      <c r="J41" s="813">
        <f t="shared" si="7"/>
        <v>683</v>
      </c>
      <c r="K41" s="814">
        <f t="shared" si="7"/>
        <v>702332.64000000036</v>
      </c>
      <c r="L41" s="815">
        <f>K41/I41</f>
        <v>2.2646683843826915E-2</v>
      </c>
      <c r="M41" s="816">
        <f>SUM(M31:M40)</f>
        <v>27892</v>
      </c>
      <c r="N41" s="817">
        <f>SUM(N31:N40)</f>
        <v>39028287.630000003</v>
      </c>
      <c r="O41" s="818">
        <f>SUM(O31:O40)</f>
        <v>641</v>
      </c>
      <c r="P41" s="819">
        <f>SUM(P31:P40)</f>
        <v>894934.50078558642</v>
      </c>
    </row>
    <row r="42" spans="1:16">
      <c r="A42" s="706"/>
    </row>
    <row r="43" spans="1:16">
      <c r="A43" s="706"/>
    </row>
    <row r="44" spans="1:16" ht="65">
      <c r="A44" s="706"/>
      <c r="K44" s="382" t="s">
        <v>1182</v>
      </c>
      <c r="L44" s="382" t="s">
        <v>1183</v>
      </c>
      <c r="M44" s="382" t="s">
        <v>1184</v>
      </c>
    </row>
    <row r="45" spans="1:16">
      <c r="A45" s="706"/>
      <c r="K45" s="821">
        <f>ROUNDUP(F13+E22+P41,0)</f>
        <v>14993136</v>
      </c>
      <c r="L45" s="821">
        <f>ROUNDUP(G13+F22+P41,0)</f>
        <v>14993136</v>
      </c>
      <c r="M45" s="821">
        <f>ROUNDUP(H13+G22+P41,0)</f>
        <v>14993136</v>
      </c>
    </row>
    <row r="47" spans="1:16">
      <c r="E47" s="393"/>
    </row>
  </sheetData>
  <mergeCells count="17">
    <mergeCell ref="A25:J25"/>
    <mergeCell ref="G1:H1"/>
    <mergeCell ref="A3:F3"/>
    <mergeCell ref="A4:A5"/>
    <mergeCell ref="B4:B5"/>
    <mergeCell ref="C4:C5"/>
    <mergeCell ref="D4:D5"/>
    <mergeCell ref="E4:E5"/>
    <mergeCell ref="F4:F5"/>
    <mergeCell ref="G4:G5"/>
    <mergeCell ref="H4:H5"/>
    <mergeCell ref="A2:H2"/>
    <mergeCell ref="B29:B30"/>
    <mergeCell ref="C29:G29"/>
    <mergeCell ref="H29:L29"/>
    <mergeCell ref="M29:P29"/>
    <mergeCell ref="A31:A41"/>
  </mergeCell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510A9-072A-477B-9491-E5A308D586FA}">
  <dimension ref="A1:J23"/>
  <sheetViews>
    <sheetView zoomScale="73" zoomScaleNormal="73" workbookViewId="0">
      <selection activeCell="B27" sqref="B27"/>
    </sheetView>
  </sheetViews>
  <sheetFormatPr defaultColWidth="9.1796875" defaultRowHeight="13"/>
  <cols>
    <col min="1" max="1" width="22" style="1099" customWidth="1"/>
    <col min="2" max="2" width="21.54296875" style="1099" customWidth="1"/>
    <col min="3" max="3" width="18.81640625" style="1099" customWidth="1"/>
    <col min="4" max="4" width="39.26953125" style="1099" customWidth="1"/>
    <col min="5" max="5" width="18.26953125" style="1099" customWidth="1"/>
    <col min="6" max="7" width="12.453125" style="1099" customWidth="1"/>
    <col min="8" max="8" width="13" style="1099" customWidth="1"/>
    <col min="9" max="9" width="13.54296875" style="1099" customWidth="1"/>
    <col min="10" max="10" width="16.453125" style="1099" customWidth="1"/>
    <col min="11" max="16384" width="9.1796875" style="1099"/>
  </cols>
  <sheetData>
    <row r="1" spans="1:10">
      <c r="H1" s="1099" t="s">
        <v>1452</v>
      </c>
    </row>
    <row r="2" spans="1:10">
      <c r="A2" s="1099" t="s">
        <v>1421</v>
      </c>
    </row>
    <row r="4" spans="1:10" ht="65">
      <c r="A4" s="1152" t="s">
        <v>1422</v>
      </c>
      <c r="B4" s="1076" t="s">
        <v>1423</v>
      </c>
      <c r="C4" s="1076" t="s">
        <v>1424</v>
      </c>
      <c r="D4" s="1076" t="s">
        <v>1425</v>
      </c>
      <c r="E4" s="1076" t="s">
        <v>1426</v>
      </c>
      <c r="F4" s="1076" t="s">
        <v>1427</v>
      </c>
      <c r="G4" s="1076" t="s">
        <v>1428</v>
      </c>
      <c r="H4" s="1076" t="s">
        <v>1429</v>
      </c>
      <c r="I4" s="1076" t="s">
        <v>1430</v>
      </c>
      <c r="J4" s="1076" t="s">
        <v>540</v>
      </c>
    </row>
    <row r="5" spans="1:10">
      <c r="A5" s="1114" t="s">
        <v>1431</v>
      </c>
      <c r="B5" s="1080" t="s">
        <v>1432</v>
      </c>
      <c r="C5" s="1080" t="s">
        <v>1433</v>
      </c>
      <c r="D5" s="1080" t="s">
        <v>1434</v>
      </c>
      <c r="E5" s="1080" t="s">
        <v>1435</v>
      </c>
      <c r="F5" s="1080" t="s">
        <v>1434</v>
      </c>
      <c r="G5" s="1080" t="s">
        <v>1435</v>
      </c>
      <c r="H5" s="1080" t="s">
        <v>1435</v>
      </c>
      <c r="I5" s="1080" t="s">
        <v>1436</v>
      </c>
      <c r="J5" s="1079"/>
    </row>
    <row r="6" spans="1:10" ht="26">
      <c r="A6" s="1114" t="s">
        <v>1437</v>
      </c>
      <c r="B6" s="1080">
        <v>6</v>
      </c>
      <c r="C6" s="1080">
        <v>48</v>
      </c>
      <c r="D6" s="1080">
        <v>176</v>
      </c>
      <c r="E6" s="1080">
        <v>195</v>
      </c>
      <c r="F6" s="1080">
        <v>101</v>
      </c>
      <c r="G6" s="1080">
        <v>0</v>
      </c>
      <c r="H6" s="1080">
        <v>59</v>
      </c>
      <c r="I6" s="1080">
        <v>38</v>
      </c>
      <c r="J6" s="1079">
        <f>SUM(B6:I6)</f>
        <v>623</v>
      </c>
    </row>
    <row r="7" spans="1:10" ht="52">
      <c r="A7" s="1125" t="s">
        <v>1438</v>
      </c>
      <c r="B7" s="1113">
        <f t="shared" ref="B7:J7" si="0">B6*$E$22</f>
        <v>6601.14</v>
      </c>
      <c r="C7" s="1113">
        <f t="shared" si="0"/>
        <v>52809.120000000003</v>
      </c>
      <c r="D7" s="1113">
        <f t="shared" si="0"/>
        <v>193633.44</v>
      </c>
      <c r="E7" s="1113">
        <f t="shared" si="0"/>
        <v>214537.05000000002</v>
      </c>
      <c r="F7" s="1113">
        <f t="shared" si="0"/>
        <v>111119.19</v>
      </c>
      <c r="G7" s="1113">
        <f t="shared" si="0"/>
        <v>0</v>
      </c>
      <c r="H7" s="1113">
        <f t="shared" si="0"/>
        <v>64911.210000000006</v>
      </c>
      <c r="I7" s="1113">
        <f t="shared" si="0"/>
        <v>41807.22</v>
      </c>
      <c r="J7" s="1095">
        <f t="shared" si="0"/>
        <v>685418.37</v>
      </c>
    </row>
    <row r="8" spans="1:10" ht="65.5" thickBot="1">
      <c r="A8" s="1114" t="s">
        <v>1439</v>
      </c>
      <c r="B8" s="1130">
        <f>B6*0.5*$E$23</f>
        <v>251.25</v>
      </c>
      <c r="C8" s="1130">
        <f t="shared" ref="C8:J8" si="1">C6*0.5*$E$23</f>
        <v>2010</v>
      </c>
      <c r="D8" s="1130">
        <f t="shared" si="1"/>
        <v>7370</v>
      </c>
      <c r="E8" s="1130">
        <f t="shared" si="1"/>
        <v>8165.625</v>
      </c>
      <c r="F8" s="1130">
        <f t="shared" si="1"/>
        <v>4229.375</v>
      </c>
      <c r="G8" s="1113">
        <f t="shared" si="1"/>
        <v>0</v>
      </c>
      <c r="H8" s="1113">
        <f t="shared" si="1"/>
        <v>2470.625</v>
      </c>
      <c r="I8" s="1113">
        <f t="shared" si="1"/>
        <v>1591.25</v>
      </c>
      <c r="J8" s="1095">
        <f t="shared" si="1"/>
        <v>26088.125</v>
      </c>
    </row>
    <row r="9" spans="1:10" ht="13.5" thickBot="1">
      <c r="G9" s="1681" t="s">
        <v>1440</v>
      </c>
      <c r="H9" s="1682"/>
      <c r="I9" s="1682"/>
      <c r="J9" s="1118">
        <f>J7+J8</f>
        <v>711506.495</v>
      </c>
    </row>
    <row r="10" spans="1:10">
      <c r="A10" s="1686" t="s">
        <v>1441</v>
      </c>
      <c r="B10" s="1686"/>
      <c r="C10" s="1686"/>
      <c r="D10" s="1686"/>
      <c r="G10" s="1150"/>
      <c r="H10" s="1150"/>
      <c r="I10" s="1150"/>
      <c r="J10" s="1146"/>
    </row>
    <row r="11" spans="1:10" ht="13.5" thickBot="1">
      <c r="G11" s="1150"/>
      <c r="H11" s="1150"/>
      <c r="I11" s="1150"/>
      <c r="J11" s="1146"/>
    </row>
    <row r="12" spans="1:10" ht="65">
      <c r="A12" s="1142" t="s">
        <v>1442</v>
      </c>
      <c r="B12" s="1142" t="s">
        <v>1443</v>
      </c>
      <c r="C12" s="1114" t="s">
        <v>1438</v>
      </c>
      <c r="D12" s="1137" t="s">
        <v>1439</v>
      </c>
      <c r="E12" s="1132" t="s">
        <v>1444</v>
      </c>
      <c r="G12" s="1150"/>
      <c r="H12" s="1150"/>
      <c r="I12" s="1150"/>
      <c r="J12" s="1146"/>
    </row>
    <row r="13" spans="1:10" ht="13.5" thickBot="1">
      <c r="A13" s="1081">
        <v>3</v>
      </c>
      <c r="B13" s="1081">
        <v>12</v>
      </c>
      <c r="C13" s="1081">
        <f>B13*$E$22</f>
        <v>13202.28</v>
      </c>
      <c r="D13" s="1128">
        <f>B13*0.5*$E$23</f>
        <v>502.5</v>
      </c>
      <c r="E13" s="1100">
        <f>SUM(C13:D13)</f>
        <v>13704.78</v>
      </c>
      <c r="F13" s="1683"/>
      <c r="G13" s="1683"/>
      <c r="H13" s="1683"/>
      <c r="I13" s="1683"/>
      <c r="J13" s="1683"/>
    </row>
    <row r="14" spans="1:10">
      <c r="F14" s="1106"/>
      <c r="G14" s="1106"/>
      <c r="H14" s="1106"/>
      <c r="I14" s="1683"/>
      <c r="J14" s="1683"/>
    </row>
    <row r="15" spans="1:10" ht="13.5" thickBot="1">
      <c r="F15" s="1106"/>
      <c r="G15" s="1106"/>
      <c r="H15" s="1106"/>
      <c r="I15" s="1106"/>
      <c r="J15" s="1106"/>
    </row>
    <row r="16" spans="1:10" ht="65">
      <c r="A16" s="1122" t="s">
        <v>1445</v>
      </c>
      <c r="B16" s="1112" t="s">
        <v>1446</v>
      </c>
      <c r="C16" s="1148" t="s">
        <v>1453</v>
      </c>
      <c r="F16" s="1106"/>
      <c r="G16" s="1106"/>
      <c r="H16" s="1106"/>
      <c r="I16" s="1106"/>
      <c r="J16" s="1106"/>
    </row>
    <row r="17" spans="1:10" ht="13.5" thickBot="1">
      <c r="A17" s="1116">
        <f>J9</f>
        <v>711506.495</v>
      </c>
      <c r="B17" s="1104">
        <f>E13</f>
        <v>13704.78</v>
      </c>
      <c r="C17" s="1144">
        <f>SUM(A17:B17)</f>
        <v>725211.27500000002</v>
      </c>
      <c r="F17" s="1106"/>
      <c r="G17" s="1106"/>
      <c r="H17" s="1106"/>
      <c r="I17" s="1106"/>
      <c r="J17" s="1106"/>
    </row>
    <row r="18" spans="1:10">
      <c r="A18" s="1096"/>
      <c r="F18" s="1106"/>
      <c r="G18" s="1106"/>
      <c r="H18" s="1106"/>
      <c r="I18" s="1106"/>
      <c r="J18" s="1106"/>
    </row>
    <row r="19" spans="1:10">
      <c r="A19" s="1109"/>
      <c r="F19" s="1106"/>
      <c r="G19" s="1106"/>
      <c r="H19" s="1106"/>
      <c r="I19" s="1106"/>
      <c r="J19" s="1106"/>
    </row>
    <row r="20" spans="1:10">
      <c r="A20" s="1684" t="s">
        <v>415</v>
      </c>
      <c r="B20" s="1684" t="s">
        <v>1447</v>
      </c>
      <c r="C20" s="1684" t="s">
        <v>669</v>
      </c>
      <c r="D20" s="1684" t="s">
        <v>670</v>
      </c>
      <c r="E20" s="1687" t="s">
        <v>1448</v>
      </c>
    </row>
    <row r="21" spans="1:10">
      <c r="A21" s="1685"/>
      <c r="B21" s="1685"/>
      <c r="C21" s="1685"/>
      <c r="D21" s="1685"/>
      <c r="E21" s="1687"/>
    </row>
    <row r="22" spans="1:10" ht="40.5" customHeight="1">
      <c r="A22" s="1107">
        <v>3288</v>
      </c>
      <c r="B22" s="1107" t="s">
        <v>1449</v>
      </c>
      <c r="C22" s="1121">
        <v>50810</v>
      </c>
      <c r="D22" s="1156" t="s">
        <v>1450</v>
      </c>
      <c r="E22" s="1085">
        <v>1100.19</v>
      </c>
    </row>
    <row r="23" spans="1:10" ht="26">
      <c r="A23" s="1107">
        <v>3289</v>
      </c>
      <c r="B23" s="1107" t="s">
        <v>1449</v>
      </c>
      <c r="C23" s="1121">
        <v>50811</v>
      </c>
      <c r="D23" s="1156" t="s">
        <v>1451</v>
      </c>
      <c r="E23" s="1085">
        <v>83.75</v>
      </c>
    </row>
  </sheetData>
  <mergeCells count="10">
    <mergeCell ref="G9:I9"/>
    <mergeCell ref="F13:H13"/>
    <mergeCell ref="I13:I14"/>
    <mergeCell ref="A20:A21"/>
    <mergeCell ref="J13:J14"/>
    <mergeCell ref="A10:D10"/>
    <mergeCell ref="B20:B21"/>
    <mergeCell ref="C20:C21"/>
    <mergeCell ref="D20:D21"/>
    <mergeCell ref="E20:E2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8DEBB-D459-485E-91E5-2F705B90B411}">
  <dimension ref="A1:Y95"/>
  <sheetViews>
    <sheetView topLeftCell="A49" zoomScale="57" zoomScaleNormal="57" workbookViewId="0">
      <selection activeCell="H95" sqref="H95"/>
    </sheetView>
  </sheetViews>
  <sheetFormatPr defaultColWidth="11.54296875" defaultRowHeight="13"/>
  <cols>
    <col min="1" max="1" width="28.1796875" style="1278" customWidth="1"/>
    <col min="2" max="2" width="8" style="1278" customWidth="1"/>
    <col min="3" max="3" width="70.54296875" style="922" customWidth="1"/>
    <col min="4" max="4" width="13" style="922" customWidth="1"/>
    <col min="5" max="5" width="13.7265625" style="922" customWidth="1"/>
    <col min="6" max="6" width="14" style="922" customWidth="1"/>
    <col min="7" max="7" width="18.81640625" style="922" customWidth="1"/>
    <col min="8" max="8" width="15.54296875" style="922" customWidth="1"/>
    <col min="9" max="9" width="20" style="1278" customWidth="1"/>
    <col min="10" max="10" width="13.54296875" style="1278" customWidth="1"/>
    <col min="11" max="11" width="11.1796875" style="1278" customWidth="1"/>
    <col min="12" max="12" width="12.26953125" style="1278" customWidth="1"/>
    <col min="13" max="13" width="9.7265625" style="1278" customWidth="1"/>
    <col min="14" max="14" width="10.81640625" style="1278" customWidth="1"/>
    <col min="15" max="15" width="11.81640625" style="1278" customWidth="1"/>
    <col min="16" max="16" width="14.1796875" style="1278" customWidth="1"/>
    <col min="17" max="17" width="14.7265625" style="1278" customWidth="1"/>
    <col min="18" max="18" width="9.1796875" style="1278" customWidth="1"/>
    <col min="19" max="19" width="12.54296875" style="1278" customWidth="1"/>
    <col min="20" max="20" width="10.54296875" style="1278" customWidth="1"/>
    <col min="21" max="22" width="15.7265625" style="1278" customWidth="1"/>
    <col min="23" max="23" width="24.26953125" style="1278" customWidth="1"/>
    <col min="24" max="16384" width="11.54296875" style="1278"/>
  </cols>
  <sheetData>
    <row r="1" spans="1:25">
      <c r="V1" s="1717" t="s">
        <v>1333</v>
      </c>
      <c r="W1" s="1717"/>
      <c r="X1" s="1717"/>
    </row>
    <row r="2" spans="1:25">
      <c r="B2" s="1279" t="str">
        <f>'[1]Krūts rekonstruktīvā ķirurģija'!D5</f>
        <v>Papildu finansējuma nodrošinājums krūts rekonstruktīvajai ķirurģijai</v>
      </c>
      <c r="C2" s="1278"/>
      <c r="D2" s="333"/>
      <c r="E2" s="333"/>
      <c r="F2" s="333"/>
      <c r="G2" s="333"/>
    </row>
    <row r="3" spans="1:25">
      <c r="C3" s="333"/>
      <c r="D3" s="333"/>
      <c r="E3" s="333"/>
      <c r="F3" s="333"/>
      <c r="G3" s="333"/>
    </row>
    <row r="5" spans="1:25" ht="39">
      <c r="B5" s="484"/>
      <c r="C5" s="484"/>
      <c r="D5" s="484"/>
      <c r="E5" s="484"/>
      <c r="F5" s="484"/>
      <c r="G5" s="1260" t="s">
        <v>640</v>
      </c>
      <c r="H5" s="1260" t="s">
        <v>641</v>
      </c>
      <c r="I5" s="1260" t="s">
        <v>695</v>
      </c>
      <c r="J5" s="1688" t="s">
        <v>642</v>
      </c>
      <c r="K5" s="487"/>
      <c r="L5" s="484"/>
      <c r="M5" s="484"/>
      <c r="N5" s="484"/>
      <c r="O5" s="1690" t="s">
        <v>696</v>
      </c>
      <c r="P5" s="1690" t="s">
        <v>697</v>
      </c>
      <c r="Q5" s="1690" t="s">
        <v>698</v>
      </c>
      <c r="R5" s="484"/>
      <c r="S5" s="333"/>
      <c r="T5" s="333"/>
      <c r="U5" s="333"/>
      <c r="V5" s="333"/>
      <c r="W5" s="333"/>
      <c r="X5" s="333"/>
      <c r="Y5" s="333"/>
    </row>
    <row r="6" spans="1:25">
      <c r="B6" s="484"/>
      <c r="C6" s="484"/>
      <c r="D6" s="484"/>
      <c r="E6" s="484"/>
      <c r="F6" s="485" t="s">
        <v>644</v>
      </c>
      <c r="G6" s="490">
        <v>1862</v>
      </c>
      <c r="H6" s="490">
        <v>1117</v>
      </c>
      <c r="I6" s="490">
        <v>745</v>
      </c>
      <c r="J6" s="1689"/>
      <c r="K6" s="484"/>
      <c r="L6" s="484"/>
      <c r="M6" s="484"/>
      <c r="N6" s="484"/>
      <c r="O6" s="1691"/>
      <c r="P6" s="1691"/>
      <c r="Q6" s="1691"/>
      <c r="R6" s="484"/>
      <c r="S6" s="333"/>
      <c r="T6" s="333"/>
      <c r="U6" s="333"/>
      <c r="V6" s="333"/>
      <c r="W6" s="333"/>
      <c r="X6" s="333"/>
      <c r="Y6" s="333"/>
    </row>
    <row r="7" spans="1:25">
      <c r="B7" s="484"/>
      <c r="C7" s="484"/>
      <c r="D7" s="484"/>
      <c r="E7" s="484"/>
      <c r="F7" s="485" t="s">
        <v>646</v>
      </c>
      <c r="G7" s="490">
        <f>ROUND(G6/9600,4)</f>
        <v>0.19400000000000001</v>
      </c>
      <c r="H7" s="490">
        <f t="shared" ref="H7" si="0">ROUND(H6/9600,4)</f>
        <v>0.1164</v>
      </c>
      <c r="I7" s="490">
        <f>ROUND(I6/9600,4)</f>
        <v>7.7600000000000002E-2</v>
      </c>
      <c r="J7" s="490">
        <v>0.2359</v>
      </c>
      <c r="K7" s="484"/>
      <c r="L7" s="484"/>
      <c r="M7" s="484"/>
      <c r="N7" s="485" t="s">
        <v>699</v>
      </c>
      <c r="O7" s="490">
        <v>0.31330000000000002</v>
      </c>
      <c r="P7" s="490">
        <v>2.5100000000000001E-2</v>
      </c>
      <c r="Q7" s="490">
        <v>4.0099999999999997E-2</v>
      </c>
      <c r="R7" s="484"/>
      <c r="S7" s="333"/>
      <c r="T7" s="333"/>
      <c r="U7" s="333"/>
      <c r="V7" s="333"/>
      <c r="W7" s="333"/>
      <c r="X7" s="333"/>
      <c r="Y7" s="333"/>
    </row>
    <row r="8" spans="1:25">
      <c r="B8" s="484"/>
      <c r="C8" s="484"/>
      <c r="D8" s="484"/>
      <c r="E8" s="484"/>
      <c r="F8" s="484"/>
      <c r="G8" s="484"/>
      <c r="H8" s="484"/>
      <c r="I8" s="484"/>
      <c r="J8" s="484"/>
      <c r="K8" s="484"/>
      <c r="L8" s="484"/>
      <c r="M8" s="484"/>
      <c r="N8" s="484"/>
      <c r="O8" s="484"/>
      <c r="P8" s="484"/>
      <c r="Q8" s="484"/>
      <c r="R8" s="484"/>
      <c r="S8" s="333"/>
      <c r="T8" s="333"/>
      <c r="U8" s="333"/>
      <c r="V8" s="333"/>
      <c r="W8" s="333"/>
      <c r="X8" s="333"/>
      <c r="Y8" s="333"/>
    </row>
    <row r="9" spans="1:25">
      <c r="B9" s="1690" t="s">
        <v>669</v>
      </c>
      <c r="C9" s="1690" t="s">
        <v>670</v>
      </c>
      <c r="D9" s="1694" t="s">
        <v>700</v>
      </c>
      <c r="E9" s="1695"/>
      <c r="F9" s="1695"/>
      <c r="G9" s="1695"/>
      <c r="H9" s="1695"/>
      <c r="I9" s="1695"/>
      <c r="J9" s="1695"/>
      <c r="K9" s="1695"/>
      <c r="L9" s="1695"/>
      <c r="M9" s="1696"/>
      <c r="N9" s="1695"/>
      <c r="O9" s="1695"/>
      <c r="P9" s="1695"/>
      <c r="Q9" s="1696"/>
      <c r="R9" s="1690" t="s">
        <v>1280</v>
      </c>
      <c r="S9" s="401"/>
      <c r="T9" s="401"/>
      <c r="U9" s="401"/>
      <c r="V9" s="401"/>
      <c r="W9" s="401"/>
      <c r="X9" s="333"/>
      <c r="Y9" s="333"/>
    </row>
    <row r="10" spans="1:25" ht="52">
      <c r="B10" s="1692"/>
      <c r="C10" s="1692"/>
      <c r="D10" s="1694" t="s">
        <v>704</v>
      </c>
      <c r="E10" s="1695"/>
      <c r="F10" s="1696"/>
      <c r="G10" s="1694" t="s">
        <v>705</v>
      </c>
      <c r="H10" s="1695"/>
      <c r="I10" s="1696"/>
      <c r="J10" s="1260" t="s">
        <v>638</v>
      </c>
      <c r="K10" s="1694" t="s">
        <v>706</v>
      </c>
      <c r="L10" s="1695"/>
      <c r="M10" s="1696"/>
      <c r="N10" s="1690" t="s">
        <v>707</v>
      </c>
      <c r="O10" s="1690" t="s">
        <v>708</v>
      </c>
      <c r="P10" s="1690" t="s">
        <v>709</v>
      </c>
      <c r="Q10" s="1690" t="s">
        <v>710</v>
      </c>
      <c r="R10" s="1692"/>
      <c r="S10" s="1698" t="s">
        <v>1281</v>
      </c>
      <c r="T10" s="1698" t="s">
        <v>1282</v>
      </c>
      <c r="U10" s="1699" t="s">
        <v>776</v>
      </c>
      <c r="V10" s="1700"/>
      <c r="W10" s="1701" t="s">
        <v>1283</v>
      </c>
      <c r="X10" s="333"/>
      <c r="Y10" s="333"/>
    </row>
    <row r="11" spans="1:25" ht="39">
      <c r="B11" s="1693"/>
      <c r="C11" s="1693"/>
      <c r="D11" s="1260" t="s">
        <v>711</v>
      </c>
      <c r="E11" s="1260" t="s">
        <v>712</v>
      </c>
      <c r="F11" s="1260" t="s">
        <v>713</v>
      </c>
      <c r="G11" s="1260" t="s">
        <v>711</v>
      </c>
      <c r="H11" s="1260" t="s">
        <v>712</v>
      </c>
      <c r="I11" s="1260" t="s">
        <v>714</v>
      </c>
      <c r="J11" s="1260" t="s">
        <v>715</v>
      </c>
      <c r="K11" s="1260" t="s">
        <v>716</v>
      </c>
      <c r="L11" s="1280" t="s">
        <v>717</v>
      </c>
      <c r="M11" s="1260" t="s">
        <v>718</v>
      </c>
      <c r="N11" s="1693"/>
      <c r="O11" s="1693"/>
      <c r="P11" s="1693"/>
      <c r="Q11" s="1693"/>
      <c r="R11" s="1693"/>
      <c r="S11" s="1698"/>
      <c r="T11" s="1698"/>
      <c r="U11" s="422" t="s">
        <v>782</v>
      </c>
      <c r="V11" s="422" t="s">
        <v>1172</v>
      </c>
      <c r="W11" s="1701"/>
      <c r="X11" s="333"/>
      <c r="Y11" s="333"/>
    </row>
    <row r="12" spans="1:25" ht="33.75" customHeight="1">
      <c r="A12" s="1702" t="s">
        <v>1286</v>
      </c>
      <c r="B12" s="1281">
        <v>21047</v>
      </c>
      <c r="C12" s="1282" t="s">
        <v>1529</v>
      </c>
      <c r="D12" s="1283">
        <v>540</v>
      </c>
      <c r="E12" s="1283">
        <v>180</v>
      </c>
      <c r="F12" s="1283">
        <v>0</v>
      </c>
      <c r="G12" s="1284">
        <f>ROUND((D12*$G$7),2)</f>
        <v>104.76</v>
      </c>
      <c r="H12" s="1284">
        <f>ROUND((E12*$H$7),2)</f>
        <v>20.95</v>
      </c>
      <c r="I12" s="1284">
        <f>ROUND((F12*$I$7),2)</f>
        <v>0</v>
      </c>
      <c r="J12" s="1284">
        <f>ROUND(((G12+H12+I12)*$J$7),2)</f>
        <v>29.65</v>
      </c>
      <c r="K12" s="1285">
        <f t="shared" ref="K12:K13" si="1">SUM(L12:M12)</f>
        <v>175.5</v>
      </c>
      <c r="L12" s="1285">
        <v>24.3</v>
      </c>
      <c r="M12" s="1285">
        <v>151.19999999999999</v>
      </c>
      <c r="N12" s="1284">
        <v>19.66</v>
      </c>
      <c r="O12" s="1284">
        <f>ROUND((G12+H12+I12)*$O$7,2)</f>
        <v>39.380000000000003</v>
      </c>
      <c r="P12" s="1284">
        <f>ROUND((G12+H12+I12)*$P$7,2)</f>
        <v>3.16</v>
      </c>
      <c r="Q12" s="1284">
        <f>ROUND((G12+H12+I12)*$Q$7,2)</f>
        <v>5.04</v>
      </c>
      <c r="R12" s="1285">
        <f>G12+H12+I12+J12+K12+N12+O12+P12+Q12</f>
        <v>398.10000000000008</v>
      </c>
      <c r="S12" s="1286">
        <v>276.69</v>
      </c>
      <c r="T12" s="1286">
        <f t="shared" ref="T12:T15" si="2">R12-S12</f>
        <v>121.41000000000008</v>
      </c>
      <c r="U12" s="1286"/>
      <c r="V12" s="1287">
        <v>600</v>
      </c>
      <c r="W12" s="1288">
        <f>V12*S12</f>
        <v>166014</v>
      </c>
      <c r="X12" s="333"/>
      <c r="Y12" s="1289"/>
    </row>
    <row r="13" spans="1:25" ht="51.75" customHeight="1">
      <c r="A13" s="1703"/>
      <c r="B13" s="1281">
        <v>23047</v>
      </c>
      <c r="C13" s="1282" t="s">
        <v>1287</v>
      </c>
      <c r="D13" s="1283">
        <v>360</v>
      </c>
      <c r="E13" s="1283">
        <v>180</v>
      </c>
      <c r="F13" s="1283">
        <v>0</v>
      </c>
      <c r="G13" s="1284">
        <f t="shared" ref="G13:G15" si="3">ROUND((D13*$G$7),2)</f>
        <v>69.84</v>
      </c>
      <c r="H13" s="1284">
        <f t="shared" ref="H13:H15" si="4">ROUND((E13*$H$7),2)</f>
        <v>20.95</v>
      </c>
      <c r="I13" s="1284">
        <f t="shared" ref="I13:I15" si="5">ROUND((F13*$I$7),2)</f>
        <v>0</v>
      </c>
      <c r="J13" s="1284">
        <f t="shared" ref="J13:J15" si="6">ROUND(((G13+H13+I13)*$J$7),2)</f>
        <v>21.42</v>
      </c>
      <c r="K13" s="1285">
        <f t="shared" si="1"/>
        <v>90.03</v>
      </c>
      <c r="L13" s="1285">
        <v>0</v>
      </c>
      <c r="M13" s="1285">
        <v>90.03</v>
      </c>
      <c r="N13" s="1284">
        <v>23.14</v>
      </c>
      <c r="O13" s="1284">
        <f t="shared" ref="O13:O15" si="7">ROUND((G13+H13+I13)*$O$7,2)</f>
        <v>28.44</v>
      </c>
      <c r="P13" s="1284">
        <f t="shared" ref="P13:P15" si="8">ROUND((G13+H13+I13)*$P$7,2)</f>
        <v>2.2799999999999998</v>
      </c>
      <c r="Q13" s="1284">
        <f t="shared" ref="Q13:Q15" si="9">ROUND((G13+H13+I13)*$Q$7,2)</f>
        <v>3.64</v>
      </c>
      <c r="R13" s="1285">
        <f t="shared" ref="R13:R15" si="10">G13+H13+I13+J13+K13+N13+O13+P13+Q13</f>
        <v>259.73999999999995</v>
      </c>
      <c r="S13" s="1286">
        <v>229.89</v>
      </c>
      <c r="T13" s="1286">
        <f t="shared" si="2"/>
        <v>29.849999999999966</v>
      </c>
      <c r="U13" s="1286"/>
      <c r="V13" s="1287">
        <v>600</v>
      </c>
      <c r="W13" s="1288">
        <f>S13*V13</f>
        <v>137934</v>
      </c>
      <c r="X13" s="333"/>
      <c r="Y13" s="1289"/>
    </row>
    <row r="14" spans="1:25" ht="42.75" customHeight="1">
      <c r="A14" s="1703"/>
      <c r="B14" s="1281">
        <v>23067</v>
      </c>
      <c r="C14" s="1282" t="s">
        <v>1285</v>
      </c>
      <c r="D14" s="1283">
        <v>0</v>
      </c>
      <c r="E14" s="1283">
        <v>0</v>
      </c>
      <c r="F14" s="1283">
        <v>0</v>
      </c>
      <c r="G14" s="1284">
        <f t="shared" si="3"/>
        <v>0</v>
      </c>
      <c r="H14" s="1284">
        <f t="shared" si="4"/>
        <v>0</v>
      </c>
      <c r="I14" s="1284">
        <f t="shared" si="5"/>
        <v>0</v>
      </c>
      <c r="J14" s="1284">
        <f t="shared" si="6"/>
        <v>0</v>
      </c>
      <c r="K14" s="1285">
        <f>G33</f>
        <v>453.6</v>
      </c>
      <c r="L14" s="1285">
        <v>0</v>
      </c>
      <c r="M14" s="1285">
        <v>453.6</v>
      </c>
      <c r="N14" s="1284">
        <v>0</v>
      </c>
      <c r="O14" s="1284">
        <f t="shared" si="7"/>
        <v>0</v>
      </c>
      <c r="P14" s="1284">
        <f t="shared" si="8"/>
        <v>0</v>
      </c>
      <c r="Q14" s="1284">
        <f t="shared" si="9"/>
        <v>0</v>
      </c>
      <c r="R14" s="1285">
        <f t="shared" si="10"/>
        <v>453.6</v>
      </c>
      <c r="S14" s="1286">
        <v>303.88</v>
      </c>
      <c r="T14" s="1286">
        <f t="shared" si="2"/>
        <v>149.72000000000003</v>
      </c>
      <c r="U14" s="1286"/>
      <c r="V14" s="1287">
        <v>600</v>
      </c>
      <c r="W14" s="1288">
        <f>V14*T14</f>
        <v>89832.000000000015</v>
      </c>
      <c r="X14" s="333"/>
      <c r="Y14" s="1289"/>
    </row>
    <row r="15" spans="1:25" ht="53.25" customHeight="1">
      <c r="A15" s="1704"/>
      <c r="B15" s="1290" t="s">
        <v>1119</v>
      </c>
      <c r="C15" s="1282" t="s">
        <v>1288</v>
      </c>
      <c r="D15" s="1283">
        <v>0</v>
      </c>
      <c r="E15" s="1283">
        <v>0</v>
      </c>
      <c r="F15" s="1283">
        <v>0</v>
      </c>
      <c r="G15" s="1284">
        <f t="shared" si="3"/>
        <v>0</v>
      </c>
      <c r="H15" s="1284">
        <f t="shared" si="4"/>
        <v>0</v>
      </c>
      <c r="I15" s="1284">
        <f t="shared" si="5"/>
        <v>0</v>
      </c>
      <c r="J15" s="1284">
        <f t="shared" si="6"/>
        <v>0</v>
      </c>
      <c r="K15" s="1285">
        <f>I51</f>
        <v>448</v>
      </c>
      <c r="L15" s="1285">
        <v>0</v>
      </c>
      <c r="M15" s="1285">
        <v>448</v>
      </c>
      <c r="N15" s="1284">
        <v>0</v>
      </c>
      <c r="O15" s="1284">
        <f t="shared" si="7"/>
        <v>0</v>
      </c>
      <c r="P15" s="1284">
        <f t="shared" si="8"/>
        <v>0</v>
      </c>
      <c r="Q15" s="1284">
        <f t="shared" si="9"/>
        <v>0</v>
      </c>
      <c r="R15" s="1285">
        <f t="shared" si="10"/>
        <v>448</v>
      </c>
      <c r="S15" s="1286">
        <v>0</v>
      </c>
      <c r="T15" s="1286">
        <f t="shared" si="2"/>
        <v>448</v>
      </c>
      <c r="U15" s="1286"/>
      <c r="V15" s="1287">
        <v>600</v>
      </c>
      <c r="W15" s="1288">
        <f>V15*T15</f>
        <v>268800</v>
      </c>
      <c r="X15" s="333"/>
      <c r="Y15" s="1289"/>
    </row>
    <row r="16" spans="1:25">
      <c r="B16" s="1291"/>
      <c r="C16" s="1292"/>
      <c r="D16" s="1293"/>
      <c r="E16" s="1293"/>
      <c r="F16" s="1293"/>
      <c r="G16" s="1294"/>
      <c r="H16" s="1294"/>
      <c r="I16" s="1294"/>
      <c r="J16" s="1294"/>
      <c r="K16" s="1295"/>
      <c r="L16" s="1295"/>
      <c r="M16" s="1296"/>
      <c r="N16" s="1294"/>
      <c r="O16" s="1294"/>
      <c r="P16" s="1294"/>
      <c r="Q16" s="1294"/>
      <c r="R16" s="1295"/>
      <c r="S16" s="511"/>
      <c r="T16" s="1297"/>
      <c r="U16" s="1298"/>
      <c r="V16" s="511">
        <f>SUM(V12:V15)</f>
        <v>2400</v>
      </c>
      <c r="W16" s="1299"/>
      <c r="X16" s="333"/>
      <c r="Y16" s="1289"/>
    </row>
    <row r="17" spans="2:23">
      <c r="U17" s="1300"/>
      <c r="V17" s="1301"/>
    </row>
    <row r="18" spans="2:23">
      <c r="B18" s="1302" t="s">
        <v>1289</v>
      </c>
      <c r="C18" s="1302"/>
      <c r="D18" s="1302"/>
      <c r="E18" s="1302"/>
      <c r="F18" s="1303"/>
      <c r="G18" s="1303"/>
      <c r="H18" s="1302"/>
      <c r="I18" s="1302"/>
      <c r="J18" s="1302"/>
      <c r="K18" s="1302"/>
      <c r="L18" s="1303"/>
      <c r="M18" s="1303"/>
      <c r="N18" s="1302"/>
      <c r="O18" s="1302"/>
      <c r="P18" s="1302"/>
      <c r="Q18" s="1302"/>
      <c r="R18" s="1303"/>
      <c r="S18" s="1303"/>
      <c r="T18" s="1302"/>
      <c r="U18" s="1302"/>
      <c r="V18" s="1302"/>
      <c r="W18" s="1304">
        <f>SUM(W12:W15)</f>
        <v>662580</v>
      </c>
    </row>
    <row r="20" spans="2:23">
      <c r="B20" s="1279" t="s">
        <v>1290</v>
      </c>
      <c r="P20" s="1305"/>
    </row>
    <row r="21" spans="2:23">
      <c r="B21" s="1697" t="s">
        <v>1291</v>
      </c>
      <c r="C21" s="1697"/>
      <c r="D21" s="1697"/>
      <c r="E21" s="1697"/>
    </row>
    <row r="22" spans="2:23" ht="15" customHeight="1">
      <c r="B22" s="1709" t="s">
        <v>1530</v>
      </c>
      <c r="C22" s="1709"/>
      <c r="D22" s="1709"/>
      <c r="E22" s="1709"/>
    </row>
    <row r="23" spans="2:23">
      <c r="B23" s="1709"/>
      <c r="C23" s="1709"/>
      <c r="D23" s="1709"/>
      <c r="E23" s="1709"/>
    </row>
    <row r="24" spans="2:23">
      <c r="B24" s="1709"/>
      <c r="C24" s="1709"/>
      <c r="D24" s="1709"/>
      <c r="E24" s="1709"/>
    </row>
    <row r="25" spans="2:23">
      <c r="B25" s="1709"/>
      <c r="C25" s="1709"/>
      <c r="D25" s="1709"/>
      <c r="E25" s="1709"/>
    </row>
    <row r="26" spans="2:23">
      <c r="B26" s="1709"/>
      <c r="C26" s="1709"/>
      <c r="D26" s="1709"/>
      <c r="E26" s="1709"/>
    </row>
    <row r="27" spans="2:23">
      <c r="B27" s="1709"/>
      <c r="C27" s="1709"/>
      <c r="D27" s="1709"/>
      <c r="E27" s="1709"/>
    </row>
    <row r="28" spans="2:23">
      <c r="B28" s="1709"/>
      <c r="C28" s="1709"/>
      <c r="D28" s="1709"/>
      <c r="E28" s="1709"/>
    </row>
    <row r="29" spans="2:23">
      <c r="B29" s="1709"/>
      <c r="C29" s="1709"/>
      <c r="D29" s="1709"/>
      <c r="E29" s="1709"/>
    </row>
    <row r="30" spans="2:23">
      <c r="B30" s="1306"/>
      <c r="C30" s="1306"/>
      <c r="D30" s="1306"/>
      <c r="E30" s="1306"/>
    </row>
    <row r="31" spans="2:23">
      <c r="B31" s="1279" t="s">
        <v>1292</v>
      </c>
    </row>
    <row r="32" spans="2:23">
      <c r="B32" s="1710" t="s">
        <v>1293</v>
      </c>
      <c r="C32" s="1711"/>
      <c r="D32" s="1710" t="s">
        <v>1294</v>
      </c>
      <c r="E32" s="1711"/>
      <c r="F32" s="1307" t="s">
        <v>1295</v>
      </c>
      <c r="G32" s="1308" t="s">
        <v>1296</v>
      </c>
      <c r="I32" s="1309"/>
      <c r="J32" s="1309"/>
      <c r="K32" s="1309"/>
      <c r="L32" s="1310"/>
      <c r="M32" s="922"/>
    </row>
    <row r="33" spans="2:13">
      <c r="B33" s="1712" t="s">
        <v>1297</v>
      </c>
      <c r="C33" s="1713"/>
      <c r="D33" s="1712" t="s">
        <v>1298</v>
      </c>
      <c r="E33" s="1713"/>
      <c r="F33" s="1311">
        <v>405</v>
      </c>
      <c r="G33" s="1312">
        <v>453.6</v>
      </c>
      <c r="I33" s="1313"/>
      <c r="J33" s="1314"/>
      <c r="K33" s="1314"/>
      <c r="L33" s="1315"/>
      <c r="M33" s="922"/>
    </row>
    <row r="34" spans="2:13">
      <c r="B34" s="333"/>
      <c r="C34" s="333"/>
      <c r="D34" s="333"/>
      <c r="E34" s="1316"/>
      <c r="F34" s="333"/>
      <c r="I34" s="1310"/>
      <c r="J34" s="1310"/>
      <c r="K34" s="1317"/>
      <c r="L34" s="1310"/>
      <c r="M34" s="922"/>
    </row>
    <row r="35" spans="2:13">
      <c r="B35" s="333"/>
      <c r="C35" s="333"/>
      <c r="D35" s="333"/>
      <c r="E35" s="333"/>
      <c r="F35" s="333"/>
      <c r="I35" s="1310"/>
      <c r="J35" s="1310"/>
      <c r="K35" s="1310"/>
      <c r="L35" s="1310"/>
      <c r="M35" s="922"/>
    </row>
    <row r="36" spans="2:13">
      <c r="B36" s="1279" t="s">
        <v>1299</v>
      </c>
      <c r="C36" s="401"/>
      <c r="D36" s="401"/>
      <c r="E36" s="401"/>
      <c r="F36" s="401"/>
      <c r="I36" s="1318"/>
      <c r="J36" s="1318"/>
      <c r="K36" s="1318"/>
      <c r="L36" s="1318"/>
      <c r="M36" s="922"/>
    </row>
    <row r="37" spans="2:13">
      <c r="B37" s="1697" t="s">
        <v>1291</v>
      </c>
      <c r="C37" s="1697"/>
      <c r="D37" s="1697"/>
      <c r="E37" s="1697"/>
    </row>
    <row r="38" spans="2:13">
      <c r="B38" s="1709" t="s">
        <v>1300</v>
      </c>
      <c r="C38" s="1709"/>
      <c r="D38" s="1709"/>
      <c r="E38" s="1709"/>
    </row>
    <row r="39" spans="2:13">
      <c r="B39" s="1709"/>
      <c r="C39" s="1709"/>
      <c r="D39" s="1709"/>
      <c r="E39" s="1709"/>
    </row>
    <row r="40" spans="2:13">
      <c r="B40" s="1709"/>
      <c r="C40" s="1709"/>
      <c r="D40" s="1709"/>
      <c r="E40" s="1709"/>
    </row>
    <row r="41" spans="2:13">
      <c r="B41" s="1709"/>
      <c r="C41" s="1709"/>
      <c r="D41" s="1709"/>
      <c r="E41" s="1709"/>
    </row>
    <row r="42" spans="2:13">
      <c r="B42" s="1709"/>
      <c r="C42" s="1709"/>
      <c r="D42" s="1709"/>
      <c r="E42" s="1709"/>
    </row>
    <row r="43" spans="2:13">
      <c r="B43" s="1709"/>
      <c r="C43" s="1709"/>
      <c r="D43" s="1709"/>
      <c r="E43" s="1709"/>
    </row>
    <row r="44" spans="2:13">
      <c r="B44" s="1709"/>
      <c r="C44" s="1709"/>
      <c r="D44" s="1709"/>
      <c r="E44" s="1709"/>
    </row>
    <row r="45" spans="2:13">
      <c r="B45" s="1709"/>
      <c r="C45" s="1709"/>
      <c r="D45" s="1709"/>
      <c r="E45" s="1709"/>
    </row>
    <row r="46" spans="2:13">
      <c r="B46" s="1709"/>
      <c r="C46" s="1709"/>
      <c r="D46" s="1709"/>
      <c r="E46" s="1709"/>
    </row>
    <row r="47" spans="2:13">
      <c r="B47" s="1306"/>
      <c r="C47" s="1306"/>
    </row>
    <row r="48" spans="2:13">
      <c r="B48" s="1714" t="s">
        <v>1293</v>
      </c>
      <c r="C48" s="1715"/>
      <c r="D48" s="1716" t="s">
        <v>1301</v>
      </c>
      <c r="E48" s="1716"/>
      <c r="F48" s="1716"/>
      <c r="G48" s="1716" t="s">
        <v>1295</v>
      </c>
      <c r="H48" s="1716"/>
      <c r="I48" s="1716" t="s">
        <v>1296</v>
      </c>
      <c r="J48" s="1716"/>
    </row>
    <row r="49" spans="2:13">
      <c r="B49" s="1705" t="s">
        <v>1302</v>
      </c>
      <c r="C49" s="1706"/>
      <c r="D49" s="1707" t="s">
        <v>1303</v>
      </c>
      <c r="E49" s="1707"/>
      <c r="F49" s="1707"/>
      <c r="G49" s="1708">
        <v>355</v>
      </c>
      <c r="H49" s="1708"/>
      <c r="I49" s="1708">
        <v>397.6</v>
      </c>
      <c r="J49" s="1708"/>
    </row>
    <row r="50" spans="2:13">
      <c r="B50" s="1705" t="s">
        <v>1304</v>
      </c>
      <c r="C50" s="1706"/>
      <c r="D50" s="1707" t="s">
        <v>1303</v>
      </c>
      <c r="E50" s="1707"/>
      <c r="F50" s="1707"/>
      <c r="G50" s="1708">
        <v>390</v>
      </c>
      <c r="H50" s="1708"/>
      <c r="I50" s="1708">
        <v>436.8</v>
      </c>
      <c r="J50" s="1708"/>
      <c r="M50" s="400"/>
    </row>
    <row r="51" spans="2:13" ht="13.5">
      <c r="B51" s="1719" t="s">
        <v>1305</v>
      </c>
      <c r="C51" s="1720"/>
      <c r="D51" s="1721" t="s">
        <v>1303</v>
      </c>
      <c r="E51" s="1721"/>
      <c r="F51" s="1721"/>
      <c r="G51" s="1722">
        <v>400</v>
      </c>
      <c r="H51" s="1722"/>
      <c r="I51" s="1722">
        <v>448</v>
      </c>
      <c r="J51" s="1722"/>
      <c r="K51" s="923" t="s">
        <v>1306</v>
      </c>
      <c r="M51" s="1319"/>
    </row>
    <row r="52" spans="2:13">
      <c r="B52" s="1705" t="s">
        <v>1307</v>
      </c>
      <c r="C52" s="1706"/>
      <c r="D52" s="1707" t="s">
        <v>1303</v>
      </c>
      <c r="E52" s="1707"/>
      <c r="F52" s="1707"/>
      <c r="G52" s="1708">
        <v>420</v>
      </c>
      <c r="H52" s="1708"/>
      <c r="I52" s="1708">
        <v>470.4</v>
      </c>
      <c r="J52" s="1708"/>
      <c r="M52" s="1319"/>
    </row>
    <row r="55" spans="2:13">
      <c r="B55" s="1279" t="s">
        <v>1308</v>
      </c>
    </row>
    <row r="56" spans="2:13">
      <c r="B56" s="1697" t="s">
        <v>1291</v>
      </c>
      <c r="C56" s="1697"/>
      <c r="D56" s="1697"/>
      <c r="E56" s="1697"/>
    </row>
    <row r="57" spans="2:13">
      <c r="B57" s="1709" t="s">
        <v>1309</v>
      </c>
      <c r="C57" s="1709"/>
      <c r="D57" s="1709"/>
      <c r="E57" s="1709"/>
    </row>
    <row r="58" spans="2:13">
      <c r="B58" s="1709"/>
      <c r="C58" s="1709"/>
      <c r="D58" s="1709"/>
      <c r="E58" s="1709"/>
    </row>
    <row r="59" spans="2:13">
      <c r="B59" s="1709"/>
      <c r="C59" s="1709"/>
      <c r="D59" s="1709"/>
      <c r="E59" s="1709"/>
    </row>
    <row r="60" spans="2:13">
      <c r="B60" s="1709"/>
      <c r="C60" s="1709"/>
      <c r="D60" s="1709"/>
      <c r="E60" s="1709"/>
    </row>
    <row r="61" spans="2:13">
      <c r="B61" s="1709"/>
      <c r="C61" s="1709"/>
      <c r="D61" s="1709"/>
      <c r="E61" s="1709"/>
    </row>
    <row r="62" spans="2:13">
      <c r="B62" s="1709"/>
      <c r="C62" s="1709"/>
      <c r="D62" s="1709"/>
      <c r="E62" s="1709"/>
    </row>
    <row r="63" spans="2:13">
      <c r="B63" s="1709"/>
      <c r="C63" s="1709"/>
      <c r="D63" s="1709"/>
      <c r="E63" s="1709"/>
    </row>
    <row r="64" spans="2:13">
      <c r="B64" s="1709"/>
      <c r="C64" s="1709"/>
      <c r="D64" s="1709"/>
      <c r="E64" s="1709"/>
    </row>
    <row r="65" spans="2:9">
      <c r="B65" s="1709"/>
      <c r="C65" s="1709"/>
      <c r="D65" s="1709"/>
      <c r="E65" s="1709"/>
    </row>
    <row r="66" spans="2:9">
      <c r="B66" s="1709"/>
      <c r="C66" s="1709"/>
      <c r="D66" s="1709"/>
      <c r="E66" s="1709"/>
    </row>
    <row r="67" spans="2:9">
      <c r="B67" s="1709"/>
      <c r="C67" s="1709"/>
      <c r="D67" s="1709"/>
      <c r="E67" s="1709"/>
    </row>
    <row r="68" spans="2:9" ht="69" customHeight="1">
      <c r="B68" s="1709"/>
      <c r="C68" s="1709"/>
      <c r="D68" s="1709"/>
      <c r="E68" s="1709"/>
    </row>
    <row r="71" spans="2:9">
      <c r="B71" s="1718" t="s">
        <v>1310</v>
      </c>
      <c r="C71" s="1718"/>
      <c r="D71" s="1718"/>
      <c r="E71" s="1718"/>
      <c r="I71" s="922"/>
    </row>
    <row r="72" spans="2:9" ht="39">
      <c r="B72" s="450" t="s">
        <v>669</v>
      </c>
      <c r="C72" s="448" t="s">
        <v>670</v>
      </c>
      <c r="D72" s="450" t="s">
        <v>1311</v>
      </c>
      <c r="E72" s="450" t="s">
        <v>1312</v>
      </c>
      <c r="F72" s="450" t="s">
        <v>1313</v>
      </c>
      <c r="G72" s="450" t="s">
        <v>1314</v>
      </c>
      <c r="H72" s="450" t="s">
        <v>1315</v>
      </c>
      <c r="I72" s="450" t="s">
        <v>1316</v>
      </c>
    </row>
    <row r="73" spans="2:9">
      <c r="B73" s="925">
        <v>29205</v>
      </c>
      <c r="C73" s="926" t="s">
        <v>1317</v>
      </c>
      <c r="D73" s="927">
        <v>118.37</v>
      </c>
      <c r="E73" s="928">
        <v>1954</v>
      </c>
      <c r="F73" s="929">
        <f>D73*E73</f>
        <v>231294.98</v>
      </c>
      <c r="G73" s="930">
        <f>D73*1.14</f>
        <v>134.9418</v>
      </c>
      <c r="H73" s="929">
        <f>G73*E73</f>
        <v>263676.27720000001</v>
      </c>
      <c r="I73" s="929">
        <f>H73-F73</f>
        <v>32381.297200000001</v>
      </c>
    </row>
    <row r="74" spans="2:9" ht="39">
      <c r="B74" s="925">
        <v>29151</v>
      </c>
      <c r="C74" s="926" t="s">
        <v>1318</v>
      </c>
      <c r="D74" s="927">
        <v>170.54</v>
      </c>
      <c r="E74" s="928">
        <v>82</v>
      </c>
      <c r="F74" s="929">
        <f t="shared" ref="F74:F88" si="11">D74*E74</f>
        <v>13984.279999999999</v>
      </c>
      <c r="G74" s="930">
        <f>D74*1.1</f>
        <v>187.59399999999999</v>
      </c>
      <c r="H74" s="929">
        <f t="shared" ref="H74:H88" si="12">G74*E74</f>
        <v>15382.707999999999</v>
      </c>
      <c r="I74" s="929">
        <f t="shared" ref="I74:I88" si="13">H74-F74</f>
        <v>1398.4279999999999</v>
      </c>
    </row>
    <row r="75" spans="2:9">
      <c r="B75" s="925">
        <v>29146</v>
      </c>
      <c r="C75" s="926" t="s">
        <v>1319</v>
      </c>
      <c r="D75" s="927">
        <v>118.36</v>
      </c>
      <c r="E75" s="928">
        <v>52</v>
      </c>
      <c r="F75" s="929">
        <f t="shared" si="11"/>
        <v>6154.72</v>
      </c>
      <c r="G75" s="930">
        <f t="shared" ref="G75:G88" si="14">D75*1.1</f>
        <v>130.196</v>
      </c>
      <c r="H75" s="929">
        <f t="shared" si="12"/>
        <v>6770.192</v>
      </c>
      <c r="I75" s="929">
        <f t="shared" si="13"/>
        <v>615.47199999999975</v>
      </c>
    </row>
    <row r="76" spans="2:9">
      <c r="B76" s="925">
        <v>29171</v>
      </c>
      <c r="C76" s="926" t="s">
        <v>1320</v>
      </c>
      <c r="D76" s="927">
        <v>105.03</v>
      </c>
      <c r="E76" s="928">
        <v>40</v>
      </c>
      <c r="F76" s="929">
        <f t="shared" si="11"/>
        <v>4201.2</v>
      </c>
      <c r="G76" s="930">
        <f t="shared" si="14"/>
        <v>115.53300000000002</v>
      </c>
      <c r="H76" s="929">
        <f t="shared" si="12"/>
        <v>4621.3200000000006</v>
      </c>
      <c r="I76" s="929">
        <f t="shared" si="13"/>
        <v>420.1200000000008</v>
      </c>
    </row>
    <row r="77" spans="2:9">
      <c r="B77" s="925">
        <v>29181</v>
      </c>
      <c r="C77" s="926" t="s">
        <v>1321</v>
      </c>
      <c r="D77" s="927">
        <v>131.11000000000001</v>
      </c>
      <c r="E77" s="928">
        <v>40</v>
      </c>
      <c r="F77" s="929">
        <f t="shared" si="11"/>
        <v>5244.4000000000005</v>
      </c>
      <c r="G77" s="930">
        <f t="shared" si="14"/>
        <v>144.22100000000003</v>
      </c>
      <c r="H77" s="929">
        <f t="shared" si="12"/>
        <v>5768.8400000000011</v>
      </c>
      <c r="I77" s="929">
        <f t="shared" si="13"/>
        <v>524.44000000000051</v>
      </c>
    </row>
    <row r="78" spans="2:9">
      <c r="B78" s="925">
        <v>29206</v>
      </c>
      <c r="C78" s="926" t="s">
        <v>1322</v>
      </c>
      <c r="D78" s="927">
        <v>144.19999999999999</v>
      </c>
      <c r="E78" s="928">
        <v>18</v>
      </c>
      <c r="F78" s="929">
        <f t="shared" si="11"/>
        <v>2595.6</v>
      </c>
      <c r="G78" s="930">
        <f t="shared" si="14"/>
        <v>158.62</v>
      </c>
      <c r="H78" s="929">
        <f t="shared" si="12"/>
        <v>2855.16</v>
      </c>
      <c r="I78" s="929">
        <f t="shared" si="13"/>
        <v>259.55999999999995</v>
      </c>
    </row>
    <row r="79" spans="2:9">
      <c r="B79" s="925">
        <v>29235</v>
      </c>
      <c r="C79" s="926" t="s">
        <v>1323</v>
      </c>
      <c r="D79" s="927">
        <v>105.03</v>
      </c>
      <c r="E79" s="928">
        <v>7</v>
      </c>
      <c r="F79" s="929">
        <f t="shared" si="11"/>
        <v>735.21</v>
      </c>
      <c r="G79" s="930">
        <f t="shared" si="14"/>
        <v>115.53300000000002</v>
      </c>
      <c r="H79" s="929">
        <f t="shared" si="12"/>
        <v>808.73100000000011</v>
      </c>
      <c r="I79" s="929">
        <f t="shared" si="13"/>
        <v>73.521000000000072</v>
      </c>
    </row>
    <row r="80" spans="2:9" ht="26">
      <c r="B80" s="925">
        <v>29174</v>
      </c>
      <c r="C80" s="926" t="s">
        <v>1324</v>
      </c>
      <c r="D80" s="927">
        <v>170.27</v>
      </c>
      <c r="E80" s="928">
        <v>3</v>
      </c>
      <c r="F80" s="929">
        <f t="shared" si="11"/>
        <v>510.81000000000006</v>
      </c>
      <c r="G80" s="930">
        <f t="shared" si="14"/>
        <v>187.29700000000003</v>
      </c>
      <c r="H80" s="929">
        <f t="shared" si="12"/>
        <v>561.89100000000008</v>
      </c>
      <c r="I80" s="929">
        <f t="shared" si="13"/>
        <v>51.081000000000017</v>
      </c>
    </row>
    <row r="81" spans="2:9">
      <c r="B81" s="925">
        <v>29172</v>
      </c>
      <c r="C81" s="926" t="s">
        <v>1325</v>
      </c>
      <c r="D81" s="927">
        <v>105.3</v>
      </c>
      <c r="E81" s="928">
        <v>1</v>
      </c>
      <c r="F81" s="929">
        <f t="shared" si="11"/>
        <v>105.3</v>
      </c>
      <c r="G81" s="930">
        <f t="shared" si="14"/>
        <v>115.83000000000001</v>
      </c>
      <c r="H81" s="929">
        <f t="shared" si="12"/>
        <v>115.83000000000001</v>
      </c>
      <c r="I81" s="929">
        <f t="shared" si="13"/>
        <v>10.530000000000015</v>
      </c>
    </row>
    <row r="82" spans="2:9">
      <c r="B82" s="925">
        <v>29237</v>
      </c>
      <c r="C82" s="926" t="s">
        <v>1326</v>
      </c>
      <c r="D82" s="927">
        <v>92.02</v>
      </c>
      <c r="E82" s="928">
        <v>1</v>
      </c>
      <c r="F82" s="929">
        <f t="shared" si="11"/>
        <v>92.02</v>
      </c>
      <c r="G82" s="930">
        <f t="shared" si="14"/>
        <v>101.22200000000001</v>
      </c>
      <c r="H82" s="929">
        <f t="shared" si="12"/>
        <v>101.22200000000001</v>
      </c>
      <c r="I82" s="929">
        <f t="shared" si="13"/>
        <v>9.2020000000000124</v>
      </c>
    </row>
    <row r="83" spans="2:9" ht="26">
      <c r="B83" s="925">
        <v>29155</v>
      </c>
      <c r="C83" s="926" t="s">
        <v>1327</v>
      </c>
      <c r="D83" s="927">
        <v>196.32</v>
      </c>
      <c r="E83" s="928">
        <v>0</v>
      </c>
      <c r="F83" s="929">
        <f t="shared" si="11"/>
        <v>0</v>
      </c>
      <c r="G83" s="930">
        <f t="shared" si="14"/>
        <v>215.952</v>
      </c>
      <c r="H83" s="929">
        <f t="shared" si="12"/>
        <v>0</v>
      </c>
      <c r="I83" s="929">
        <f t="shared" si="13"/>
        <v>0</v>
      </c>
    </row>
    <row r="84" spans="2:9">
      <c r="B84" s="925">
        <v>29173</v>
      </c>
      <c r="C84" s="926" t="s">
        <v>1328</v>
      </c>
      <c r="D84" s="927">
        <v>144.19999999999999</v>
      </c>
      <c r="E84" s="928">
        <v>0</v>
      </c>
      <c r="F84" s="929">
        <f t="shared" si="11"/>
        <v>0</v>
      </c>
      <c r="G84" s="930">
        <f t="shared" si="14"/>
        <v>158.62</v>
      </c>
      <c r="H84" s="929">
        <f t="shared" si="12"/>
        <v>0</v>
      </c>
      <c r="I84" s="929">
        <f t="shared" si="13"/>
        <v>0</v>
      </c>
    </row>
    <row r="85" spans="2:9">
      <c r="B85" s="925">
        <v>29175</v>
      </c>
      <c r="C85" s="926" t="s">
        <v>1329</v>
      </c>
      <c r="D85" s="927">
        <v>170.27</v>
      </c>
      <c r="E85" s="928">
        <v>0</v>
      </c>
      <c r="F85" s="929">
        <f t="shared" si="11"/>
        <v>0</v>
      </c>
      <c r="G85" s="930">
        <f t="shared" si="14"/>
        <v>187.29700000000003</v>
      </c>
      <c r="H85" s="929">
        <f t="shared" si="12"/>
        <v>0</v>
      </c>
      <c r="I85" s="929">
        <f t="shared" si="13"/>
        <v>0</v>
      </c>
    </row>
    <row r="86" spans="2:9">
      <c r="B86" s="925">
        <v>29207</v>
      </c>
      <c r="C86" s="926" t="s">
        <v>1330</v>
      </c>
      <c r="D86" s="927">
        <v>144.19999999999999</v>
      </c>
      <c r="E86" s="928">
        <v>0</v>
      </c>
      <c r="F86" s="929">
        <f t="shared" si="11"/>
        <v>0</v>
      </c>
      <c r="G86" s="930">
        <f t="shared" si="14"/>
        <v>158.62</v>
      </c>
      <c r="H86" s="929">
        <f t="shared" si="12"/>
        <v>0</v>
      </c>
      <c r="I86" s="929">
        <f t="shared" si="13"/>
        <v>0</v>
      </c>
    </row>
    <row r="87" spans="2:9">
      <c r="B87" s="925">
        <v>29208</v>
      </c>
      <c r="C87" s="926" t="s">
        <v>1331</v>
      </c>
      <c r="D87" s="927">
        <v>170.24</v>
      </c>
      <c r="E87" s="928">
        <v>0</v>
      </c>
      <c r="F87" s="929">
        <f t="shared" si="11"/>
        <v>0</v>
      </c>
      <c r="G87" s="930">
        <f t="shared" si="14"/>
        <v>187.26400000000004</v>
      </c>
      <c r="H87" s="929">
        <f t="shared" si="12"/>
        <v>0</v>
      </c>
      <c r="I87" s="929">
        <f t="shared" si="13"/>
        <v>0</v>
      </c>
    </row>
    <row r="88" spans="2:9">
      <c r="B88" s="925">
        <v>29236</v>
      </c>
      <c r="C88" s="926" t="s">
        <v>1332</v>
      </c>
      <c r="D88" s="927">
        <v>105.03</v>
      </c>
      <c r="E88" s="928">
        <v>0</v>
      </c>
      <c r="F88" s="929">
        <f t="shared" si="11"/>
        <v>0</v>
      </c>
      <c r="G88" s="930">
        <f t="shared" si="14"/>
        <v>115.53300000000002</v>
      </c>
      <c r="H88" s="929">
        <f t="shared" si="12"/>
        <v>0</v>
      </c>
      <c r="I88" s="929">
        <f t="shared" si="13"/>
        <v>0</v>
      </c>
    </row>
    <row r="89" spans="2:9">
      <c r="B89" s="931"/>
      <c r="C89" s="924"/>
      <c r="D89" s="924"/>
      <c r="E89" s="928">
        <f>SUM(E73:E88)</f>
        <v>2198</v>
      </c>
      <c r="F89" s="924"/>
      <c r="G89" s="924"/>
      <c r="H89" s="924"/>
      <c r="I89" s="932">
        <f>ROUNDUP(SUM(I73:I88),0)</f>
        <v>35744</v>
      </c>
    </row>
    <row r="95" spans="2:9" ht="52">
      <c r="G95" s="1321" t="s">
        <v>1334</v>
      </c>
      <c r="H95" s="1320">
        <f>W18+I89</f>
        <v>698324</v>
      </c>
    </row>
  </sheetData>
  <mergeCells count="53">
    <mergeCell ref="V1:X1"/>
    <mergeCell ref="B71:E71"/>
    <mergeCell ref="B52:C52"/>
    <mergeCell ref="D52:F52"/>
    <mergeCell ref="G52:H52"/>
    <mergeCell ref="I52:J52"/>
    <mergeCell ref="B56:E56"/>
    <mergeCell ref="B57:E68"/>
    <mergeCell ref="B50:C50"/>
    <mergeCell ref="D50:F50"/>
    <mergeCell ref="G50:H50"/>
    <mergeCell ref="I50:J50"/>
    <mergeCell ref="B51:C51"/>
    <mergeCell ref="D51:F51"/>
    <mergeCell ref="G51:H51"/>
    <mergeCell ref="I51:J51"/>
    <mergeCell ref="B49:C49"/>
    <mergeCell ref="D49:F49"/>
    <mergeCell ref="G49:H49"/>
    <mergeCell ref="I49:J49"/>
    <mergeCell ref="B22:E29"/>
    <mergeCell ref="B32:C32"/>
    <mergeCell ref="D32:E32"/>
    <mergeCell ref="B33:C33"/>
    <mergeCell ref="D33:E33"/>
    <mergeCell ref="B37:E37"/>
    <mergeCell ref="B38:E46"/>
    <mergeCell ref="B48:C48"/>
    <mergeCell ref="D48:F48"/>
    <mergeCell ref="G48:H48"/>
    <mergeCell ref="I48:J48"/>
    <mergeCell ref="S10:S11"/>
    <mergeCell ref="T10:T11"/>
    <mergeCell ref="U10:V10"/>
    <mergeCell ref="W10:W11"/>
    <mergeCell ref="A12:A15"/>
    <mergeCell ref="B21:E21"/>
    <mergeCell ref="R9:R11"/>
    <mergeCell ref="D10:F10"/>
    <mergeCell ref="G10:I10"/>
    <mergeCell ref="K10:M10"/>
    <mergeCell ref="N10:N11"/>
    <mergeCell ref="O10:O11"/>
    <mergeCell ref="P10:P11"/>
    <mergeCell ref="Q10:Q11"/>
    <mergeCell ref="J5:J6"/>
    <mergeCell ref="O5:O6"/>
    <mergeCell ref="P5:P6"/>
    <mergeCell ref="Q5:Q6"/>
    <mergeCell ref="B9:B11"/>
    <mergeCell ref="C9:C11"/>
    <mergeCell ref="D9:M9"/>
    <mergeCell ref="N9:Q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10F8B-D49F-40E6-A106-2BA1B28FE700}">
  <dimension ref="A1:C7"/>
  <sheetViews>
    <sheetView zoomScale="78" zoomScaleNormal="78" workbookViewId="0">
      <selection activeCell="B28" sqref="B28"/>
    </sheetView>
  </sheetViews>
  <sheetFormatPr defaultColWidth="9.1796875" defaultRowHeight="14.5"/>
  <cols>
    <col min="1" max="1" width="9.1796875" style="86"/>
    <col min="2" max="2" width="56.453125" style="86" customWidth="1"/>
    <col min="3" max="3" width="16.1796875" style="86" customWidth="1"/>
    <col min="4" max="16384" width="9.1796875" style="86"/>
  </cols>
  <sheetData>
    <row r="1" spans="1:3">
      <c r="C1" s="290" t="s">
        <v>414</v>
      </c>
    </row>
    <row r="2" spans="1:3" ht="62.25" customHeight="1">
      <c r="A2" s="1551" t="s">
        <v>143</v>
      </c>
      <c r="B2" s="1551"/>
      <c r="C2" s="1551"/>
    </row>
    <row r="3" spans="1:3" ht="58">
      <c r="A3" s="291" t="s">
        <v>415</v>
      </c>
      <c r="B3" s="292" t="s">
        <v>416</v>
      </c>
      <c r="C3" s="292" t="s">
        <v>417</v>
      </c>
    </row>
    <row r="4" spans="1:3" ht="23">
      <c r="A4" s="293">
        <v>1</v>
      </c>
      <c r="B4" s="294" t="s">
        <v>418</v>
      </c>
      <c r="C4" s="295">
        <v>3000</v>
      </c>
    </row>
    <row r="5" spans="1:3">
      <c r="A5" s="293">
        <v>2</v>
      </c>
      <c r="B5" s="294" t="s">
        <v>419</v>
      </c>
      <c r="C5" s="295">
        <v>25333</v>
      </c>
    </row>
    <row r="6" spans="1:3">
      <c r="A6" s="1552" t="s">
        <v>420</v>
      </c>
      <c r="B6" s="1553"/>
      <c r="C6" s="296">
        <f>C4+C5</f>
        <v>28333</v>
      </c>
    </row>
    <row r="7" spans="1:3">
      <c r="A7" s="1554" t="s">
        <v>421</v>
      </c>
      <c r="B7" s="1554"/>
    </row>
  </sheetData>
  <mergeCells count="3">
    <mergeCell ref="A2:C2"/>
    <mergeCell ref="A6:B6"/>
    <mergeCell ref="A7:B7"/>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092E2-0511-4546-9ABC-9228117FE2AD}">
  <dimension ref="A1:N17"/>
  <sheetViews>
    <sheetView workbookViewId="0">
      <selection activeCell="A23" sqref="A23"/>
    </sheetView>
  </sheetViews>
  <sheetFormatPr defaultColWidth="9.1796875" defaultRowHeight="13"/>
  <cols>
    <col min="1" max="1" width="42" style="297" customWidth="1"/>
    <col min="2" max="2" width="15.26953125" style="297" customWidth="1"/>
    <col min="3" max="3" width="20.54296875" style="297" customWidth="1"/>
    <col min="4" max="4" width="20.7265625" style="297" customWidth="1"/>
    <col min="5" max="5" width="13.7265625" style="297" customWidth="1"/>
    <col min="6" max="7" width="20.26953125" style="297" customWidth="1"/>
    <col min="8" max="8" width="14.7265625" style="297" customWidth="1"/>
    <col min="9" max="9" width="21.453125" style="297" customWidth="1"/>
    <col min="10" max="10" width="19.1796875" style="297" customWidth="1"/>
    <col min="11" max="16384" width="9.1796875" style="297"/>
  </cols>
  <sheetData>
    <row r="1" spans="1:14">
      <c r="F1" s="297" t="s">
        <v>1411</v>
      </c>
    </row>
    <row r="2" spans="1:14">
      <c r="A2" s="1723" t="s">
        <v>1346</v>
      </c>
      <c r="B2" s="1723"/>
      <c r="C2" s="1723"/>
      <c r="D2" s="1723"/>
      <c r="E2" s="1723"/>
      <c r="F2" s="1723"/>
      <c r="G2" s="1723"/>
    </row>
    <row r="3" spans="1:14" ht="78">
      <c r="A3" s="715" t="s">
        <v>1059</v>
      </c>
      <c r="B3" s="715" t="s">
        <v>1335</v>
      </c>
      <c r="C3" s="696" t="s">
        <v>1336</v>
      </c>
      <c r="D3" s="696" t="s">
        <v>1337</v>
      </c>
      <c r="E3" s="696" t="s">
        <v>1338</v>
      </c>
      <c r="F3" s="696" t="s">
        <v>1339</v>
      </c>
      <c r="G3" s="696" t="s">
        <v>1340</v>
      </c>
      <c r="H3" s="696" t="s">
        <v>1338</v>
      </c>
      <c r="I3" s="696" t="s">
        <v>1341</v>
      </c>
      <c r="J3" s="696" t="s">
        <v>1342</v>
      </c>
      <c r="K3" s="696" t="s">
        <v>1338</v>
      </c>
      <c r="L3" s="373"/>
      <c r="M3" s="373"/>
      <c r="N3" s="373"/>
    </row>
    <row r="4" spans="1:14">
      <c r="A4" s="384" t="s">
        <v>1071</v>
      </c>
      <c r="B4" s="384">
        <v>410.51</v>
      </c>
      <c r="C4" s="933">
        <v>8210</v>
      </c>
      <c r="D4" s="933">
        <v>5747.14</v>
      </c>
      <c r="E4" s="936">
        <v>0</v>
      </c>
      <c r="F4" s="933">
        <v>5822</v>
      </c>
      <c r="G4" s="933">
        <v>3694.5900000000011</v>
      </c>
      <c r="H4" s="936">
        <v>0</v>
      </c>
      <c r="I4" s="934">
        <v>4926</v>
      </c>
      <c r="J4" s="934">
        <v>8210</v>
      </c>
      <c r="K4" s="934">
        <f>J4-I4</f>
        <v>3284</v>
      </c>
      <c r="L4" s="379"/>
      <c r="M4" s="379"/>
      <c r="N4" s="379"/>
    </row>
    <row r="5" spans="1:14">
      <c r="A5" s="934" t="s">
        <v>1082</v>
      </c>
      <c r="B5" s="384">
        <v>410.51</v>
      </c>
      <c r="C5" s="933">
        <v>556638</v>
      </c>
      <c r="D5" s="933">
        <v>645321.72</v>
      </c>
      <c r="E5" s="933">
        <f t="shared" ref="E5:E9" si="0">D5-C5</f>
        <v>88683.719999999972</v>
      </c>
      <c r="F5" s="933">
        <v>568806</v>
      </c>
      <c r="G5" s="933">
        <v>573482.47000000929</v>
      </c>
      <c r="H5" s="936">
        <f t="shared" ref="H5:H11" si="1">G5-F5</f>
        <v>4676.4700000092853</v>
      </c>
      <c r="I5" s="937">
        <v>547415</v>
      </c>
      <c r="J5" s="934">
        <v>591134</v>
      </c>
      <c r="K5" s="934">
        <f t="shared" ref="K5:K11" si="2">J5-I5</f>
        <v>43719</v>
      </c>
      <c r="L5" s="935"/>
      <c r="M5" s="379"/>
      <c r="N5" s="379"/>
    </row>
    <row r="6" spans="1:14">
      <c r="A6" s="384" t="s">
        <v>1085</v>
      </c>
      <c r="B6" s="384">
        <v>410.51</v>
      </c>
      <c r="C6" s="933">
        <v>1619012</v>
      </c>
      <c r="D6" s="933">
        <v>1800907.37</v>
      </c>
      <c r="E6" s="933">
        <f t="shared" si="0"/>
        <v>181895.37000000011</v>
      </c>
      <c r="F6" s="933">
        <v>1680452</v>
      </c>
      <c r="G6" s="933">
        <v>1845652.9600000381</v>
      </c>
      <c r="H6" s="936">
        <f t="shared" si="1"/>
        <v>165200.96000003815</v>
      </c>
      <c r="I6" s="937">
        <v>1815891</v>
      </c>
      <c r="J6" s="934">
        <v>1878904</v>
      </c>
      <c r="K6" s="934">
        <f t="shared" si="2"/>
        <v>63013</v>
      </c>
      <c r="L6" s="935"/>
      <c r="M6" s="379"/>
      <c r="N6" s="379"/>
    </row>
    <row r="7" spans="1:14">
      <c r="A7" s="384" t="s">
        <v>1073</v>
      </c>
      <c r="B7" s="384">
        <v>410.51</v>
      </c>
      <c r="C7" s="933">
        <v>158453</v>
      </c>
      <c r="D7" s="933">
        <v>154351.76</v>
      </c>
      <c r="E7" s="933">
        <v>0</v>
      </c>
      <c r="F7" s="933">
        <v>147784</v>
      </c>
      <c r="G7" s="933">
        <v>159277.87999999992</v>
      </c>
      <c r="H7" s="936">
        <f t="shared" si="1"/>
        <v>11493.879999999917</v>
      </c>
      <c r="I7" s="937">
        <v>157020</v>
      </c>
      <c r="J7" s="934">
        <v>171183</v>
      </c>
      <c r="K7" s="934">
        <f t="shared" si="2"/>
        <v>14163</v>
      </c>
      <c r="L7" s="935"/>
      <c r="M7" s="379"/>
      <c r="N7" s="379"/>
    </row>
    <row r="8" spans="1:14">
      <c r="A8" s="384" t="s">
        <v>1079</v>
      </c>
      <c r="B8" s="384">
        <v>410.51</v>
      </c>
      <c r="C8" s="933">
        <v>83742</v>
      </c>
      <c r="D8" s="933">
        <v>49261.2</v>
      </c>
      <c r="E8" s="933">
        <v>0</v>
      </c>
      <c r="F8" s="933">
        <v>50605</v>
      </c>
      <c r="G8" s="933">
        <v>49261.200000000026</v>
      </c>
      <c r="H8" s="936">
        <v>0</v>
      </c>
      <c r="I8" s="937">
        <v>46798</v>
      </c>
      <c r="J8" s="934">
        <v>70608</v>
      </c>
      <c r="K8" s="934">
        <f t="shared" si="2"/>
        <v>23810</v>
      </c>
      <c r="L8" s="935"/>
      <c r="M8" s="379"/>
      <c r="N8" s="379"/>
    </row>
    <row r="9" spans="1:14">
      <c r="A9" s="384" t="s">
        <v>1088</v>
      </c>
      <c r="B9" s="384">
        <v>410.51</v>
      </c>
      <c r="C9" s="933">
        <v>0</v>
      </c>
      <c r="D9" s="933">
        <v>0</v>
      </c>
      <c r="E9" s="933">
        <f t="shared" si="0"/>
        <v>0</v>
      </c>
      <c r="F9" s="933"/>
      <c r="G9" s="933">
        <v>19704.479999999992</v>
      </c>
      <c r="H9" s="936">
        <f t="shared" si="1"/>
        <v>19704.479999999992</v>
      </c>
      <c r="I9" s="937">
        <v>16010</v>
      </c>
      <c r="J9" s="934">
        <v>15599</v>
      </c>
      <c r="K9" s="934">
        <v>0</v>
      </c>
      <c r="L9" s="935"/>
      <c r="M9" s="379"/>
      <c r="N9" s="379"/>
    </row>
    <row r="10" spans="1:14">
      <c r="A10" s="384" t="s">
        <v>1343</v>
      </c>
      <c r="B10" s="384">
        <v>410.51</v>
      </c>
      <c r="C10" s="933">
        <v>20522</v>
      </c>
      <c r="D10" s="933"/>
      <c r="E10" s="933">
        <v>0</v>
      </c>
      <c r="F10" s="933">
        <v>10261</v>
      </c>
      <c r="G10" s="933">
        <v>0</v>
      </c>
      <c r="H10" s="936">
        <v>0</v>
      </c>
      <c r="I10" s="934"/>
      <c r="J10" s="934"/>
      <c r="K10" s="934">
        <f t="shared" si="2"/>
        <v>0</v>
      </c>
      <c r="L10" s="379"/>
      <c r="M10" s="379"/>
      <c r="N10" s="379"/>
    </row>
    <row r="11" spans="1:14">
      <c r="A11" s="384" t="s">
        <v>1086</v>
      </c>
      <c r="B11" s="384">
        <v>410.51</v>
      </c>
      <c r="C11" s="933">
        <v>15599</v>
      </c>
      <c r="D11" s="933">
        <v>6978.67</v>
      </c>
      <c r="E11" s="933">
        <v>0</v>
      </c>
      <c r="F11" s="933">
        <v>6717</v>
      </c>
      <c r="G11" s="933">
        <v>9031.220000000003</v>
      </c>
      <c r="H11" s="936">
        <f t="shared" si="1"/>
        <v>2314.220000000003</v>
      </c>
      <c r="I11" s="937">
        <v>8005</v>
      </c>
      <c r="J11" s="934">
        <v>8210</v>
      </c>
      <c r="K11" s="934">
        <f t="shared" si="2"/>
        <v>205</v>
      </c>
      <c r="L11" s="935"/>
      <c r="M11" s="379"/>
      <c r="N11" s="379"/>
    </row>
    <row r="12" spans="1:14">
      <c r="A12" s="797" t="s">
        <v>540</v>
      </c>
      <c r="B12" s="797"/>
      <c r="C12" s="938">
        <f>SUM(C4:C11)</f>
        <v>2462176</v>
      </c>
      <c r="D12" s="939">
        <f t="shared" ref="D12:H12" si="3">SUM(D4:D11)</f>
        <v>2662567.8600000003</v>
      </c>
      <c r="E12" s="939">
        <f t="shared" si="3"/>
        <v>270579.09000000008</v>
      </c>
      <c r="F12" s="939">
        <f t="shared" si="3"/>
        <v>2470447</v>
      </c>
      <c r="G12" s="939">
        <f t="shared" si="3"/>
        <v>2660104.8000000478</v>
      </c>
      <c r="H12" s="939">
        <f t="shared" si="3"/>
        <v>203390.01000004733</v>
      </c>
      <c r="I12" s="940">
        <f>SUM(I4:I11)</f>
        <v>2596065</v>
      </c>
      <c r="J12" s="940">
        <f t="shared" ref="J12:K12" si="4">SUM(J4:J11)</f>
        <v>2743848</v>
      </c>
      <c r="K12" s="941">
        <f t="shared" si="4"/>
        <v>148194</v>
      </c>
      <c r="L12" s="367"/>
      <c r="M12" s="367"/>
      <c r="N12" s="367"/>
    </row>
    <row r="15" spans="1:14" ht="25.5" customHeight="1">
      <c r="A15" s="1724" t="s">
        <v>1348</v>
      </c>
      <c r="B15" s="1725"/>
      <c r="C15" s="942">
        <v>148194</v>
      </c>
    </row>
    <row r="16" spans="1:14">
      <c r="A16" s="1726" t="s">
        <v>1344</v>
      </c>
      <c r="B16" s="1727"/>
      <c r="C16" s="384">
        <v>410.51</v>
      </c>
    </row>
    <row r="17" spans="1:3" ht="25.5" customHeight="1">
      <c r="A17" s="1728" t="s">
        <v>1345</v>
      </c>
      <c r="B17" s="1729"/>
      <c r="C17" s="384">
        <f>ROUND(C15/C16,0)</f>
        <v>361</v>
      </c>
    </row>
  </sheetData>
  <mergeCells count="4">
    <mergeCell ref="A2:G2"/>
    <mergeCell ref="A15:B15"/>
    <mergeCell ref="A16:B16"/>
    <mergeCell ref="A17:B1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9AA02-0D3E-41A2-92B2-D8F42734C527}">
  <dimension ref="A1:J12"/>
  <sheetViews>
    <sheetView zoomScale="80" zoomScaleNormal="80" workbookViewId="0">
      <selection activeCell="J5" sqref="J5"/>
    </sheetView>
  </sheetViews>
  <sheetFormatPr defaultColWidth="9.1796875" defaultRowHeight="14"/>
  <cols>
    <col min="1" max="1" width="9.1796875" style="1078"/>
    <col min="2" max="2" width="22.26953125" style="1078" customWidth="1"/>
    <col min="3" max="3" width="21.81640625" style="1078" customWidth="1"/>
    <col min="4" max="4" width="9.1796875" style="1078"/>
    <col min="5" max="5" width="18.7265625" style="1078" customWidth="1"/>
    <col min="6" max="7" width="9.1796875" style="1078"/>
    <col min="8" max="8" width="14.26953125" style="1078" customWidth="1"/>
    <col min="9" max="9" width="9.1796875" style="1078"/>
    <col min="10" max="10" width="24" style="1078" customWidth="1"/>
    <col min="11" max="16384" width="9.1796875" style="1078"/>
  </cols>
  <sheetData>
    <row r="1" spans="1:10">
      <c r="J1" s="1078" t="s">
        <v>1347</v>
      </c>
    </row>
    <row r="2" spans="1:10">
      <c r="A2" s="1647" t="s">
        <v>1412</v>
      </c>
      <c r="B2" s="1647"/>
      <c r="C2" s="1647"/>
      <c r="D2" s="1647"/>
      <c r="E2" s="1647"/>
      <c r="F2" s="1647"/>
      <c r="G2" s="1647"/>
      <c r="H2" s="1647"/>
      <c r="I2" s="1647"/>
      <c r="J2" s="1647"/>
    </row>
    <row r="3" spans="1:10" s="1083" customFormat="1">
      <c r="A3" s="1730" t="s">
        <v>669</v>
      </c>
      <c r="B3" s="1730" t="s">
        <v>771</v>
      </c>
      <c r="C3" s="1730" t="s">
        <v>832</v>
      </c>
      <c r="D3" s="1730" t="s">
        <v>774</v>
      </c>
      <c r="E3" s="1730" t="s">
        <v>775</v>
      </c>
      <c r="F3" s="1731" t="s">
        <v>776</v>
      </c>
      <c r="G3" s="1731"/>
      <c r="H3" s="1731"/>
      <c r="I3" s="1732"/>
      <c r="J3" s="1733" t="s">
        <v>777</v>
      </c>
    </row>
    <row r="4" spans="1:10" s="1083" customFormat="1" ht="28">
      <c r="A4" s="1730"/>
      <c r="B4" s="1730"/>
      <c r="C4" s="1730"/>
      <c r="D4" s="1730"/>
      <c r="E4" s="1730"/>
      <c r="F4" s="1138" t="s">
        <v>782</v>
      </c>
      <c r="G4" s="1133" t="s">
        <v>783</v>
      </c>
      <c r="H4" s="1133" t="s">
        <v>784</v>
      </c>
      <c r="I4" s="1133" t="s">
        <v>540</v>
      </c>
      <c r="J4" s="1733"/>
    </row>
    <row r="5" spans="1:10" s="1083" customFormat="1" ht="42">
      <c r="A5" s="1087" t="s">
        <v>1111</v>
      </c>
      <c r="B5" s="1094" t="str">
        <f>[2]Tarifs!B11</f>
        <v>Hipertermiska intraperitoneāla ķīmijterapija</v>
      </c>
      <c r="C5" s="1115">
        <f>[2]Tarifs!Q11</f>
        <v>1787.9</v>
      </c>
      <c r="D5" s="1111">
        <v>0</v>
      </c>
      <c r="E5" s="1084">
        <f>C5</f>
        <v>1787.9</v>
      </c>
      <c r="F5" s="1088">
        <v>0</v>
      </c>
      <c r="G5" s="1088">
        <v>0</v>
      </c>
      <c r="H5" s="1088">
        <v>20</v>
      </c>
      <c r="I5" s="1087">
        <f t="shared" ref="I5" si="0">SUM(F5:H5)</f>
        <v>20</v>
      </c>
      <c r="J5" s="1119">
        <f>E5*I5</f>
        <v>35758</v>
      </c>
    </row>
    <row r="12" spans="1:10">
      <c r="C12" s="1075"/>
    </row>
  </sheetData>
  <mergeCells count="8">
    <mergeCell ref="A2:J2"/>
    <mergeCell ref="E3:E4"/>
    <mergeCell ref="F3:I3"/>
    <mergeCell ref="J3:J4"/>
    <mergeCell ref="A3:A4"/>
    <mergeCell ref="B3:B4"/>
    <mergeCell ref="C3:C4"/>
    <mergeCell ref="D3:D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D2406-25CA-4699-8931-AB4B458735E5}">
  <dimension ref="A1:G13"/>
  <sheetViews>
    <sheetView zoomScale="87" zoomScaleNormal="87" workbookViewId="0">
      <selection activeCell="E35" sqref="E35"/>
    </sheetView>
  </sheetViews>
  <sheetFormatPr defaultColWidth="9.1796875" defaultRowHeight="13"/>
  <cols>
    <col min="1" max="1" width="20" style="401" customWidth="1"/>
    <col min="2" max="2" width="14.26953125" style="401" customWidth="1"/>
    <col min="3" max="3" width="17.1796875" style="401" customWidth="1"/>
    <col min="4" max="4" width="14.7265625" style="401" customWidth="1"/>
    <col min="5" max="5" width="17" style="401" customWidth="1"/>
    <col min="6" max="6" width="14.7265625" style="401" customWidth="1"/>
    <col min="7" max="7" width="13.453125" style="401" customWidth="1"/>
    <col min="8" max="16384" width="9.1796875" style="401"/>
  </cols>
  <sheetData>
    <row r="1" spans="1:7">
      <c r="F1" s="1623" t="s">
        <v>566</v>
      </c>
      <c r="G1" s="1623"/>
    </row>
    <row r="2" spans="1:7">
      <c r="A2" s="400" t="s">
        <v>554</v>
      </c>
      <c r="D2" s="402"/>
      <c r="E2" s="402"/>
      <c r="F2" s="402"/>
      <c r="G2" s="403"/>
    </row>
    <row r="3" spans="1:7" ht="52">
      <c r="A3" s="404" t="s">
        <v>555</v>
      </c>
      <c r="B3" s="405" t="s">
        <v>556</v>
      </c>
      <c r="C3" s="405" t="s">
        <v>557</v>
      </c>
      <c r="D3" s="405" t="s">
        <v>558</v>
      </c>
      <c r="E3" s="405" t="s">
        <v>559</v>
      </c>
      <c r="F3" s="405" t="s">
        <v>560</v>
      </c>
      <c r="G3" s="405" t="s">
        <v>561</v>
      </c>
    </row>
    <row r="4" spans="1:7">
      <c r="A4" s="406" t="s">
        <v>562</v>
      </c>
      <c r="B4" s="407">
        <f>B5+B7</f>
        <v>6232.7777777777774</v>
      </c>
      <c r="C4" s="407">
        <f t="shared" ref="C4:G4" si="0">C5+C7</f>
        <v>51752538.039999999</v>
      </c>
      <c r="D4" s="407">
        <f t="shared" si="0"/>
        <v>7043.5555555555557</v>
      </c>
      <c r="E4" s="407">
        <f t="shared" si="0"/>
        <v>73980368.079999998</v>
      </c>
      <c r="F4" s="407">
        <f t="shared" si="0"/>
        <v>7567.6111111111113</v>
      </c>
      <c r="G4" s="407">
        <f t="shared" si="0"/>
        <v>88492259.640000001</v>
      </c>
    </row>
    <row r="5" spans="1:7">
      <c r="A5" s="408" t="s">
        <v>563</v>
      </c>
      <c r="B5" s="409">
        <v>1255</v>
      </c>
      <c r="C5" s="409">
        <v>49635545.039999999</v>
      </c>
      <c r="D5" s="409">
        <v>2028</v>
      </c>
      <c r="E5" s="409">
        <v>71720375.079999998</v>
      </c>
      <c r="F5" s="409">
        <v>2514</v>
      </c>
      <c r="G5" s="409">
        <v>86089236.640000001</v>
      </c>
    </row>
    <row r="6" spans="1:7" ht="26">
      <c r="A6" s="410" t="s">
        <v>564</v>
      </c>
      <c r="B6" s="411">
        <v>336</v>
      </c>
      <c r="C6" s="411">
        <v>14395345.4</v>
      </c>
      <c r="D6" s="411">
        <v>457</v>
      </c>
      <c r="E6" s="412">
        <v>20407907.800000001</v>
      </c>
      <c r="F6" s="412">
        <v>527</v>
      </c>
      <c r="G6" s="412">
        <v>23996483.199999999</v>
      </c>
    </row>
    <row r="7" spans="1:7" ht="26">
      <c r="A7" s="413" t="s">
        <v>565</v>
      </c>
      <c r="B7" s="409">
        <v>4977.7777777777774</v>
      </c>
      <c r="C7" s="409">
        <v>2116993</v>
      </c>
      <c r="D7" s="409">
        <v>5015.5555555555557</v>
      </c>
      <c r="E7" s="409">
        <v>2259993</v>
      </c>
      <c r="F7" s="409">
        <v>5053.6111111111113</v>
      </c>
      <c r="G7" s="409">
        <v>2403023</v>
      </c>
    </row>
    <row r="8" spans="1:7" ht="26">
      <c r="C8" s="414" t="s">
        <v>124</v>
      </c>
      <c r="D8" s="415"/>
      <c r="E8" s="414" t="s">
        <v>125</v>
      </c>
      <c r="F8" s="415"/>
      <c r="G8" s="417" t="s">
        <v>504</v>
      </c>
    </row>
    <row r="10" spans="1:7">
      <c r="B10" s="416"/>
      <c r="C10" s="416"/>
      <c r="D10" s="416"/>
      <c r="E10" s="416"/>
      <c r="F10" s="416"/>
      <c r="G10" s="416"/>
    </row>
    <row r="13" spans="1:7">
      <c r="C13" s="416"/>
    </row>
  </sheetData>
  <mergeCells count="1">
    <mergeCell ref="F1:G1"/>
  </mergeCells>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494C0-C948-4035-9119-345BE64DA3D3}">
  <dimension ref="A1:G26"/>
  <sheetViews>
    <sheetView zoomScale="66" zoomScaleNormal="66" workbookViewId="0">
      <selection activeCell="F41" sqref="F41"/>
    </sheetView>
  </sheetViews>
  <sheetFormatPr defaultColWidth="9.1796875" defaultRowHeight="13"/>
  <cols>
    <col min="1" max="1" width="14.1796875" style="401" customWidth="1"/>
    <col min="2" max="2" width="23.7265625" style="401" customWidth="1"/>
    <col min="3" max="3" width="9.1796875" style="401"/>
    <col min="4" max="4" width="14.54296875" style="401" customWidth="1"/>
    <col min="5" max="5" width="12.81640625" style="401" customWidth="1"/>
    <col min="6" max="6" width="14.7265625" style="401" customWidth="1"/>
    <col min="7" max="16384" width="9.1796875" style="401"/>
  </cols>
  <sheetData>
    <row r="1" spans="1:7">
      <c r="E1" s="1569" t="s">
        <v>574</v>
      </c>
      <c r="F1" s="1569"/>
      <c r="G1" s="423"/>
    </row>
    <row r="2" spans="1:7" ht="28.5" customHeight="1">
      <c r="A2" s="1580" t="s">
        <v>573</v>
      </c>
      <c r="B2" s="1580"/>
      <c r="C2" s="1580"/>
      <c r="D2" s="1580"/>
      <c r="E2" s="1580"/>
      <c r="F2" s="1580"/>
    </row>
    <row r="3" spans="1:7" ht="89.25" customHeight="1">
      <c r="A3" s="426" t="s">
        <v>555</v>
      </c>
      <c r="B3" s="426" t="s">
        <v>567</v>
      </c>
      <c r="C3" s="426" t="s">
        <v>568</v>
      </c>
      <c r="D3" s="426" t="s">
        <v>569</v>
      </c>
      <c r="E3" s="426" t="s">
        <v>570</v>
      </c>
      <c r="F3" s="427" t="s">
        <v>571</v>
      </c>
    </row>
    <row r="4" spans="1:7">
      <c r="A4" s="422" t="s">
        <v>572</v>
      </c>
      <c r="B4" s="421">
        <v>1373</v>
      </c>
      <c r="C4" s="421">
        <v>13078.212672978878</v>
      </c>
      <c r="D4" s="421">
        <f>B4*C4</f>
        <v>17956386</v>
      </c>
      <c r="E4" s="421">
        <v>9346511</v>
      </c>
      <c r="F4" s="428">
        <f>D4-E4</f>
        <v>8609875</v>
      </c>
      <c r="G4" s="424"/>
    </row>
    <row r="5" spans="1:7">
      <c r="A5" s="333"/>
      <c r="B5" s="333"/>
      <c r="C5" s="333"/>
      <c r="D5" s="333"/>
      <c r="E5" s="333"/>
      <c r="F5" s="332"/>
      <c r="G5" s="333"/>
    </row>
    <row r="8" spans="1:7">
      <c r="D8" s="420"/>
    </row>
    <row r="26" spans="3:3">
      <c r="C26" s="425"/>
    </row>
  </sheetData>
  <mergeCells count="2">
    <mergeCell ref="A2:F2"/>
    <mergeCell ref="E1:F1"/>
  </mergeCell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F155-E2EC-41FF-94B1-5B57D887812E}">
  <dimension ref="A1:L13"/>
  <sheetViews>
    <sheetView zoomScale="75" zoomScaleNormal="75" workbookViewId="0">
      <selection activeCell="K30" sqref="K30"/>
    </sheetView>
  </sheetViews>
  <sheetFormatPr defaultColWidth="8.81640625" defaultRowHeight="13"/>
  <cols>
    <col min="1" max="1" width="40.7265625" style="946" bestFit="1" customWidth="1"/>
    <col min="2" max="2" width="19" style="946" customWidth="1"/>
    <col min="3" max="3" width="11.453125" style="946" customWidth="1"/>
    <col min="4" max="5" width="11.81640625" style="946" customWidth="1"/>
    <col min="6" max="8" width="8.81640625" style="951"/>
    <col min="9" max="9" width="8.81640625" style="946"/>
    <col min="10" max="10" width="23.26953125" style="946" customWidth="1"/>
    <col min="11" max="16384" width="8.81640625" style="946"/>
  </cols>
  <sheetData>
    <row r="1" spans="1:12">
      <c r="K1" s="1735" t="s">
        <v>1362</v>
      </c>
      <c r="L1" s="1735"/>
    </row>
    <row r="2" spans="1:12">
      <c r="A2" s="1736"/>
      <c r="B2" s="1736"/>
      <c r="C2" s="1736"/>
      <c r="D2" s="1736"/>
      <c r="E2" s="1736"/>
      <c r="F2" s="1736"/>
      <c r="G2" s="1736"/>
      <c r="H2" s="1736"/>
      <c r="I2" s="1736"/>
      <c r="J2" s="1736"/>
      <c r="K2" s="1736"/>
      <c r="L2" s="1736"/>
    </row>
    <row r="3" spans="1:12" ht="50.25" customHeight="1">
      <c r="A3" s="947"/>
      <c r="B3" s="949" t="s">
        <v>1363</v>
      </c>
      <c r="C3" s="949" t="s">
        <v>1364</v>
      </c>
      <c r="D3" s="949" t="s">
        <v>1365</v>
      </c>
      <c r="E3" s="949" t="s">
        <v>1366</v>
      </c>
      <c r="F3" s="949" t="s">
        <v>1367</v>
      </c>
      <c r="G3" s="949" t="s">
        <v>1368</v>
      </c>
      <c r="H3" s="949" t="s">
        <v>1369</v>
      </c>
      <c r="I3" s="947"/>
      <c r="J3" s="947"/>
      <c r="K3" s="947"/>
      <c r="L3" s="947"/>
    </row>
    <row r="4" spans="1:12">
      <c r="A4" s="954" t="s">
        <v>1351</v>
      </c>
      <c r="B4" s="948">
        <v>50</v>
      </c>
      <c r="C4" s="948"/>
      <c r="D4" s="948"/>
      <c r="E4" s="1734" t="s">
        <v>1352</v>
      </c>
      <c r="F4" s="1734"/>
      <c r="G4" s="1734"/>
      <c r="H4" s="1734"/>
      <c r="I4" s="1734"/>
      <c r="J4" s="1734"/>
      <c r="K4" s="1734"/>
      <c r="L4" s="1734"/>
    </row>
    <row r="5" spans="1:12" ht="38.25" customHeight="1">
      <c r="A5" s="954" t="s">
        <v>1353</v>
      </c>
      <c r="B5" s="948">
        <f>1100</f>
        <v>1100</v>
      </c>
      <c r="C5" s="948">
        <v>60</v>
      </c>
      <c r="D5" s="948">
        <v>65</v>
      </c>
      <c r="E5" s="948">
        <v>70</v>
      </c>
      <c r="F5" s="945">
        <f t="shared" ref="F5:F11" si="0">B5*C5</f>
        <v>66000</v>
      </c>
      <c r="G5" s="945">
        <f t="shared" ref="G5:G11" si="1">B5*D5</f>
        <v>71500</v>
      </c>
      <c r="H5" s="945">
        <f t="shared" ref="H5:H11" si="2">B5*E5</f>
        <v>77000</v>
      </c>
      <c r="I5" s="948"/>
      <c r="J5" s="945" t="s">
        <v>1354</v>
      </c>
      <c r="K5" s="948"/>
      <c r="L5" s="948"/>
    </row>
    <row r="6" spans="1:12" ht="43.5" customHeight="1">
      <c r="A6" s="954" t="s">
        <v>1355</v>
      </c>
      <c r="B6" s="948">
        <v>1400</v>
      </c>
      <c r="C6" s="948">
        <v>60</v>
      </c>
      <c r="D6" s="948">
        <v>65</v>
      </c>
      <c r="E6" s="948">
        <v>70</v>
      </c>
      <c r="F6" s="945">
        <f t="shared" si="0"/>
        <v>84000</v>
      </c>
      <c r="G6" s="945">
        <f t="shared" si="1"/>
        <v>91000</v>
      </c>
      <c r="H6" s="945">
        <f t="shared" si="2"/>
        <v>98000</v>
      </c>
      <c r="I6" s="948"/>
      <c r="J6" s="945" t="s">
        <v>1354</v>
      </c>
      <c r="K6" s="948"/>
      <c r="L6" s="948"/>
    </row>
    <row r="7" spans="1:12" ht="33" customHeight="1">
      <c r="A7" s="954" t="s">
        <v>1356</v>
      </c>
      <c r="B7" s="948">
        <v>1300</v>
      </c>
      <c r="C7" s="948">
        <v>60</v>
      </c>
      <c r="D7" s="948">
        <v>65</v>
      </c>
      <c r="E7" s="948">
        <v>70</v>
      </c>
      <c r="F7" s="945">
        <f t="shared" si="0"/>
        <v>78000</v>
      </c>
      <c r="G7" s="945">
        <f t="shared" si="1"/>
        <v>84500</v>
      </c>
      <c r="H7" s="945">
        <f t="shared" si="2"/>
        <v>91000</v>
      </c>
      <c r="I7" s="948"/>
      <c r="J7" s="945" t="s">
        <v>1354</v>
      </c>
      <c r="K7" s="948"/>
      <c r="L7" s="948"/>
    </row>
    <row r="8" spans="1:12" ht="39">
      <c r="A8" s="954" t="s">
        <v>1357</v>
      </c>
      <c r="B8" s="948">
        <v>650</v>
      </c>
      <c r="C8" s="950">
        <v>30</v>
      </c>
      <c r="D8" s="950">
        <v>32</v>
      </c>
      <c r="E8" s="950">
        <v>34</v>
      </c>
      <c r="F8" s="953">
        <f t="shared" si="0"/>
        <v>19500</v>
      </c>
      <c r="G8" s="945">
        <f t="shared" si="1"/>
        <v>20800</v>
      </c>
      <c r="H8" s="945">
        <f t="shared" si="2"/>
        <v>22100</v>
      </c>
      <c r="I8" s="948"/>
      <c r="J8" s="948"/>
      <c r="K8" s="948"/>
      <c r="L8" s="948"/>
    </row>
    <row r="9" spans="1:12" ht="26">
      <c r="A9" s="954" t="s">
        <v>1361</v>
      </c>
      <c r="B9" s="948">
        <v>340</v>
      </c>
      <c r="C9" s="950">
        <v>0</v>
      </c>
      <c r="D9" s="950">
        <v>0</v>
      </c>
      <c r="E9" s="950">
        <v>0</v>
      </c>
      <c r="F9" s="953">
        <f t="shared" si="0"/>
        <v>0</v>
      </c>
      <c r="G9" s="945">
        <f t="shared" si="1"/>
        <v>0</v>
      </c>
      <c r="H9" s="945">
        <f t="shared" si="2"/>
        <v>0</v>
      </c>
      <c r="I9" s="948"/>
      <c r="J9" s="948"/>
      <c r="K9" s="948"/>
      <c r="L9" s="948"/>
    </row>
    <row r="10" spans="1:12" ht="39">
      <c r="A10" s="954" t="s">
        <v>1358</v>
      </c>
      <c r="B10" s="948">
        <v>500</v>
      </c>
      <c r="C10" s="950">
        <v>60</v>
      </c>
      <c r="D10" s="950">
        <v>65</v>
      </c>
      <c r="E10" s="950">
        <v>70</v>
      </c>
      <c r="F10" s="953">
        <f t="shared" si="0"/>
        <v>30000</v>
      </c>
      <c r="G10" s="945">
        <f t="shared" si="1"/>
        <v>32500</v>
      </c>
      <c r="H10" s="945">
        <f t="shared" si="2"/>
        <v>35000</v>
      </c>
      <c r="I10" s="948"/>
      <c r="J10" s="948"/>
      <c r="K10" s="948"/>
      <c r="L10" s="948"/>
    </row>
    <row r="11" spans="1:12" ht="52">
      <c r="A11" s="954" t="s">
        <v>1359</v>
      </c>
      <c r="B11" s="948">
        <v>1000</v>
      </c>
      <c r="C11" s="950">
        <v>30</v>
      </c>
      <c r="D11" s="950">
        <v>32</v>
      </c>
      <c r="E11" s="950">
        <v>34</v>
      </c>
      <c r="F11" s="953">
        <f t="shared" si="0"/>
        <v>30000</v>
      </c>
      <c r="G11" s="945">
        <f t="shared" si="1"/>
        <v>32000</v>
      </c>
      <c r="H11" s="945">
        <f t="shared" si="2"/>
        <v>34000</v>
      </c>
      <c r="I11" s="948"/>
      <c r="J11" s="948"/>
      <c r="K11" s="948"/>
      <c r="L11" s="948"/>
    </row>
    <row r="12" spans="1:12" ht="17.25" customHeight="1">
      <c r="A12" s="948"/>
      <c r="B12" s="948"/>
      <c r="C12" s="948"/>
      <c r="D12" s="948"/>
      <c r="E12" s="948"/>
      <c r="F12" s="945"/>
      <c r="G12" s="945"/>
      <c r="H12" s="945"/>
      <c r="I12" s="948"/>
      <c r="J12" s="953"/>
      <c r="K12" s="948"/>
      <c r="L12" s="948"/>
    </row>
    <row r="13" spans="1:12">
      <c r="A13" s="954" t="s">
        <v>1360</v>
      </c>
      <c r="B13" s="948"/>
      <c r="C13" s="948"/>
      <c r="D13" s="948"/>
      <c r="E13" s="948"/>
      <c r="F13" s="957">
        <f>SUM(F5:F11)</f>
        <v>307500</v>
      </c>
      <c r="G13" s="957">
        <f>SUM(G5:G11)</f>
        <v>332300</v>
      </c>
      <c r="H13" s="957">
        <f>SUM(H5:H11)</f>
        <v>357100</v>
      </c>
      <c r="I13" s="948"/>
      <c r="J13" s="950"/>
      <c r="K13" s="948"/>
      <c r="L13" s="948"/>
    </row>
  </sheetData>
  <mergeCells count="3">
    <mergeCell ref="E4:L4"/>
    <mergeCell ref="K1:L1"/>
    <mergeCell ref="A2:L2"/>
  </mergeCell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70DC4-3477-4E6A-BC8A-38AD72E2CF89}">
  <dimension ref="A1:M65"/>
  <sheetViews>
    <sheetView topLeftCell="A10" workbookViewId="0">
      <selection activeCell="C64" sqref="C64"/>
    </sheetView>
  </sheetViews>
  <sheetFormatPr defaultColWidth="9.1796875" defaultRowHeight="11.5"/>
  <cols>
    <col min="1" max="1" width="9.1796875" style="429"/>
    <col min="2" max="2" width="50.81640625" style="429" customWidth="1"/>
    <col min="3" max="3" width="17" style="429" customWidth="1"/>
    <col min="4" max="4" width="20.1796875" style="429" customWidth="1"/>
    <col min="5" max="5" width="18.81640625" style="429" customWidth="1"/>
    <col min="6" max="6" width="11.453125" style="429" customWidth="1"/>
    <col min="7" max="7" width="10.81640625" style="429" customWidth="1"/>
    <col min="8" max="8" width="17.1796875" style="429" customWidth="1"/>
    <col min="9" max="9" width="16.453125" style="429" customWidth="1"/>
    <col min="10" max="11" width="9.1796875" style="429"/>
    <col min="12" max="12" width="8.81640625" style="429" customWidth="1"/>
    <col min="13" max="13" width="16.1796875" style="429" customWidth="1"/>
    <col min="14" max="16384" width="9.1796875" style="429"/>
  </cols>
  <sheetData>
    <row r="1" spans="1:5">
      <c r="E1" s="429" t="s">
        <v>1573</v>
      </c>
    </row>
    <row r="3" spans="1:5" ht="23">
      <c r="B3" s="430" t="s">
        <v>575</v>
      </c>
    </row>
    <row r="4" spans="1:5">
      <c r="A4" s="437"/>
      <c r="B4" s="437" t="s">
        <v>576</v>
      </c>
      <c r="C4" s="437"/>
      <c r="D4" s="437"/>
      <c r="E4" s="437"/>
    </row>
    <row r="5" spans="1:5">
      <c r="A5" s="437"/>
      <c r="B5" s="437" t="s">
        <v>649</v>
      </c>
      <c r="C5" s="437"/>
      <c r="D5" s="437"/>
      <c r="E5" s="437" t="s">
        <v>648</v>
      </c>
    </row>
    <row r="6" spans="1:5" ht="23">
      <c r="A6" s="435">
        <v>1</v>
      </c>
      <c r="B6" s="436" t="s">
        <v>577</v>
      </c>
      <c r="C6" s="434"/>
      <c r="D6" s="434"/>
      <c r="E6" s="434">
        <v>21144.75</v>
      </c>
    </row>
    <row r="7" spans="1:5">
      <c r="A7" s="435">
        <v>2</v>
      </c>
      <c r="B7" s="436" t="s">
        <v>578</v>
      </c>
      <c r="C7" s="434"/>
      <c r="D7" s="434"/>
      <c r="E7" s="434">
        <v>1452</v>
      </c>
    </row>
    <row r="8" spans="1:5">
      <c r="A8" s="435">
        <v>3</v>
      </c>
      <c r="B8" s="436" t="s">
        <v>579</v>
      </c>
      <c r="C8" s="434"/>
      <c r="D8" s="434"/>
      <c r="E8" s="434">
        <v>4840</v>
      </c>
    </row>
    <row r="9" spans="1:5">
      <c r="A9" s="435">
        <v>4</v>
      </c>
      <c r="B9" s="436" t="s">
        <v>580</v>
      </c>
      <c r="C9" s="434"/>
      <c r="D9" s="434"/>
      <c r="E9" s="434">
        <v>459.8</v>
      </c>
    </row>
    <row r="10" spans="1:5">
      <c r="A10" s="435">
        <v>5</v>
      </c>
      <c r="B10" s="436" t="s">
        <v>581</v>
      </c>
      <c r="C10" s="434"/>
      <c r="D10" s="434"/>
      <c r="E10" s="434">
        <v>1573</v>
      </c>
    </row>
    <row r="11" spans="1:5">
      <c r="A11" s="435">
        <v>6</v>
      </c>
      <c r="B11" s="436" t="s">
        <v>582</v>
      </c>
      <c r="C11" s="434"/>
      <c r="D11" s="434"/>
      <c r="E11" s="434">
        <v>369050</v>
      </c>
    </row>
    <row r="12" spans="1:5">
      <c r="A12" s="435">
        <v>7</v>
      </c>
      <c r="B12" s="436" t="s">
        <v>583</v>
      </c>
      <c r="C12" s="434"/>
      <c r="D12" s="434"/>
      <c r="E12" s="434">
        <v>4803.91</v>
      </c>
    </row>
    <row r="13" spans="1:5">
      <c r="A13" s="435">
        <v>8</v>
      </c>
      <c r="B13" s="436" t="s">
        <v>584</v>
      </c>
      <c r="C13" s="434"/>
      <c r="D13" s="434"/>
      <c r="E13" s="434">
        <v>13.96</v>
      </c>
    </row>
    <row r="14" spans="1:5">
      <c r="A14" s="435">
        <v>9</v>
      </c>
      <c r="B14" s="436" t="s">
        <v>585</v>
      </c>
      <c r="C14" s="434"/>
      <c r="D14" s="434"/>
      <c r="E14" s="434">
        <v>242.95</v>
      </c>
    </row>
    <row r="15" spans="1:5">
      <c r="A15" s="435">
        <v>10</v>
      </c>
      <c r="B15" s="436" t="s">
        <v>586</v>
      </c>
      <c r="C15" s="434"/>
      <c r="D15" s="434"/>
      <c r="E15" s="434">
        <v>1089</v>
      </c>
    </row>
    <row r="16" spans="1:5">
      <c r="A16" s="435"/>
      <c r="B16" s="434"/>
      <c r="C16" s="434"/>
      <c r="D16" s="434"/>
      <c r="E16" s="434"/>
    </row>
    <row r="17" spans="1:9">
      <c r="A17" s="435"/>
      <c r="B17" s="434"/>
      <c r="C17" s="434"/>
      <c r="D17" s="437" t="s">
        <v>587</v>
      </c>
      <c r="E17" s="438">
        <f>SUM(E6:E15)</f>
        <v>404669.37</v>
      </c>
      <c r="G17" s="1737" t="s">
        <v>588</v>
      </c>
      <c r="H17" s="1737"/>
      <c r="I17" s="432">
        <f>E17/8</f>
        <v>50583.671249999999</v>
      </c>
    </row>
    <row r="18" spans="1:9">
      <c r="A18" s="431"/>
    </row>
    <row r="20" spans="1:9">
      <c r="A20" s="437"/>
      <c r="B20" s="437" t="s">
        <v>589</v>
      </c>
      <c r="C20" s="1738" t="s">
        <v>590</v>
      </c>
      <c r="D20" s="1738"/>
      <c r="E20" s="437" t="s">
        <v>591</v>
      </c>
      <c r="F20" s="437"/>
      <c r="G20" s="437"/>
      <c r="H20" s="437"/>
      <c r="I20" s="437"/>
    </row>
    <row r="21" spans="1:9">
      <c r="A21" s="434">
        <v>1</v>
      </c>
      <c r="B21" s="436" t="s">
        <v>592</v>
      </c>
      <c r="C21" s="434"/>
      <c r="D21" s="434"/>
      <c r="E21" s="434">
        <v>1149.5</v>
      </c>
      <c r="F21" s="434"/>
      <c r="G21" s="434"/>
      <c r="H21" s="434"/>
      <c r="I21" s="434"/>
    </row>
    <row r="22" spans="1:9">
      <c r="A22" s="434">
        <v>2</v>
      </c>
      <c r="B22" s="436" t="s">
        <v>593</v>
      </c>
      <c r="C22" s="434"/>
      <c r="D22" s="434"/>
      <c r="E22" s="434">
        <v>36905</v>
      </c>
      <c r="F22" s="434"/>
      <c r="G22" s="434"/>
      <c r="H22" s="434"/>
      <c r="I22" s="434"/>
    </row>
    <row r="23" spans="1:9">
      <c r="A23" s="434"/>
      <c r="B23" s="434"/>
      <c r="C23" s="434"/>
      <c r="D23" s="437" t="s">
        <v>540</v>
      </c>
      <c r="E23" s="438">
        <f>SUM(E21:E22)</f>
        <v>38054.5</v>
      </c>
      <c r="F23" s="434"/>
      <c r="G23" s="434"/>
      <c r="H23" s="434"/>
      <c r="I23" s="434"/>
    </row>
    <row r="25" spans="1:9" ht="23">
      <c r="A25" s="437"/>
      <c r="B25" s="437" t="s">
        <v>594</v>
      </c>
      <c r="C25" s="437" t="s">
        <v>595</v>
      </c>
      <c r="D25" s="437" t="s">
        <v>596</v>
      </c>
      <c r="E25" s="437" t="s">
        <v>597</v>
      </c>
      <c r="F25" s="437" t="s">
        <v>598</v>
      </c>
      <c r="G25" s="437" t="s">
        <v>599</v>
      </c>
      <c r="H25" s="437" t="s">
        <v>600</v>
      </c>
      <c r="I25" s="437" t="s">
        <v>601</v>
      </c>
    </row>
    <row r="26" spans="1:9">
      <c r="A26" s="434">
        <v>1</v>
      </c>
      <c r="B26" s="436" t="s">
        <v>602</v>
      </c>
      <c r="C26" s="434">
        <v>1000</v>
      </c>
      <c r="D26" s="439">
        <v>5.1520000000000001</v>
      </c>
      <c r="E26" s="439" t="s">
        <v>603</v>
      </c>
      <c r="F26" s="434">
        <v>4</v>
      </c>
      <c r="G26" s="434">
        <f>ROUND(D26/C26*F26,2)</f>
        <v>0.02</v>
      </c>
      <c r="H26" s="434">
        <f>43157/2</f>
        <v>21578.5</v>
      </c>
      <c r="I26" s="434">
        <f>ROUND(G26*H26,2)</f>
        <v>431.57</v>
      </c>
    </row>
    <row r="27" spans="1:9" ht="20.25" customHeight="1">
      <c r="A27" s="434">
        <v>2</v>
      </c>
      <c r="B27" s="436" t="s">
        <v>604</v>
      </c>
      <c r="C27" s="434">
        <v>1</v>
      </c>
      <c r="D27" s="439">
        <v>0.49252000000000001</v>
      </c>
      <c r="E27" s="439" t="s">
        <v>603</v>
      </c>
      <c r="F27" s="434">
        <v>1</v>
      </c>
      <c r="G27" s="434">
        <f t="shared" ref="G27:G37" si="0">ROUND(D27/C27*F27,2)</f>
        <v>0.49</v>
      </c>
      <c r="H27" s="434">
        <f t="shared" ref="H27:H37" si="1">43157/2</f>
        <v>21578.5</v>
      </c>
      <c r="I27" s="434">
        <f t="shared" ref="I27:I37" si="2">ROUND(G27*H27,2)</f>
        <v>10573.47</v>
      </c>
    </row>
    <row r="28" spans="1:9">
      <c r="A28" s="434">
        <v>3</v>
      </c>
      <c r="B28" s="436" t="s">
        <v>605</v>
      </c>
      <c r="C28" s="434">
        <v>930</v>
      </c>
      <c r="D28" s="439">
        <v>20.5337</v>
      </c>
      <c r="E28" s="439" t="s">
        <v>603</v>
      </c>
      <c r="F28" s="434">
        <v>1</v>
      </c>
      <c r="G28" s="434">
        <f t="shared" si="0"/>
        <v>0.02</v>
      </c>
      <c r="H28" s="434">
        <f t="shared" si="1"/>
        <v>21578.5</v>
      </c>
      <c r="I28" s="434">
        <f t="shared" si="2"/>
        <v>431.57</v>
      </c>
    </row>
    <row r="29" spans="1:9">
      <c r="A29" s="434">
        <v>4</v>
      </c>
      <c r="B29" s="436" t="s">
        <v>606</v>
      </c>
      <c r="C29" s="434">
        <v>3315</v>
      </c>
      <c r="D29" s="439">
        <v>3.7267999999999999</v>
      </c>
      <c r="E29" s="439" t="s">
        <v>603</v>
      </c>
      <c r="F29" s="434">
        <v>1</v>
      </c>
      <c r="G29" s="434">
        <f t="shared" si="0"/>
        <v>0</v>
      </c>
      <c r="H29" s="434">
        <f t="shared" si="1"/>
        <v>21578.5</v>
      </c>
      <c r="I29" s="434">
        <f t="shared" si="2"/>
        <v>0</v>
      </c>
    </row>
    <row r="30" spans="1:9">
      <c r="A30" s="434">
        <v>5</v>
      </c>
      <c r="B30" s="436" t="s">
        <v>607</v>
      </c>
      <c r="C30" s="434">
        <v>1</v>
      </c>
      <c r="D30" s="439">
        <v>2.4199999999999999E-2</v>
      </c>
      <c r="E30" s="439" t="s">
        <v>603</v>
      </c>
      <c r="F30" s="434">
        <v>1</v>
      </c>
      <c r="G30" s="434">
        <f t="shared" si="0"/>
        <v>0.02</v>
      </c>
      <c r="H30" s="434">
        <f t="shared" si="1"/>
        <v>21578.5</v>
      </c>
      <c r="I30" s="434">
        <f t="shared" si="2"/>
        <v>431.57</v>
      </c>
    </row>
    <row r="31" spans="1:9" ht="15.75" customHeight="1">
      <c r="A31" s="434">
        <v>6</v>
      </c>
      <c r="B31" s="436" t="s">
        <v>608</v>
      </c>
      <c r="C31" s="434">
        <v>1</v>
      </c>
      <c r="D31" s="439">
        <v>3.40799999</v>
      </c>
      <c r="E31" s="439" t="s">
        <v>603</v>
      </c>
      <c r="F31" s="434">
        <v>1</v>
      </c>
      <c r="G31" s="434">
        <f t="shared" si="0"/>
        <v>3.41</v>
      </c>
      <c r="H31" s="434">
        <f t="shared" si="1"/>
        <v>21578.5</v>
      </c>
      <c r="I31" s="434">
        <f t="shared" si="2"/>
        <v>73582.69</v>
      </c>
    </row>
    <row r="32" spans="1:9">
      <c r="A32" s="434">
        <v>7</v>
      </c>
      <c r="B32" s="436" t="s">
        <v>609</v>
      </c>
      <c r="C32" s="434">
        <v>1</v>
      </c>
      <c r="D32" s="439">
        <v>3.9573329999999997E-2</v>
      </c>
      <c r="E32" s="439" t="s">
        <v>603</v>
      </c>
      <c r="F32" s="434">
        <v>1</v>
      </c>
      <c r="G32" s="434">
        <f t="shared" si="0"/>
        <v>0.04</v>
      </c>
      <c r="H32" s="434">
        <f t="shared" si="1"/>
        <v>21578.5</v>
      </c>
      <c r="I32" s="434">
        <f t="shared" si="2"/>
        <v>863.14</v>
      </c>
    </row>
    <row r="33" spans="1:9">
      <c r="A33" s="434">
        <v>8</v>
      </c>
      <c r="B33" s="436" t="s">
        <v>610</v>
      </c>
      <c r="C33" s="434">
        <v>1</v>
      </c>
      <c r="D33" s="439">
        <v>0.32</v>
      </c>
      <c r="E33" s="439" t="s">
        <v>603</v>
      </c>
      <c r="F33" s="434">
        <v>1</v>
      </c>
      <c r="G33" s="434">
        <f t="shared" si="0"/>
        <v>0.32</v>
      </c>
      <c r="H33" s="434">
        <f t="shared" si="1"/>
        <v>21578.5</v>
      </c>
      <c r="I33" s="434">
        <f t="shared" si="2"/>
        <v>6905.12</v>
      </c>
    </row>
    <row r="34" spans="1:9">
      <c r="A34" s="434">
        <v>9</v>
      </c>
      <c r="B34" s="436" t="s">
        <v>611</v>
      </c>
      <c r="C34" s="434">
        <v>1</v>
      </c>
      <c r="D34" s="439">
        <v>0.23</v>
      </c>
      <c r="E34" s="439" t="s">
        <v>603</v>
      </c>
      <c r="F34" s="434">
        <v>1</v>
      </c>
      <c r="G34" s="434">
        <f t="shared" si="0"/>
        <v>0.23</v>
      </c>
      <c r="H34" s="434">
        <f t="shared" si="1"/>
        <v>21578.5</v>
      </c>
      <c r="I34" s="434">
        <f t="shared" si="2"/>
        <v>4963.0600000000004</v>
      </c>
    </row>
    <row r="35" spans="1:9" ht="21" customHeight="1">
      <c r="A35" s="434">
        <v>10</v>
      </c>
      <c r="B35" s="436" t="s">
        <v>612</v>
      </c>
      <c r="C35" s="434">
        <v>1</v>
      </c>
      <c r="D35" s="439">
        <v>0.21</v>
      </c>
      <c r="E35" s="439" t="s">
        <v>603</v>
      </c>
      <c r="F35" s="434">
        <v>1</v>
      </c>
      <c r="G35" s="434">
        <f t="shared" si="0"/>
        <v>0.21</v>
      </c>
      <c r="H35" s="434">
        <f t="shared" si="1"/>
        <v>21578.5</v>
      </c>
      <c r="I35" s="434">
        <f t="shared" si="2"/>
        <v>4531.49</v>
      </c>
    </row>
    <row r="36" spans="1:9">
      <c r="A36" s="434">
        <v>11</v>
      </c>
      <c r="B36" s="436" t="s">
        <v>613</v>
      </c>
      <c r="C36" s="434">
        <v>1</v>
      </c>
      <c r="D36" s="439">
        <v>0.01</v>
      </c>
      <c r="E36" s="439" t="s">
        <v>603</v>
      </c>
      <c r="F36" s="434">
        <v>1</v>
      </c>
      <c r="G36" s="434">
        <f t="shared" si="0"/>
        <v>0.01</v>
      </c>
      <c r="H36" s="434">
        <f t="shared" si="1"/>
        <v>21578.5</v>
      </c>
      <c r="I36" s="434">
        <f t="shared" si="2"/>
        <v>215.79</v>
      </c>
    </row>
    <row r="37" spans="1:9">
      <c r="A37" s="434">
        <v>12</v>
      </c>
      <c r="B37" s="436" t="s">
        <v>614</v>
      </c>
      <c r="C37" s="434">
        <v>1</v>
      </c>
      <c r="D37" s="439">
        <v>1.146096</v>
      </c>
      <c r="E37" s="439" t="s">
        <v>603</v>
      </c>
      <c r="F37" s="434">
        <v>1</v>
      </c>
      <c r="G37" s="434">
        <f t="shared" si="0"/>
        <v>1.1499999999999999</v>
      </c>
      <c r="H37" s="434">
        <f t="shared" si="1"/>
        <v>21578.5</v>
      </c>
      <c r="I37" s="434">
        <f t="shared" si="2"/>
        <v>24815.279999999999</v>
      </c>
    </row>
    <row r="38" spans="1:9">
      <c r="A38" s="434"/>
      <c r="B38" s="434"/>
      <c r="C38" s="434"/>
      <c r="D38" s="434"/>
      <c r="E38" s="434"/>
      <c r="F38" s="434"/>
      <c r="G38" s="434"/>
      <c r="H38" s="437" t="s">
        <v>615</v>
      </c>
      <c r="I38" s="438">
        <f>SUM(I26:I37)</f>
        <v>127744.74999999999</v>
      </c>
    </row>
    <row r="40" spans="1:9" ht="34.5">
      <c r="A40" s="437"/>
      <c r="B40" s="437" t="s">
        <v>616</v>
      </c>
      <c r="C40" s="437" t="s">
        <v>596</v>
      </c>
      <c r="D40" s="437" t="s">
        <v>617</v>
      </c>
      <c r="E40" s="437" t="s">
        <v>618</v>
      </c>
      <c r="F40" s="437" t="s">
        <v>619</v>
      </c>
      <c r="G40" s="437" t="s">
        <v>601</v>
      </c>
    </row>
    <row r="41" spans="1:9">
      <c r="A41" s="434">
        <v>1</v>
      </c>
      <c r="B41" s="436" t="s">
        <v>620</v>
      </c>
      <c r="C41" s="439">
        <v>515.46</v>
      </c>
      <c r="D41" s="435">
        <v>17544</v>
      </c>
      <c r="E41" s="439">
        <f>ROUND(C41/D41,2)</f>
        <v>0.03</v>
      </c>
      <c r="F41" s="434">
        <f t="shared" ref="F41:F53" si="3">43157/2</f>
        <v>21578.5</v>
      </c>
      <c r="G41" s="434">
        <f>ROUND(F41*E41,2)</f>
        <v>647.36</v>
      </c>
    </row>
    <row r="42" spans="1:9">
      <c r="A42" s="434">
        <v>2</v>
      </c>
      <c r="B42" s="436" t="s">
        <v>621</v>
      </c>
      <c r="C42" s="439">
        <v>0.60984000000000005</v>
      </c>
      <c r="D42" s="435">
        <v>24</v>
      </c>
      <c r="E42" s="439">
        <f t="shared" ref="E42:E53" si="4">ROUND(C42/D42,2)</f>
        <v>0.03</v>
      </c>
      <c r="F42" s="434">
        <f t="shared" si="3"/>
        <v>21578.5</v>
      </c>
      <c r="G42" s="434">
        <f t="shared" ref="G42:G53" si="5">ROUND(F42*E42,2)</f>
        <v>647.36</v>
      </c>
    </row>
    <row r="43" spans="1:9">
      <c r="A43" s="434">
        <v>3</v>
      </c>
      <c r="B43" s="436" t="s">
        <v>622</v>
      </c>
      <c r="C43" s="439">
        <v>3.2928000000000002</v>
      </c>
      <c r="D43" s="435">
        <v>140</v>
      </c>
      <c r="E43" s="439">
        <f t="shared" si="4"/>
        <v>0.02</v>
      </c>
      <c r="F43" s="434">
        <f t="shared" si="3"/>
        <v>21578.5</v>
      </c>
      <c r="G43" s="434">
        <f t="shared" si="5"/>
        <v>431.57</v>
      </c>
    </row>
    <row r="44" spans="1:9">
      <c r="A44" s="434">
        <v>4</v>
      </c>
      <c r="B44" s="436" t="s">
        <v>623</v>
      </c>
      <c r="C44" s="439">
        <v>0.52326399999999995</v>
      </c>
      <c r="D44" s="435">
        <v>24</v>
      </c>
      <c r="E44" s="439">
        <f t="shared" si="4"/>
        <v>0.02</v>
      </c>
      <c r="F44" s="434">
        <f t="shared" si="3"/>
        <v>21578.5</v>
      </c>
      <c r="G44" s="434">
        <f t="shared" si="5"/>
        <v>431.57</v>
      </c>
    </row>
    <row r="45" spans="1:9">
      <c r="A45" s="434">
        <v>5</v>
      </c>
      <c r="B45" s="436" t="s">
        <v>624</v>
      </c>
      <c r="C45" s="439">
        <v>1.03488</v>
      </c>
      <c r="D45" s="435">
        <v>24</v>
      </c>
      <c r="E45" s="439">
        <f t="shared" si="4"/>
        <v>0.04</v>
      </c>
      <c r="F45" s="434">
        <f t="shared" si="3"/>
        <v>21578.5</v>
      </c>
      <c r="G45" s="434">
        <f t="shared" si="5"/>
        <v>863.14</v>
      </c>
    </row>
    <row r="46" spans="1:9">
      <c r="A46" s="434">
        <v>6</v>
      </c>
      <c r="B46" s="436" t="s">
        <v>625</v>
      </c>
      <c r="C46" s="439">
        <v>0.2</v>
      </c>
      <c r="D46" s="435">
        <v>24</v>
      </c>
      <c r="E46" s="439">
        <f t="shared" si="4"/>
        <v>0.01</v>
      </c>
      <c r="F46" s="434">
        <f t="shared" si="3"/>
        <v>21578.5</v>
      </c>
      <c r="G46" s="434">
        <f t="shared" si="5"/>
        <v>215.79</v>
      </c>
    </row>
    <row r="47" spans="1:9">
      <c r="A47" s="434">
        <v>7</v>
      </c>
      <c r="B47" s="436" t="s">
        <v>626</v>
      </c>
      <c r="C47" s="439">
        <v>0.21279999999999999</v>
      </c>
      <c r="D47" s="435">
        <v>24</v>
      </c>
      <c r="E47" s="439">
        <f t="shared" si="4"/>
        <v>0.01</v>
      </c>
      <c r="F47" s="434">
        <f t="shared" si="3"/>
        <v>21578.5</v>
      </c>
      <c r="G47" s="434">
        <f t="shared" si="5"/>
        <v>215.79</v>
      </c>
    </row>
    <row r="48" spans="1:9">
      <c r="A48" s="434">
        <v>8</v>
      </c>
      <c r="B48" s="436" t="s">
        <v>627</v>
      </c>
      <c r="C48" s="439">
        <v>0.19936000000000001</v>
      </c>
      <c r="D48" s="435">
        <v>24</v>
      </c>
      <c r="E48" s="439">
        <f t="shared" si="4"/>
        <v>0.01</v>
      </c>
      <c r="F48" s="434">
        <f t="shared" si="3"/>
        <v>21578.5</v>
      </c>
      <c r="G48" s="434">
        <f t="shared" si="5"/>
        <v>215.79</v>
      </c>
    </row>
    <row r="49" spans="1:13">
      <c r="A49" s="434">
        <v>9</v>
      </c>
      <c r="B49" s="436" t="s">
        <v>628</v>
      </c>
      <c r="C49" s="439">
        <v>5.6896000000000004</v>
      </c>
      <c r="D49" s="435">
        <v>2924</v>
      </c>
      <c r="E49" s="439">
        <f t="shared" si="4"/>
        <v>0</v>
      </c>
      <c r="F49" s="434">
        <f t="shared" si="3"/>
        <v>21578.5</v>
      </c>
      <c r="G49" s="434">
        <f t="shared" si="5"/>
        <v>0</v>
      </c>
    </row>
    <row r="50" spans="1:13">
      <c r="A50" s="434">
        <v>10</v>
      </c>
      <c r="B50" s="436" t="s">
        <v>629</v>
      </c>
      <c r="C50" s="439">
        <v>16.463999999999999</v>
      </c>
      <c r="D50" s="435">
        <v>2924</v>
      </c>
      <c r="E50" s="439">
        <f t="shared" si="4"/>
        <v>0.01</v>
      </c>
      <c r="F50" s="434">
        <f t="shared" si="3"/>
        <v>21578.5</v>
      </c>
      <c r="G50" s="434">
        <f t="shared" si="5"/>
        <v>215.79</v>
      </c>
    </row>
    <row r="51" spans="1:13">
      <c r="A51" s="434">
        <v>11</v>
      </c>
      <c r="B51" s="436" t="s">
        <v>630</v>
      </c>
      <c r="C51" s="439">
        <v>78.650000000000006</v>
      </c>
      <c r="D51" s="435">
        <v>17544</v>
      </c>
      <c r="E51" s="439">
        <f t="shared" si="4"/>
        <v>0</v>
      </c>
      <c r="F51" s="434">
        <f t="shared" si="3"/>
        <v>21578.5</v>
      </c>
      <c r="G51" s="434">
        <f t="shared" si="5"/>
        <v>0</v>
      </c>
    </row>
    <row r="52" spans="1:13">
      <c r="A52" s="434">
        <v>12</v>
      </c>
      <c r="B52" s="436" t="s">
        <v>631</v>
      </c>
      <c r="C52" s="439">
        <v>6.28</v>
      </c>
      <c r="D52" s="435">
        <v>140</v>
      </c>
      <c r="E52" s="439">
        <f t="shared" si="4"/>
        <v>0.04</v>
      </c>
      <c r="F52" s="434">
        <f t="shared" si="3"/>
        <v>21578.5</v>
      </c>
      <c r="G52" s="434">
        <f t="shared" si="5"/>
        <v>863.14</v>
      </c>
    </row>
    <row r="53" spans="1:13">
      <c r="A53" s="434">
        <v>13</v>
      </c>
      <c r="B53" s="436" t="s">
        <v>632</v>
      </c>
      <c r="C53" s="439">
        <v>0.56192399999999998</v>
      </c>
      <c r="D53" s="435">
        <v>24</v>
      </c>
      <c r="E53" s="439">
        <f t="shared" si="4"/>
        <v>0.02</v>
      </c>
      <c r="F53" s="434">
        <f t="shared" si="3"/>
        <v>21578.5</v>
      </c>
      <c r="G53" s="434">
        <f t="shared" si="5"/>
        <v>431.57</v>
      </c>
    </row>
    <row r="54" spans="1:13">
      <c r="A54" s="434"/>
      <c r="B54" s="434"/>
      <c r="C54" s="434"/>
      <c r="D54" s="434"/>
      <c r="E54" s="434"/>
      <c r="F54" s="440" t="s">
        <v>615</v>
      </c>
      <c r="G54" s="438">
        <f>SUM(G41:G53)</f>
        <v>5178.87</v>
      </c>
    </row>
    <row r="57" spans="1:13" ht="50.25" customHeight="1">
      <c r="B57" s="437" t="s">
        <v>633</v>
      </c>
      <c r="C57" s="437" t="s">
        <v>634</v>
      </c>
      <c r="D57" s="437" t="s">
        <v>635</v>
      </c>
      <c r="E57" s="437" t="s">
        <v>636</v>
      </c>
      <c r="F57" s="437" t="s">
        <v>637</v>
      </c>
      <c r="G57" s="437" t="s">
        <v>638</v>
      </c>
      <c r="H57" s="437" t="s">
        <v>639</v>
      </c>
      <c r="I57" s="444"/>
      <c r="J57" s="437"/>
      <c r="K57" s="437" t="s">
        <v>640</v>
      </c>
      <c r="L57" s="437" t="s">
        <v>641</v>
      </c>
      <c r="M57" s="437" t="s">
        <v>642</v>
      </c>
    </row>
    <row r="58" spans="1:13">
      <c r="B58" s="441" t="s">
        <v>643</v>
      </c>
      <c r="C58" s="441">
        <v>10</v>
      </c>
      <c r="D58" s="441">
        <v>13</v>
      </c>
      <c r="E58" s="441">
        <f>AVERAGE(C58:D58)</f>
        <v>11.5</v>
      </c>
      <c r="F58" s="441">
        <f>ROUND(E58*K59,2)</f>
        <v>2.23</v>
      </c>
      <c r="G58" s="1739">
        <f>ROUND((F58+F59)*M59,2)</f>
        <v>0.84</v>
      </c>
      <c r="H58" s="1740">
        <f>ROUND((G58+F58+F59)*F53,2)</f>
        <v>95161.19</v>
      </c>
      <c r="I58" s="442"/>
      <c r="J58" s="442" t="s">
        <v>644</v>
      </c>
      <c r="K58" s="433">
        <v>1862</v>
      </c>
      <c r="L58" s="433">
        <v>1117</v>
      </c>
      <c r="M58" s="442"/>
    </row>
    <row r="59" spans="1:13">
      <c r="B59" s="441" t="s">
        <v>645</v>
      </c>
      <c r="C59" s="441">
        <v>10</v>
      </c>
      <c r="D59" s="441">
        <v>13</v>
      </c>
      <c r="E59" s="441">
        <f>AVERAGE(C59:D59)</f>
        <v>11.5</v>
      </c>
      <c r="F59" s="441">
        <f>ROUND(E59*L59,2)</f>
        <v>1.34</v>
      </c>
      <c r="G59" s="1739"/>
      <c r="H59" s="1740"/>
      <c r="I59" s="443" t="s">
        <v>646</v>
      </c>
      <c r="J59" s="443"/>
      <c r="K59" s="433">
        <v>0.19400000000000001</v>
      </c>
      <c r="L59" s="433">
        <v>0.1164</v>
      </c>
      <c r="M59" s="433">
        <v>0.2359</v>
      </c>
    </row>
    <row r="64" spans="1:13">
      <c r="B64" s="437" t="s">
        <v>1349</v>
      </c>
      <c r="C64" s="446">
        <f>H58+G54+I38+E23+I17</f>
        <v>316722.98125000001</v>
      </c>
    </row>
    <row r="65" spans="2:3">
      <c r="B65" s="437" t="s">
        <v>647</v>
      </c>
      <c r="C65" s="445">
        <f>C64/12</f>
        <v>26393.581770833334</v>
      </c>
    </row>
  </sheetData>
  <mergeCells count="4">
    <mergeCell ref="G17:H17"/>
    <mergeCell ref="C20:D20"/>
    <mergeCell ref="G58:G59"/>
    <mergeCell ref="H58:H5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369B1-1BC4-44ED-AEB1-2A425E0FFADA}">
  <dimension ref="A1:H24"/>
  <sheetViews>
    <sheetView workbookViewId="0">
      <selection activeCell="A3" sqref="A3"/>
    </sheetView>
  </sheetViews>
  <sheetFormatPr defaultColWidth="9.1796875" defaultRowHeight="13"/>
  <cols>
    <col min="1" max="1" width="26.81640625" style="1075" customWidth="1"/>
    <col min="2" max="2" width="15" style="1075" customWidth="1"/>
    <col min="3" max="3" width="15.81640625" style="1075" customWidth="1"/>
    <col min="4" max="4" width="18.1796875" style="1075" customWidth="1"/>
    <col min="5" max="5" width="14.453125" style="1266" customWidth="1"/>
    <col min="6" max="6" width="14.54296875" style="1266" customWidth="1"/>
    <col min="7" max="7" width="18.453125" style="1266" customWidth="1"/>
    <col min="8" max="8" width="19.1796875" style="1266" customWidth="1"/>
    <col min="9" max="16384" width="9.1796875" style="1075"/>
  </cols>
  <sheetData>
    <row r="1" spans="1:8">
      <c r="H1" s="1266" t="s">
        <v>1584</v>
      </c>
    </row>
    <row r="2" spans="1:8">
      <c r="A2" s="1741" t="s">
        <v>1454</v>
      </c>
      <c r="B2" s="1741"/>
      <c r="C2" s="1741"/>
      <c r="D2" s="1741"/>
      <c r="E2" s="1741"/>
      <c r="F2" s="1741"/>
      <c r="G2" s="1741"/>
      <c r="H2" s="1741"/>
    </row>
    <row r="3" spans="1:8" ht="52">
      <c r="A3" s="1363" t="s">
        <v>555</v>
      </c>
      <c r="B3" s="1364" t="s">
        <v>556</v>
      </c>
      <c r="C3" s="1364" t="s">
        <v>1585</v>
      </c>
      <c r="D3" s="1364" t="s">
        <v>1586</v>
      </c>
      <c r="E3" s="1364" t="s">
        <v>558</v>
      </c>
      <c r="F3" s="1364" t="s">
        <v>1587</v>
      </c>
      <c r="G3" s="1364" t="s">
        <v>560</v>
      </c>
      <c r="H3" s="1364" t="s">
        <v>1588</v>
      </c>
    </row>
    <row r="4" spans="1:8" s="1099" customFormat="1" ht="39">
      <c r="A4" s="1357" t="s">
        <v>1582</v>
      </c>
      <c r="B4" s="1356">
        <v>3200</v>
      </c>
      <c r="C4" s="1355">
        <v>500</v>
      </c>
      <c r="D4" s="1355">
        <f>B4*C4</f>
        <v>1600000</v>
      </c>
      <c r="E4" s="1355">
        <v>3300</v>
      </c>
      <c r="F4" s="1355">
        <f>C4*E4</f>
        <v>1650000</v>
      </c>
      <c r="G4" s="1355">
        <v>3500</v>
      </c>
      <c r="H4" s="1355">
        <f>C4*G4</f>
        <v>1750000</v>
      </c>
    </row>
    <row r="5" spans="1:8" s="693" customFormat="1">
      <c r="A5" s="736"/>
      <c r="B5" s="1358"/>
      <c r="C5" s="1358"/>
      <c r="D5" s="1359">
        <f>SUM(D4:D4)</f>
        <v>1600000</v>
      </c>
      <c r="E5" s="1359"/>
      <c r="F5" s="1359">
        <f>SUM(F4:F4)</f>
        <v>1650000</v>
      </c>
      <c r="G5" s="1359"/>
      <c r="H5" s="1359">
        <f>SUM(H4:H4)</f>
        <v>1750000</v>
      </c>
    </row>
    <row r="6" spans="1:8" ht="13.5" thickBot="1">
      <c r="B6" s="1266"/>
      <c r="C6" s="1266"/>
      <c r="D6" s="1360" t="s">
        <v>688</v>
      </c>
      <c r="F6" s="1360" t="s">
        <v>1583</v>
      </c>
      <c r="H6" s="1360" t="s">
        <v>1511</v>
      </c>
    </row>
    <row r="7" spans="1:8">
      <c r="A7" s="1361"/>
    </row>
    <row r="8" spans="1:8">
      <c r="A8" s="1361"/>
    </row>
    <row r="9" spans="1:8">
      <c r="A9" s="1361"/>
    </row>
    <row r="10" spans="1:8">
      <c r="A10" s="1361"/>
    </row>
    <row r="24" spans="3:3">
      <c r="C24" s="1362"/>
    </row>
  </sheetData>
  <mergeCells count="1">
    <mergeCell ref="A2:H2"/>
  </mergeCells>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6FC65-63BF-440C-8B64-6CB21A441667}">
  <dimension ref="A1:R47"/>
  <sheetViews>
    <sheetView zoomScale="77" zoomScaleNormal="77" workbookViewId="0">
      <selection activeCell="F37" sqref="F37"/>
    </sheetView>
  </sheetViews>
  <sheetFormatPr defaultColWidth="9.1796875" defaultRowHeight="13"/>
  <cols>
    <col min="1" max="1" width="9.1796875" style="297"/>
    <col min="2" max="2" width="24.7265625" style="297" customWidth="1"/>
    <col min="3" max="6" width="9.1796875" style="297"/>
    <col min="7" max="7" width="13" style="297" customWidth="1"/>
    <col min="8" max="10" width="9.1796875" style="297"/>
    <col min="11" max="11" width="12.1796875" style="297" customWidth="1"/>
    <col min="12" max="16384" width="9.1796875" style="297"/>
  </cols>
  <sheetData>
    <row r="1" spans="1:14">
      <c r="J1" s="1555" t="s">
        <v>1057</v>
      </c>
      <c r="K1" s="1555"/>
      <c r="L1" s="1555"/>
    </row>
    <row r="2" spans="1:14">
      <c r="A2" s="1776" t="s">
        <v>1003</v>
      </c>
      <c r="B2" s="1776"/>
      <c r="C2" s="1776"/>
      <c r="D2" s="1776"/>
      <c r="E2" s="1776"/>
      <c r="F2" s="1776"/>
      <c r="G2" s="1776"/>
      <c r="H2" s="1776"/>
      <c r="I2" s="1776"/>
      <c r="J2" s="1776"/>
      <c r="K2" s="1776"/>
      <c r="L2" s="1776"/>
      <c r="M2" s="1776"/>
    </row>
    <row r="3" spans="1:14" ht="2.25" customHeight="1">
      <c r="A3" s="1776"/>
      <c r="B3" s="1776"/>
      <c r="C3" s="1776"/>
      <c r="D3" s="1776"/>
      <c r="E3" s="1776"/>
      <c r="F3" s="1776"/>
      <c r="G3" s="1776"/>
      <c r="H3" s="1776"/>
      <c r="I3" s="1776"/>
      <c r="J3" s="1776"/>
      <c r="K3" s="1776"/>
      <c r="L3" s="1776"/>
      <c r="M3" s="1776"/>
    </row>
    <row r="4" spans="1:14">
      <c r="A4" s="1777" t="s">
        <v>1004</v>
      </c>
      <c r="B4" s="1777"/>
      <c r="C4" s="1777"/>
      <c r="D4" s="1777"/>
      <c r="E4" s="1777"/>
      <c r="F4" s="1777"/>
      <c r="G4" s="1777"/>
      <c r="H4" s="1777"/>
      <c r="I4" s="1777"/>
      <c r="J4" s="1777"/>
      <c r="K4" s="1777"/>
      <c r="L4" s="1777"/>
      <c r="M4" s="714"/>
    </row>
    <row r="5" spans="1:14">
      <c r="A5" s="1778" t="s">
        <v>415</v>
      </c>
      <c r="B5" s="1779" t="s">
        <v>1005</v>
      </c>
      <c r="C5" s="1781" t="s">
        <v>1006</v>
      </c>
      <c r="D5" s="1782"/>
      <c r="E5" s="1782"/>
      <c r="F5" s="1782"/>
      <c r="G5" s="1782"/>
      <c r="H5" s="1782"/>
      <c r="I5" s="1782"/>
      <c r="J5" s="1782"/>
      <c r="K5" s="1783"/>
      <c r="L5" s="1573" t="s">
        <v>1007</v>
      </c>
    </row>
    <row r="6" spans="1:14" ht="91">
      <c r="A6" s="1778"/>
      <c r="B6" s="1780"/>
      <c r="C6" s="716" t="s">
        <v>1008</v>
      </c>
      <c r="D6" s="716" t="s">
        <v>1009</v>
      </c>
      <c r="E6" s="716" t="s">
        <v>1010</v>
      </c>
      <c r="F6" s="716" t="s">
        <v>1011</v>
      </c>
      <c r="G6" s="716" t="s">
        <v>1012</v>
      </c>
      <c r="H6" s="716" t="s">
        <v>1013</v>
      </c>
      <c r="I6" s="716" t="s">
        <v>1014</v>
      </c>
      <c r="J6" s="716" t="s">
        <v>1015</v>
      </c>
      <c r="K6" s="716" t="s">
        <v>1016</v>
      </c>
      <c r="L6" s="1784"/>
    </row>
    <row r="7" spans="1:14">
      <c r="A7" s="717" t="s">
        <v>4</v>
      </c>
      <c r="B7" s="718" t="s">
        <v>1017</v>
      </c>
      <c r="C7" s="719">
        <v>0</v>
      </c>
      <c r="D7" s="719">
        <v>0</v>
      </c>
      <c r="E7" s="719">
        <v>0</v>
      </c>
      <c r="F7" s="719">
        <v>32</v>
      </c>
      <c r="G7" s="719">
        <v>32</v>
      </c>
      <c r="H7" s="719">
        <v>32</v>
      </c>
      <c r="I7" s="719">
        <v>32</v>
      </c>
      <c r="J7" s="719">
        <v>0</v>
      </c>
      <c r="K7" s="719">
        <v>0</v>
      </c>
      <c r="L7" s="719">
        <f>C7+D7+E7+F7+G7+H7+I7+J7+K7</f>
        <v>128</v>
      </c>
      <c r="N7" s="675"/>
    </row>
    <row r="8" spans="1:14">
      <c r="A8" s="717" t="s">
        <v>5</v>
      </c>
      <c r="B8" s="718" t="s">
        <v>1018</v>
      </c>
      <c r="C8" s="719">
        <v>0</v>
      </c>
      <c r="D8" s="719">
        <v>0</v>
      </c>
      <c r="E8" s="719">
        <v>0</v>
      </c>
      <c r="F8" s="719">
        <v>120</v>
      </c>
      <c r="G8" s="719">
        <v>120</v>
      </c>
      <c r="H8" s="719">
        <v>120</v>
      </c>
      <c r="I8" s="719">
        <v>120</v>
      </c>
      <c r="J8" s="719">
        <v>0</v>
      </c>
      <c r="K8" s="719">
        <v>0</v>
      </c>
      <c r="L8" s="719">
        <f t="shared" ref="L8:L15" si="0">C8+D8+E8+F8+G8+H8+I8+J8+K8</f>
        <v>480</v>
      </c>
      <c r="N8" s="677"/>
    </row>
    <row r="9" spans="1:14">
      <c r="A9" s="717" t="s">
        <v>6</v>
      </c>
      <c r="B9" s="720" t="s">
        <v>1019</v>
      </c>
      <c r="C9" s="719">
        <v>0</v>
      </c>
      <c r="D9" s="719">
        <v>0</v>
      </c>
      <c r="E9" s="719">
        <v>48.790400000000005</v>
      </c>
      <c r="F9" s="719">
        <v>82.236800000000002</v>
      </c>
      <c r="G9" s="719">
        <v>106.9248</v>
      </c>
      <c r="H9" s="719">
        <v>138.06399999999999</v>
      </c>
      <c r="I9" s="719">
        <v>68.761600000000001</v>
      </c>
      <c r="J9" s="719">
        <v>0</v>
      </c>
      <c r="K9" s="719">
        <v>0</v>
      </c>
      <c r="L9" s="719">
        <f t="shared" si="0"/>
        <v>444.77759999999995</v>
      </c>
    </row>
    <row r="10" spans="1:14">
      <c r="A10" s="470" t="s">
        <v>1020</v>
      </c>
      <c r="B10" s="721" t="s">
        <v>1021</v>
      </c>
      <c r="C10" s="463">
        <v>0</v>
      </c>
      <c r="D10" s="463">
        <v>0</v>
      </c>
      <c r="E10" s="463">
        <v>178</v>
      </c>
      <c r="F10" s="463">
        <v>276</v>
      </c>
      <c r="G10" s="463">
        <v>436</v>
      </c>
      <c r="H10" s="463">
        <v>480</v>
      </c>
      <c r="I10" s="463">
        <v>212</v>
      </c>
      <c r="J10" s="463">
        <v>0</v>
      </c>
      <c r="K10" s="463">
        <v>0</v>
      </c>
      <c r="L10" s="719"/>
    </row>
    <row r="11" spans="1:14">
      <c r="A11" s="470"/>
      <c r="B11" s="722" t="s">
        <v>1022</v>
      </c>
      <c r="C11" s="463">
        <v>0</v>
      </c>
      <c r="D11" s="463">
        <v>0</v>
      </c>
      <c r="E11" s="463">
        <v>44.5</v>
      </c>
      <c r="F11" s="463">
        <v>138</v>
      </c>
      <c r="G11" s="463">
        <v>218</v>
      </c>
      <c r="H11" s="463">
        <v>240</v>
      </c>
      <c r="I11" s="463">
        <v>106</v>
      </c>
      <c r="J11" s="463">
        <v>0</v>
      </c>
      <c r="K11" s="463">
        <v>0</v>
      </c>
      <c r="L11" s="719"/>
      <c r="N11" s="677"/>
    </row>
    <row r="12" spans="1:14">
      <c r="A12" s="470"/>
      <c r="B12" s="721" t="s">
        <v>1023</v>
      </c>
      <c r="C12" s="463">
        <v>4</v>
      </c>
      <c r="D12" s="463">
        <v>4</v>
      </c>
      <c r="E12" s="463">
        <v>4</v>
      </c>
      <c r="F12" s="463">
        <v>2</v>
      </c>
      <c r="G12" s="463">
        <v>2</v>
      </c>
      <c r="H12" s="463">
        <v>2</v>
      </c>
      <c r="I12" s="463">
        <v>2</v>
      </c>
      <c r="J12" s="463">
        <v>4</v>
      </c>
      <c r="K12" s="463">
        <v>4</v>
      </c>
      <c r="L12" s="719"/>
      <c r="N12" s="675"/>
    </row>
    <row r="13" spans="1:14">
      <c r="A13" s="723" t="s">
        <v>1024</v>
      </c>
      <c r="B13" s="724" t="s">
        <v>1025</v>
      </c>
      <c r="C13" s="725">
        <v>0</v>
      </c>
      <c r="D13" s="725">
        <v>0</v>
      </c>
      <c r="E13" s="725">
        <v>28</v>
      </c>
      <c r="F13" s="725">
        <v>50</v>
      </c>
      <c r="G13" s="725">
        <v>56</v>
      </c>
      <c r="H13" s="725">
        <v>82</v>
      </c>
      <c r="I13" s="725">
        <v>44</v>
      </c>
      <c r="J13" s="725">
        <v>0</v>
      </c>
      <c r="K13" s="725">
        <v>0</v>
      </c>
      <c r="L13" s="719">
        <f t="shared" si="0"/>
        <v>260</v>
      </c>
    </row>
    <row r="14" spans="1:14">
      <c r="A14" s="470" t="s">
        <v>1026</v>
      </c>
      <c r="B14" s="724" t="s">
        <v>1027</v>
      </c>
      <c r="C14" s="725">
        <v>0</v>
      </c>
      <c r="D14" s="725">
        <v>0</v>
      </c>
      <c r="E14" s="725">
        <v>20.790400000000002</v>
      </c>
      <c r="F14" s="725">
        <v>32.236800000000002</v>
      </c>
      <c r="G14" s="725">
        <v>50.924799999999998</v>
      </c>
      <c r="H14" s="725">
        <v>56.064</v>
      </c>
      <c r="I14" s="725">
        <v>24.761600000000001</v>
      </c>
      <c r="J14" s="725">
        <v>0</v>
      </c>
      <c r="K14" s="725">
        <v>0</v>
      </c>
      <c r="L14" s="719">
        <f t="shared" si="0"/>
        <v>184.77760000000001</v>
      </c>
    </row>
    <row r="15" spans="1:14">
      <c r="A15" s="717" t="s">
        <v>7</v>
      </c>
      <c r="B15" s="720" t="s">
        <v>1028</v>
      </c>
      <c r="C15" s="719">
        <v>0</v>
      </c>
      <c r="D15" s="719">
        <v>0</v>
      </c>
      <c r="E15" s="719">
        <v>48.790400000000005</v>
      </c>
      <c r="F15" s="719">
        <v>234.23680000000002</v>
      </c>
      <c r="G15" s="719">
        <v>258.9248</v>
      </c>
      <c r="H15" s="719">
        <v>290.06399999999996</v>
      </c>
      <c r="I15" s="719">
        <v>220.76159999999999</v>
      </c>
      <c r="J15" s="719">
        <v>0</v>
      </c>
      <c r="K15" s="719">
        <v>0</v>
      </c>
      <c r="L15" s="726">
        <f t="shared" si="0"/>
        <v>1052.7775999999999</v>
      </c>
    </row>
    <row r="16" spans="1:14">
      <c r="A16" s="1758" t="s">
        <v>1029</v>
      </c>
      <c r="B16" s="1758"/>
      <c r="C16" s="1758"/>
      <c r="D16" s="1758"/>
      <c r="E16" s="1758"/>
      <c r="F16" s="1758"/>
      <c r="G16" s="1758"/>
      <c r="H16" s="1758"/>
      <c r="I16" s="1758"/>
      <c r="J16" s="1758"/>
      <c r="K16" s="1758"/>
      <c r="L16" s="1758"/>
      <c r="M16" s="368"/>
    </row>
    <row r="17" spans="1:18">
      <c r="A17" s="1622" t="s">
        <v>1030</v>
      </c>
      <c r="B17" s="1622"/>
      <c r="C17" s="1622"/>
      <c r="D17" s="1622"/>
      <c r="E17" s="1622"/>
      <c r="F17" s="1622"/>
      <c r="G17" s="1622"/>
      <c r="H17" s="1622"/>
      <c r="I17" s="1622"/>
      <c r="J17" s="1622"/>
      <c r="K17" s="1622"/>
      <c r="L17" s="1622"/>
      <c r="M17" s="368"/>
    </row>
    <row r="18" spans="1:18">
      <c r="A18" s="727" t="s">
        <v>1031</v>
      </c>
      <c r="B18" s="1759" t="s">
        <v>1032</v>
      </c>
      <c r="C18" s="1759"/>
      <c r="D18" s="1759"/>
      <c r="E18" s="1759"/>
      <c r="F18" s="1759"/>
      <c r="G18" s="674" t="s">
        <v>1033</v>
      </c>
    </row>
    <row r="19" spans="1:18" ht="26">
      <c r="A19" s="709" t="s">
        <v>25</v>
      </c>
      <c r="B19" s="710" t="s">
        <v>1034</v>
      </c>
      <c r="C19" s="1572" t="s">
        <v>1035</v>
      </c>
      <c r="D19" s="1572"/>
      <c r="E19" s="1572"/>
      <c r="F19" s="1572"/>
      <c r="G19" s="712">
        <v>1972</v>
      </c>
      <c r="J19" s="368"/>
      <c r="K19" s="368"/>
      <c r="L19" s="368"/>
      <c r="R19" s="711"/>
    </row>
    <row r="20" spans="1:18">
      <c r="A20" s="676" t="s">
        <v>1036</v>
      </c>
      <c r="B20" s="676"/>
      <c r="C20" s="676"/>
    </row>
    <row r="21" spans="1:18">
      <c r="A21" s="676"/>
      <c r="B21" s="676"/>
      <c r="C21" s="676"/>
    </row>
    <row r="23" spans="1:18">
      <c r="A23" s="1747" t="s">
        <v>1037</v>
      </c>
      <c r="B23" s="1747"/>
      <c r="C23" s="1747"/>
      <c r="D23" s="1747"/>
      <c r="E23" s="1747"/>
      <c r="F23" s="1747"/>
      <c r="G23" s="1747"/>
      <c r="H23" s="1747"/>
      <c r="I23" s="1747"/>
      <c r="J23" s="1747"/>
      <c r="K23" s="1747"/>
      <c r="L23" s="1747"/>
    </row>
    <row r="24" spans="1:18">
      <c r="A24" s="678" t="s">
        <v>415</v>
      </c>
      <c r="B24" s="383" t="s">
        <v>1038</v>
      </c>
      <c r="C24" s="1750" t="s">
        <v>1039</v>
      </c>
      <c r="D24" s="1751"/>
      <c r="E24" s="1748" t="s">
        <v>1040</v>
      </c>
      <c r="F24" s="1749"/>
      <c r="G24" s="1750" t="s">
        <v>1041</v>
      </c>
      <c r="H24" s="1751"/>
      <c r="I24" s="1750" t="s">
        <v>1042</v>
      </c>
      <c r="J24" s="1751"/>
      <c r="K24" s="1750" t="s">
        <v>1043</v>
      </c>
      <c r="L24" s="1751"/>
    </row>
    <row r="25" spans="1:18">
      <c r="A25" s="728" t="s">
        <v>9</v>
      </c>
      <c r="B25" s="729" t="s">
        <v>1044</v>
      </c>
      <c r="C25" s="1752">
        <v>2301.2458000000001</v>
      </c>
      <c r="D25" s="1753"/>
      <c r="E25" s="1754">
        <v>1</v>
      </c>
      <c r="F25" s="1755"/>
      <c r="G25" s="1764">
        <v>9515.1941000000006</v>
      </c>
      <c r="H25" s="1765"/>
      <c r="I25" s="1752">
        <v>27614.9496</v>
      </c>
      <c r="J25" s="1753"/>
      <c r="K25" s="1770">
        <f>I25+I26+I27+I28</f>
        <v>114182.32920000001</v>
      </c>
      <c r="L25" s="1771"/>
    </row>
    <row r="26" spans="1:18">
      <c r="A26" s="728" t="s">
        <v>8</v>
      </c>
      <c r="B26" s="729" t="s">
        <v>1045</v>
      </c>
      <c r="C26" s="1752">
        <v>2301.2458000000001</v>
      </c>
      <c r="D26" s="1753"/>
      <c r="E26" s="1754">
        <v>2</v>
      </c>
      <c r="F26" s="1755"/>
      <c r="G26" s="1766"/>
      <c r="H26" s="1767"/>
      <c r="I26" s="1752">
        <v>55229.8992</v>
      </c>
      <c r="J26" s="1753"/>
      <c r="K26" s="1772"/>
      <c r="L26" s="1773"/>
    </row>
    <row r="27" spans="1:18">
      <c r="A27" s="730" t="s">
        <v>10</v>
      </c>
      <c r="B27" s="729" t="s">
        <v>1046</v>
      </c>
      <c r="C27" s="1752">
        <v>1380.5002999999999</v>
      </c>
      <c r="D27" s="1753"/>
      <c r="E27" s="1756">
        <v>1</v>
      </c>
      <c r="F27" s="1757"/>
      <c r="G27" s="1766"/>
      <c r="H27" s="1767"/>
      <c r="I27" s="1752">
        <v>16566.0036</v>
      </c>
      <c r="J27" s="1753"/>
      <c r="K27" s="1772"/>
      <c r="L27" s="1773"/>
    </row>
    <row r="28" spans="1:18">
      <c r="A28" s="730" t="s">
        <v>71</v>
      </c>
      <c r="B28" s="729" t="s">
        <v>1047</v>
      </c>
      <c r="C28" s="1752">
        <v>1230.9564</v>
      </c>
      <c r="D28" s="1753"/>
      <c r="E28" s="1756">
        <v>1</v>
      </c>
      <c r="F28" s="1757"/>
      <c r="G28" s="1768"/>
      <c r="H28" s="1769"/>
      <c r="I28" s="1752">
        <v>14771.4768</v>
      </c>
      <c r="J28" s="1753"/>
      <c r="K28" s="1774"/>
      <c r="L28" s="1775"/>
    </row>
    <row r="29" spans="1:18">
      <c r="A29" s="1758" t="s">
        <v>1048</v>
      </c>
      <c r="B29" s="1758"/>
      <c r="C29" s="1758"/>
      <c r="D29" s="1758"/>
      <c r="E29" s="1758"/>
      <c r="F29" s="1758"/>
      <c r="G29" s="1758"/>
      <c r="H29" s="1758"/>
      <c r="I29" s="1758"/>
      <c r="J29" s="1758"/>
      <c r="K29" s="1758"/>
      <c r="L29" s="1758"/>
    </row>
    <row r="30" spans="1:18">
      <c r="A30" s="1622"/>
      <c r="B30" s="1622"/>
      <c r="C30" s="1622"/>
      <c r="D30" s="1622"/>
      <c r="E30" s="1622"/>
      <c r="F30" s="1622"/>
      <c r="G30" s="1622"/>
      <c r="H30" s="1622"/>
      <c r="I30" s="1622"/>
      <c r="J30" s="1622"/>
      <c r="K30" s="1622"/>
      <c r="L30" s="1622"/>
    </row>
    <row r="31" spans="1:18">
      <c r="A31" s="1622" t="s">
        <v>1049</v>
      </c>
      <c r="B31" s="1622"/>
      <c r="C31" s="1622"/>
      <c r="D31" s="1622"/>
      <c r="E31" s="1622"/>
      <c r="F31" s="1622"/>
      <c r="G31" s="1622"/>
      <c r="H31" s="1622"/>
      <c r="I31" s="1622"/>
      <c r="J31" s="1622"/>
      <c r="K31" s="1622"/>
      <c r="L31" s="1622"/>
    </row>
    <row r="32" spans="1:18" ht="13.5">
      <c r="A32" s="675"/>
      <c r="B32" s="731"/>
      <c r="C32" s="731"/>
      <c r="D32" s="731"/>
      <c r="E32" s="731"/>
      <c r="F32" s="731"/>
      <c r="G32" s="731"/>
      <c r="H32" s="731"/>
      <c r="I32" s="731"/>
      <c r="J32" s="731"/>
      <c r="K32" s="731"/>
    </row>
    <row r="33" spans="1:12">
      <c r="A33" s="1747" t="s">
        <v>1050</v>
      </c>
      <c r="B33" s="1747"/>
      <c r="C33" s="1747"/>
      <c r="D33" s="1747"/>
      <c r="E33" s="1747"/>
      <c r="F33" s="1747"/>
      <c r="G33" s="1747"/>
      <c r="H33" s="1747"/>
      <c r="I33" s="1747"/>
      <c r="J33" s="1747"/>
      <c r="K33" s="393"/>
      <c r="L33" s="297">
        <v>139074.07696560002</v>
      </c>
    </row>
    <row r="34" spans="1:12">
      <c r="A34" s="383" t="s">
        <v>415</v>
      </c>
      <c r="B34" s="383" t="s">
        <v>1051</v>
      </c>
      <c r="C34" s="1748" t="s">
        <v>1052</v>
      </c>
      <c r="D34" s="1749"/>
      <c r="E34" s="1750" t="s">
        <v>1053</v>
      </c>
      <c r="F34" s="1751"/>
      <c r="G34" s="1750" t="s">
        <v>1054</v>
      </c>
      <c r="H34" s="1751"/>
      <c r="I34" s="1748" t="s">
        <v>1055</v>
      </c>
      <c r="J34" s="1749"/>
      <c r="L34" s="297">
        <v>169392.22574410081</v>
      </c>
    </row>
    <row r="35" spans="1:12" ht="52">
      <c r="A35" s="732" t="s">
        <v>12</v>
      </c>
      <c r="B35" s="681" t="s">
        <v>1058</v>
      </c>
      <c r="C35" s="1760">
        <v>12</v>
      </c>
      <c r="D35" s="1760"/>
      <c r="E35" s="1761">
        <v>234</v>
      </c>
      <c r="F35" s="1761"/>
      <c r="G35" s="1762">
        <f>C35*E35</f>
        <v>2808</v>
      </c>
      <c r="H35" s="1762"/>
      <c r="I35" s="1763">
        <v>2808</v>
      </c>
      <c r="J35" s="1763"/>
      <c r="K35" s="733"/>
    </row>
    <row r="36" spans="1:12">
      <c r="A36" s="675"/>
      <c r="B36" s="675"/>
      <c r="C36" s="675"/>
      <c r="D36" s="675"/>
      <c r="G36" s="1742"/>
      <c r="H36" s="1742"/>
      <c r="I36" s="1743"/>
      <c r="J36" s="1744"/>
    </row>
    <row r="37" spans="1:12" ht="64.5" customHeight="1">
      <c r="B37" s="368"/>
      <c r="C37" s="368"/>
      <c r="D37" s="368"/>
      <c r="E37" s="368"/>
      <c r="F37" s="368"/>
      <c r="G37" s="368"/>
      <c r="H37" s="368"/>
      <c r="I37" s="1745" t="s">
        <v>1056</v>
      </c>
      <c r="J37" s="1745"/>
      <c r="K37" s="713">
        <f>L15+G19+K25+I35</f>
        <v>120015.10680000001</v>
      </c>
    </row>
    <row r="38" spans="1:12">
      <c r="A38" s="675"/>
      <c r="B38" s="675"/>
      <c r="C38" s="675"/>
      <c r="D38" s="675"/>
    </row>
    <row r="39" spans="1:12">
      <c r="A39" s="1746"/>
      <c r="B39" s="1746"/>
      <c r="C39" s="1746"/>
      <c r="D39" s="675"/>
    </row>
    <row r="40" spans="1:12">
      <c r="A40" s="675"/>
      <c r="B40" s="369"/>
      <c r="C40" s="369"/>
      <c r="D40" s="369"/>
    </row>
    <row r="41" spans="1:12">
      <c r="A41" s="675"/>
      <c r="B41" s="675"/>
      <c r="C41" s="675"/>
      <c r="D41" s="675"/>
      <c r="F41" s="393"/>
      <c r="K41" s="379"/>
    </row>
    <row r="42" spans="1:12">
      <c r="A42" s="675"/>
      <c r="B42" s="675"/>
      <c r="C42" s="675"/>
      <c r="D42" s="675"/>
    </row>
    <row r="43" spans="1:12">
      <c r="A43" s="675"/>
      <c r="B43" s="675"/>
      <c r="C43" s="380"/>
      <c r="D43" s="705"/>
    </row>
    <row r="44" spans="1:12">
      <c r="A44" s="675"/>
      <c r="B44" s="675"/>
      <c r="C44" s="675"/>
      <c r="D44" s="675"/>
    </row>
    <row r="45" spans="1:12">
      <c r="A45" s="1746"/>
      <c r="B45" s="1746"/>
      <c r="C45" s="1746"/>
      <c r="D45" s="675"/>
    </row>
    <row r="46" spans="1:12">
      <c r="A46" s="369"/>
      <c r="B46" s="369"/>
      <c r="C46" s="369"/>
      <c r="D46" s="369"/>
    </row>
    <row r="47" spans="1:12">
      <c r="A47" s="675"/>
      <c r="B47" s="675"/>
      <c r="C47" s="705"/>
      <c r="D47" s="675"/>
    </row>
  </sheetData>
  <mergeCells count="47">
    <mergeCell ref="E24:F24"/>
    <mergeCell ref="G24:H24"/>
    <mergeCell ref="I24:J24"/>
    <mergeCell ref="K24:L24"/>
    <mergeCell ref="A2:M3"/>
    <mergeCell ref="A4:L4"/>
    <mergeCell ref="A5:A6"/>
    <mergeCell ref="B5:B6"/>
    <mergeCell ref="C5:K5"/>
    <mergeCell ref="L5:L6"/>
    <mergeCell ref="C35:D35"/>
    <mergeCell ref="E35:F35"/>
    <mergeCell ref="G35:H35"/>
    <mergeCell ref="I35:J35"/>
    <mergeCell ref="I27:J27"/>
    <mergeCell ref="C28:D28"/>
    <mergeCell ref="E28:F28"/>
    <mergeCell ref="I28:J28"/>
    <mergeCell ref="A29:L30"/>
    <mergeCell ref="A31:L31"/>
    <mergeCell ref="G25:H28"/>
    <mergeCell ref="I25:J25"/>
    <mergeCell ref="K25:L28"/>
    <mergeCell ref="C26:D26"/>
    <mergeCell ref="E26:F26"/>
    <mergeCell ref="I26:J26"/>
    <mergeCell ref="J1:L1"/>
    <mergeCell ref="A33:J33"/>
    <mergeCell ref="C34:D34"/>
    <mergeCell ref="E34:F34"/>
    <mergeCell ref="G34:H34"/>
    <mergeCell ref="I34:J34"/>
    <mergeCell ref="C25:D25"/>
    <mergeCell ref="E25:F25"/>
    <mergeCell ref="C27:D27"/>
    <mergeCell ref="E27:F27"/>
    <mergeCell ref="A16:L16"/>
    <mergeCell ref="A17:L17"/>
    <mergeCell ref="B18:F18"/>
    <mergeCell ref="C19:F19"/>
    <mergeCell ref="A23:L23"/>
    <mergeCell ref="C24:D24"/>
    <mergeCell ref="G36:H36"/>
    <mergeCell ref="I36:J36"/>
    <mergeCell ref="I37:J37"/>
    <mergeCell ref="A39:C39"/>
    <mergeCell ref="A45:C45"/>
  </mergeCells>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870DD-CEC8-45E9-91E0-BCDBDFF8BFA8}">
  <dimension ref="A1:S28"/>
  <sheetViews>
    <sheetView zoomScale="78" zoomScaleNormal="78" workbookViewId="0">
      <selection activeCell="E28" sqref="E28"/>
    </sheetView>
  </sheetViews>
  <sheetFormatPr defaultColWidth="8.81640625" defaultRowHeight="13"/>
  <cols>
    <col min="1" max="1" width="27.81640625" style="734" customWidth="1"/>
    <col min="2" max="2" width="15.1796875" style="734" customWidth="1"/>
    <col min="3" max="3" width="17" style="734" customWidth="1"/>
    <col min="4" max="4" width="13.26953125" style="735" customWidth="1"/>
    <col min="5" max="5" width="11.7265625" style="734" customWidth="1"/>
    <col min="6" max="6" width="12.7265625" style="736" customWidth="1"/>
    <col min="7" max="7" width="14.26953125" style="734" customWidth="1"/>
    <col min="8" max="9" width="14.453125" style="734" customWidth="1"/>
    <col min="10" max="10" width="18.7265625" style="734" customWidth="1"/>
    <col min="11" max="11" width="13.26953125" style="734" customWidth="1"/>
    <col min="12" max="12" width="15" style="734" customWidth="1"/>
    <col min="13" max="14" width="8.81640625" style="734"/>
    <col min="15" max="15" width="8.81640625" style="737"/>
    <col min="16" max="18" width="8.81640625" style="734"/>
    <col min="19" max="19" width="9.26953125" style="734" bestFit="1" customWidth="1"/>
    <col min="20" max="16384" width="8.81640625" style="734"/>
  </cols>
  <sheetData>
    <row r="1" spans="1:19">
      <c r="K1" s="1785" t="s">
        <v>1095</v>
      </c>
      <c r="L1" s="1785"/>
    </row>
    <row r="2" spans="1:19">
      <c r="A2" s="1786" t="s">
        <v>1097</v>
      </c>
      <c r="B2" s="1786"/>
      <c r="C2" s="1786"/>
      <c r="D2" s="1786"/>
      <c r="E2" s="1786"/>
      <c r="F2" s="1786"/>
      <c r="G2" s="1786"/>
      <c r="H2" s="1786"/>
      <c r="I2" s="1786"/>
      <c r="J2" s="1786"/>
      <c r="K2" s="1786"/>
      <c r="L2" s="1786"/>
    </row>
    <row r="3" spans="1:19" ht="52">
      <c r="A3" s="756" t="s">
        <v>1059</v>
      </c>
      <c r="B3" s="382" t="s">
        <v>1060</v>
      </c>
      <c r="C3" s="382" t="s">
        <v>1061</v>
      </c>
      <c r="D3" s="757" t="s">
        <v>1062</v>
      </c>
      <c r="E3" s="382" t="s">
        <v>1063</v>
      </c>
      <c r="F3" s="382" t="s">
        <v>1064</v>
      </c>
      <c r="G3" s="382" t="s">
        <v>1065</v>
      </c>
      <c r="H3" s="382" t="s">
        <v>1066</v>
      </c>
      <c r="I3" s="382" t="s">
        <v>1067</v>
      </c>
      <c r="J3" s="382" t="s">
        <v>1068</v>
      </c>
      <c r="K3" s="382" t="s">
        <v>1064</v>
      </c>
      <c r="L3" s="382" t="s">
        <v>1069</v>
      </c>
    </row>
    <row r="4" spans="1:19">
      <c r="A4" s="742" t="s">
        <v>1070</v>
      </c>
      <c r="B4" s="747">
        <v>187</v>
      </c>
      <c r="C4" s="748" t="s">
        <v>792</v>
      </c>
      <c r="D4" s="738">
        <v>15.733571428571429</v>
      </c>
      <c r="E4" s="751">
        <f>ROUND(B4*25%,0)</f>
        <v>47</v>
      </c>
      <c r="F4" s="752">
        <f>ROUND(D4*E4,0)</f>
        <v>739</v>
      </c>
      <c r="G4" s="749">
        <v>0.18</v>
      </c>
      <c r="H4" s="748"/>
      <c r="I4" s="738"/>
      <c r="J4" s="751"/>
      <c r="K4" s="754"/>
      <c r="L4" s="742"/>
      <c r="P4" s="735"/>
      <c r="S4" s="735"/>
    </row>
    <row r="5" spans="1:19">
      <c r="A5" s="742" t="s">
        <v>1071</v>
      </c>
      <c r="B5" s="747">
        <v>823</v>
      </c>
      <c r="C5" s="748" t="s">
        <v>792</v>
      </c>
      <c r="D5" s="738">
        <v>79.396867112102669</v>
      </c>
      <c r="E5" s="751">
        <f t="shared" ref="E5:E23" si="0">ROUND(B5*25%,0)</f>
        <v>206</v>
      </c>
      <c r="F5" s="752">
        <f t="shared" ref="F5:F23" si="1">ROUND(D5*E5,0)</f>
        <v>16356</v>
      </c>
      <c r="G5" s="749">
        <v>1</v>
      </c>
      <c r="H5" s="748" t="s">
        <v>792</v>
      </c>
      <c r="I5" s="739">
        <v>928.3599999999999</v>
      </c>
      <c r="J5" s="751">
        <f t="shared" ref="J5:J23" si="2">ROUND(E5/2,0)</f>
        <v>103</v>
      </c>
      <c r="K5" s="752">
        <f>ROUND(J5*I5,0)</f>
        <v>95621</v>
      </c>
      <c r="L5" s="750">
        <v>0.74</v>
      </c>
      <c r="P5" s="735"/>
    </row>
    <row r="6" spans="1:19">
      <c r="A6" s="742" t="s">
        <v>1072</v>
      </c>
      <c r="B6" s="747">
        <v>194</v>
      </c>
      <c r="C6" s="748" t="s">
        <v>792</v>
      </c>
      <c r="D6" s="738">
        <v>29.82449999999989</v>
      </c>
      <c r="E6" s="751">
        <f t="shared" si="0"/>
        <v>49</v>
      </c>
      <c r="F6" s="752">
        <f t="shared" si="1"/>
        <v>1461</v>
      </c>
      <c r="G6" s="749">
        <v>0.59</v>
      </c>
      <c r="H6" s="748"/>
      <c r="I6" s="738"/>
      <c r="J6" s="751"/>
      <c r="K6" s="752"/>
      <c r="L6" s="742"/>
      <c r="P6" s="735"/>
    </row>
    <row r="7" spans="1:19">
      <c r="A7" s="742" t="s">
        <v>1073</v>
      </c>
      <c r="B7" s="747">
        <v>1776</v>
      </c>
      <c r="C7" s="748" t="s">
        <v>792</v>
      </c>
      <c r="D7" s="738">
        <v>52.611756097560622</v>
      </c>
      <c r="E7" s="751">
        <f t="shared" si="0"/>
        <v>444</v>
      </c>
      <c r="F7" s="752">
        <f t="shared" si="1"/>
        <v>23360</v>
      </c>
      <c r="G7" s="749">
        <v>0.76</v>
      </c>
      <c r="H7" s="753"/>
      <c r="I7" s="738">
        <v>1791</v>
      </c>
      <c r="J7" s="751">
        <f>E7/2</f>
        <v>222</v>
      </c>
      <c r="K7" s="752">
        <f>ROUND(J7*I7,0)</f>
        <v>397602</v>
      </c>
      <c r="L7" s="742"/>
      <c r="P7" s="735"/>
      <c r="Q7" s="737"/>
    </row>
    <row r="8" spans="1:19">
      <c r="A8" s="742" t="s">
        <v>1074</v>
      </c>
      <c r="B8" s="747">
        <v>206</v>
      </c>
      <c r="C8" s="748" t="s">
        <v>792</v>
      </c>
      <c r="D8" s="738">
        <v>63.218620689655275</v>
      </c>
      <c r="E8" s="751">
        <f t="shared" si="0"/>
        <v>52</v>
      </c>
      <c r="F8" s="752">
        <f t="shared" si="1"/>
        <v>3287</v>
      </c>
      <c r="G8" s="749">
        <v>0.97</v>
      </c>
      <c r="H8" s="753"/>
      <c r="I8" s="738"/>
      <c r="J8" s="751"/>
      <c r="K8" s="752"/>
      <c r="L8" s="742"/>
      <c r="P8" s="735"/>
    </row>
    <row r="9" spans="1:19">
      <c r="A9" s="742" t="s">
        <v>1075</v>
      </c>
      <c r="B9" s="747">
        <v>549</v>
      </c>
      <c r="C9" s="748" t="s">
        <v>792</v>
      </c>
      <c r="D9" s="738">
        <v>35.393220338983106</v>
      </c>
      <c r="E9" s="751">
        <f t="shared" si="0"/>
        <v>137</v>
      </c>
      <c r="F9" s="752">
        <f t="shared" si="1"/>
        <v>4849</v>
      </c>
      <c r="G9" s="749">
        <v>0.34</v>
      </c>
      <c r="H9" s="753"/>
      <c r="I9" s="738"/>
      <c r="J9" s="751"/>
      <c r="K9" s="752"/>
      <c r="L9" s="742"/>
      <c r="P9" s="735"/>
    </row>
    <row r="10" spans="1:19">
      <c r="A10" s="742" t="s">
        <v>1076</v>
      </c>
      <c r="B10" s="747">
        <v>401</v>
      </c>
      <c r="C10" s="748" t="s">
        <v>792</v>
      </c>
      <c r="D10" s="738">
        <v>26.680888888888795</v>
      </c>
      <c r="E10" s="751">
        <f t="shared" si="0"/>
        <v>100</v>
      </c>
      <c r="F10" s="752">
        <f t="shared" si="1"/>
        <v>2668</v>
      </c>
      <c r="G10" s="749">
        <v>0.32</v>
      </c>
      <c r="H10" s="753" t="s">
        <v>792</v>
      </c>
      <c r="I10" s="738">
        <v>395.94</v>
      </c>
      <c r="J10" s="751">
        <f t="shared" si="2"/>
        <v>50</v>
      </c>
      <c r="K10" s="752">
        <f>ROUND(J10*I10,0)</f>
        <v>19797</v>
      </c>
      <c r="L10" s="749">
        <v>0</v>
      </c>
      <c r="P10" s="735"/>
    </row>
    <row r="11" spans="1:19">
      <c r="A11" s="742" t="s">
        <v>1077</v>
      </c>
      <c r="B11" s="747">
        <v>249</v>
      </c>
      <c r="C11" s="748" t="s">
        <v>792</v>
      </c>
      <c r="D11" s="738">
        <v>29.82449999999989</v>
      </c>
      <c r="E11" s="751">
        <f t="shared" si="0"/>
        <v>62</v>
      </c>
      <c r="F11" s="752">
        <f t="shared" si="1"/>
        <v>1849</v>
      </c>
      <c r="G11" s="749">
        <v>0.98</v>
      </c>
      <c r="H11" s="753"/>
      <c r="I11" s="738"/>
      <c r="J11" s="751"/>
      <c r="K11" s="752"/>
      <c r="L11" s="742"/>
      <c r="P11" s="735"/>
    </row>
    <row r="12" spans="1:19">
      <c r="A12" s="742" t="s">
        <v>1078</v>
      </c>
      <c r="B12" s="747">
        <v>187</v>
      </c>
      <c r="C12" s="748" t="s">
        <v>792</v>
      </c>
      <c r="D12" s="738">
        <v>65.837959183673462</v>
      </c>
      <c r="E12" s="751">
        <f t="shared" si="0"/>
        <v>47</v>
      </c>
      <c r="F12" s="752">
        <f t="shared" si="1"/>
        <v>3094</v>
      </c>
      <c r="G12" s="749">
        <v>0.43</v>
      </c>
      <c r="H12" s="753"/>
      <c r="I12" s="738"/>
      <c r="J12" s="751"/>
      <c r="K12" s="752"/>
      <c r="L12" s="742"/>
      <c r="P12" s="735"/>
    </row>
    <row r="13" spans="1:19">
      <c r="A13" s="742" t="s">
        <v>1079</v>
      </c>
      <c r="B13" s="747">
        <v>2040</v>
      </c>
      <c r="C13" s="748" t="s">
        <v>792</v>
      </c>
      <c r="D13" s="738">
        <v>27.960037348272845</v>
      </c>
      <c r="E13" s="751">
        <f t="shared" si="0"/>
        <v>510</v>
      </c>
      <c r="F13" s="752">
        <f t="shared" si="1"/>
        <v>14260</v>
      </c>
      <c r="G13" s="749">
        <v>0.86</v>
      </c>
      <c r="H13" s="753" t="s">
        <v>792</v>
      </c>
      <c r="I13" s="738">
        <v>1420</v>
      </c>
      <c r="J13" s="751">
        <f t="shared" si="2"/>
        <v>255</v>
      </c>
      <c r="K13" s="752">
        <f>ROUND(J13*I13,0)</f>
        <v>362100</v>
      </c>
      <c r="L13" s="749">
        <v>1</v>
      </c>
      <c r="P13" s="735"/>
    </row>
    <row r="14" spans="1:19">
      <c r="A14" s="742" t="s">
        <v>1080</v>
      </c>
      <c r="B14" s="747">
        <v>169</v>
      </c>
      <c r="C14" s="748" t="s">
        <v>792</v>
      </c>
      <c r="D14" s="738">
        <v>31.999282868525679</v>
      </c>
      <c r="E14" s="751">
        <f t="shared" si="0"/>
        <v>42</v>
      </c>
      <c r="F14" s="752">
        <f t="shared" si="1"/>
        <v>1344</v>
      </c>
      <c r="G14" s="749">
        <v>0.77</v>
      </c>
      <c r="H14" s="753"/>
      <c r="I14" s="738"/>
      <c r="J14" s="751"/>
      <c r="K14" s="752"/>
      <c r="L14" s="742"/>
      <c r="P14" s="735"/>
    </row>
    <row r="15" spans="1:19">
      <c r="A15" s="742" t="s">
        <v>1081</v>
      </c>
      <c r="B15" s="747">
        <v>333</v>
      </c>
      <c r="C15" s="748" t="s">
        <v>792</v>
      </c>
      <c r="D15" s="738">
        <v>49.863870967741988</v>
      </c>
      <c r="E15" s="751">
        <f t="shared" si="0"/>
        <v>83</v>
      </c>
      <c r="F15" s="752">
        <f t="shared" si="1"/>
        <v>4139</v>
      </c>
      <c r="G15" s="749">
        <v>0.46</v>
      </c>
      <c r="H15" s="753"/>
      <c r="I15" s="738"/>
      <c r="J15" s="751"/>
      <c r="K15" s="752"/>
      <c r="L15" s="742"/>
      <c r="P15" s="735"/>
    </row>
    <row r="16" spans="1:19">
      <c r="A16" s="742" t="s">
        <v>1082</v>
      </c>
      <c r="B16" s="747">
        <v>6146</v>
      </c>
      <c r="C16" s="748" t="s">
        <v>792</v>
      </c>
      <c r="D16" s="738">
        <v>40.626298459904945</v>
      </c>
      <c r="E16" s="751">
        <f t="shared" si="0"/>
        <v>1537</v>
      </c>
      <c r="F16" s="752">
        <f t="shared" si="1"/>
        <v>62443</v>
      </c>
      <c r="G16" s="749">
        <v>0.94</v>
      </c>
      <c r="H16" s="753"/>
      <c r="I16" s="738">
        <v>1791</v>
      </c>
      <c r="J16" s="751">
        <f>E16/2</f>
        <v>768.5</v>
      </c>
      <c r="K16" s="752">
        <f>ROUND(J16*I16,0)</f>
        <v>1376384</v>
      </c>
      <c r="L16" s="742"/>
      <c r="P16" s="735"/>
    </row>
    <row r="17" spans="1:16">
      <c r="A17" s="742" t="s">
        <v>1083</v>
      </c>
      <c r="B17" s="747">
        <v>559</v>
      </c>
      <c r="C17" s="748" t="s">
        <v>792</v>
      </c>
      <c r="D17" s="738">
        <v>54.702451253481904</v>
      </c>
      <c r="E17" s="751">
        <f t="shared" si="0"/>
        <v>140</v>
      </c>
      <c r="F17" s="752">
        <f t="shared" si="1"/>
        <v>7658</v>
      </c>
      <c r="G17" s="749">
        <v>0.8</v>
      </c>
      <c r="H17" s="748" t="s">
        <v>792</v>
      </c>
      <c r="I17" s="738">
        <v>395.94</v>
      </c>
      <c r="J17" s="751">
        <f t="shared" si="2"/>
        <v>70</v>
      </c>
      <c r="K17" s="752">
        <f t="shared" ref="K17:K23" si="3">ROUND(J17*I17,0)</f>
        <v>27716</v>
      </c>
      <c r="L17" s="749">
        <v>0.98</v>
      </c>
      <c r="P17" s="735"/>
    </row>
    <row r="18" spans="1:16">
      <c r="A18" s="742" t="s">
        <v>1084</v>
      </c>
      <c r="B18" s="747">
        <v>8</v>
      </c>
      <c r="C18" s="748" t="s">
        <v>792</v>
      </c>
      <c r="D18" s="738">
        <v>27.920225988700484</v>
      </c>
      <c r="E18" s="751">
        <f t="shared" si="0"/>
        <v>2</v>
      </c>
      <c r="F18" s="752">
        <f t="shared" si="1"/>
        <v>56</v>
      </c>
      <c r="G18" s="749">
        <v>1.02</v>
      </c>
      <c r="H18" s="748" t="s">
        <v>792</v>
      </c>
      <c r="I18" s="738">
        <v>914.96</v>
      </c>
      <c r="J18" s="751">
        <f t="shared" si="2"/>
        <v>1</v>
      </c>
      <c r="K18" s="752">
        <f t="shared" si="3"/>
        <v>915</v>
      </c>
      <c r="L18" s="749">
        <v>1</v>
      </c>
      <c r="P18" s="735"/>
    </row>
    <row r="19" spans="1:16">
      <c r="A19" s="742" t="s">
        <v>1085</v>
      </c>
      <c r="B19" s="747">
        <v>18524</v>
      </c>
      <c r="C19" s="748" t="s">
        <v>792</v>
      </c>
      <c r="D19" s="738">
        <v>54.468477011495295</v>
      </c>
      <c r="E19" s="751">
        <f t="shared" si="0"/>
        <v>4631</v>
      </c>
      <c r="F19" s="752">
        <f t="shared" si="1"/>
        <v>252244</v>
      </c>
      <c r="G19" s="749">
        <v>0.92</v>
      </c>
      <c r="H19" s="748" t="s">
        <v>792</v>
      </c>
      <c r="I19" s="738">
        <v>1791</v>
      </c>
      <c r="J19" s="751">
        <f t="shared" si="2"/>
        <v>2316</v>
      </c>
      <c r="K19" s="752">
        <f t="shared" si="3"/>
        <v>4147956</v>
      </c>
      <c r="L19" s="749">
        <v>1</v>
      </c>
      <c r="P19" s="735"/>
    </row>
    <row r="20" spans="1:16">
      <c r="A20" s="742" t="s">
        <v>1086</v>
      </c>
      <c r="B20" s="747">
        <v>164</v>
      </c>
      <c r="C20" s="748" t="s">
        <v>792</v>
      </c>
      <c r="D20" s="738">
        <v>18.082105263157647</v>
      </c>
      <c r="E20" s="751">
        <f t="shared" si="0"/>
        <v>41</v>
      </c>
      <c r="F20" s="752">
        <f t="shared" si="1"/>
        <v>741</v>
      </c>
      <c r="G20" s="749">
        <v>1.01</v>
      </c>
      <c r="H20" s="748" t="s">
        <v>792</v>
      </c>
      <c r="I20" s="738">
        <v>713.92</v>
      </c>
      <c r="J20" s="751">
        <f t="shared" si="2"/>
        <v>21</v>
      </c>
      <c r="K20" s="752">
        <f t="shared" si="3"/>
        <v>14992</v>
      </c>
      <c r="L20" s="749">
        <v>0.61</v>
      </c>
      <c r="P20" s="735"/>
    </row>
    <row r="21" spans="1:16">
      <c r="A21" s="742" t="s">
        <v>1087</v>
      </c>
      <c r="B21" s="747">
        <v>58</v>
      </c>
      <c r="C21" s="748"/>
      <c r="D21" s="738"/>
      <c r="E21" s="751">
        <f t="shared" si="0"/>
        <v>15</v>
      </c>
      <c r="F21" s="752">
        <f t="shared" si="1"/>
        <v>0</v>
      </c>
      <c r="G21" s="749"/>
      <c r="H21" s="748" t="s">
        <v>792</v>
      </c>
      <c r="I21" s="738">
        <v>1565</v>
      </c>
      <c r="J21" s="751">
        <f t="shared" si="2"/>
        <v>8</v>
      </c>
      <c r="K21" s="752">
        <f t="shared" si="3"/>
        <v>12520</v>
      </c>
      <c r="L21" s="749">
        <v>0.94</v>
      </c>
      <c r="P21" s="735"/>
    </row>
    <row r="22" spans="1:16">
      <c r="A22" s="742" t="s">
        <v>1088</v>
      </c>
      <c r="B22" s="747">
        <v>709</v>
      </c>
      <c r="C22" s="748" t="s">
        <v>792</v>
      </c>
      <c r="D22" s="738">
        <v>42.796607669616648</v>
      </c>
      <c r="E22" s="751">
        <f t="shared" si="0"/>
        <v>177</v>
      </c>
      <c r="F22" s="752">
        <f t="shared" si="1"/>
        <v>7575</v>
      </c>
      <c r="G22" s="749">
        <v>0.79</v>
      </c>
      <c r="H22" s="748" t="s">
        <v>792</v>
      </c>
      <c r="I22" s="738">
        <v>1388</v>
      </c>
      <c r="J22" s="751">
        <f t="shared" si="2"/>
        <v>89</v>
      </c>
      <c r="K22" s="752">
        <f t="shared" si="3"/>
        <v>123532</v>
      </c>
      <c r="L22" s="749">
        <v>0.93</v>
      </c>
      <c r="P22" s="735"/>
    </row>
    <row r="23" spans="1:16">
      <c r="A23" s="742" t="s">
        <v>1089</v>
      </c>
      <c r="B23" s="747">
        <v>469</v>
      </c>
      <c r="C23" s="748" t="s">
        <v>792</v>
      </c>
      <c r="D23" s="738">
        <v>57.660433925049098</v>
      </c>
      <c r="E23" s="751">
        <f t="shared" si="0"/>
        <v>117</v>
      </c>
      <c r="F23" s="752">
        <f t="shared" si="1"/>
        <v>6746</v>
      </c>
      <c r="G23" s="749">
        <v>0.82</v>
      </c>
      <c r="H23" s="748" t="s">
        <v>792</v>
      </c>
      <c r="I23" s="738">
        <v>1553</v>
      </c>
      <c r="J23" s="751">
        <f t="shared" si="2"/>
        <v>59</v>
      </c>
      <c r="K23" s="752">
        <f t="shared" si="3"/>
        <v>91627</v>
      </c>
      <c r="L23" s="749">
        <v>1</v>
      </c>
    </row>
    <row r="24" spans="1:16">
      <c r="A24" s="742" t="s">
        <v>615</v>
      </c>
      <c r="B24" s="746">
        <f>SUM(B4:B23)</f>
        <v>33751</v>
      </c>
      <c r="C24" s="748"/>
      <c r="D24" s="738"/>
      <c r="E24" s="751">
        <f>SUM(E4:E23)</f>
        <v>8439</v>
      </c>
      <c r="F24" s="752">
        <f>SUM(F4:F23)</f>
        <v>414869</v>
      </c>
      <c r="G24" s="749"/>
      <c r="H24" s="748"/>
      <c r="I24" s="748"/>
      <c r="J24" s="755">
        <f>SUM(J4:J23)-J16-J7</f>
        <v>2972</v>
      </c>
      <c r="K24" s="752">
        <f>SUM(K4:K23)</f>
        <v>6670762</v>
      </c>
      <c r="L24" s="742"/>
    </row>
    <row r="27" spans="1:16" ht="65">
      <c r="A27" s="756" t="s">
        <v>1090</v>
      </c>
      <c r="B27" s="382" t="s">
        <v>1091</v>
      </c>
      <c r="C27" s="382" t="s">
        <v>1092</v>
      </c>
      <c r="D27" s="757" t="s">
        <v>1093</v>
      </c>
      <c r="E27" s="382" t="s">
        <v>1096</v>
      </c>
      <c r="F27" s="740"/>
      <c r="G27" s="741"/>
    </row>
    <row r="28" spans="1:16">
      <c r="A28" s="742" t="s">
        <v>1094</v>
      </c>
      <c r="B28" s="743">
        <f>ROUND(E24/2,0)</f>
        <v>4220</v>
      </c>
      <c r="C28" s="744">
        <f>J24</f>
        <v>2972</v>
      </c>
      <c r="D28" s="745">
        <f>B28-C28</f>
        <v>1248</v>
      </c>
      <c r="E28" s="758">
        <f>D28*I16</f>
        <v>2235168</v>
      </c>
      <c r="F28" s="734"/>
    </row>
  </sheetData>
  <mergeCells count="2">
    <mergeCell ref="K1:L1"/>
    <mergeCell ref="A2:L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4DBA9-1CD7-4465-B181-0ADF89617F73}">
  <dimension ref="A1:D8"/>
  <sheetViews>
    <sheetView workbookViewId="0">
      <selection activeCell="C8" sqref="C8"/>
    </sheetView>
  </sheetViews>
  <sheetFormatPr defaultColWidth="9.1796875" defaultRowHeight="13"/>
  <cols>
    <col min="1" max="1" width="68" style="297" customWidth="1"/>
    <col min="2" max="4" width="23.1796875" style="297" customWidth="1"/>
    <col min="5" max="16384" width="9.1796875" style="297"/>
  </cols>
  <sheetData>
    <row r="1" spans="1:4">
      <c r="D1" s="297" t="s">
        <v>1107</v>
      </c>
    </row>
    <row r="2" spans="1:4">
      <c r="A2" s="1741" t="s">
        <v>1106</v>
      </c>
      <c r="B2" s="1741"/>
      <c r="C2" s="1741"/>
      <c r="D2" s="1741"/>
    </row>
    <row r="3" spans="1:4" ht="26">
      <c r="A3" s="761" t="s">
        <v>1098</v>
      </c>
      <c r="B3" s="762" t="s">
        <v>1103</v>
      </c>
      <c r="C3" s="762" t="s">
        <v>1104</v>
      </c>
      <c r="D3" s="298" t="s">
        <v>1105</v>
      </c>
    </row>
    <row r="4" spans="1:4">
      <c r="A4" s="759" t="s">
        <v>1099</v>
      </c>
      <c r="B4" s="763">
        <v>18640</v>
      </c>
      <c r="C4" s="763">
        <v>0</v>
      </c>
      <c r="D4" s="763">
        <v>0</v>
      </c>
    </row>
    <row r="5" spans="1:4">
      <c r="A5" s="759" t="s">
        <v>1100</v>
      </c>
      <c r="B5" s="763">
        <v>4680</v>
      </c>
      <c r="C5" s="763">
        <v>4680</v>
      </c>
      <c r="D5" s="763">
        <v>4680</v>
      </c>
    </row>
    <row r="6" spans="1:4">
      <c r="A6" s="759" t="s">
        <v>1101</v>
      </c>
      <c r="B6" s="763">
        <v>18102</v>
      </c>
      <c r="C6" s="763">
        <v>16238</v>
      </c>
      <c r="D6" s="763">
        <v>16238</v>
      </c>
    </row>
    <row r="7" spans="1:4">
      <c r="A7" s="759" t="s">
        <v>1102</v>
      </c>
      <c r="B7" s="763">
        <v>157704</v>
      </c>
      <c r="C7" s="763">
        <v>157704</v>
      </c>
      <c r="D7" s="763">
        <v>157704</v>
      </c>
    </row>
    <row r="8" spans="1:4">
      <c r="A8" s="760" t="s">
        <v>724</v>
      </c>
      <c r="B8" s="764">
        <f>SUM(B4:B7)</f>
        <v>199126</v>
      </c>
      <c r="C8" s="764">
        <f t="shared" ref="C8:D8" si="0">SUM(C4:C7)</f>
        <v>178622</v>
      </c>
      <c r="D8" s="764">
        <f t="shared" si="0"/>
        <v>178622</v>
      </c>
    </row>
  </sheetData>
  <mergeCells count="1">
    <mergeCell ref="A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A36C7-CDBC-40A1-8C49-CF9D3C0FEEAE}">
  <sheetPr>
    <tabColor theme="9" tint="0.79998168889431442"/>
  </sheetPr>
  <dimension ref="A1:J4"/>
  <sheetViews>
    <sheetView workbookViewId="0">
      <selection activeCell="F23" sqref="F23"/>
    </sheetView>
  </sheetViews>
  <sheetFormatPr defaultColWidth="9.1796875" defaultRowHeight="13"/>
  <cols>
    <col min="1" max="1" width="9.1796875" style="1075"/>
    <col min="2" max="2" width="17.81640625" style="1075" customWidth="1"/>
    <col min="3" max="16384" width="9.1796875" style="1075"/>
  </cols>
  <sheetData>
    <row r="1" spans="1:10">
      <c r="G1" s="1555" t="s">
        <v>1577</v>
      </c>
      <c r="H1" s="1555"/>
    </row>
    <row r="2" spans="1:10">
      <c r="A2" s="1555" t="s">
        <v>1576</v>
      </c>
      <c r="B2" s="1555"/>
      <c r="C2" s="1555"/>
      <c r="D2" s="1555"/>
      <c r="E2" s="1555"/>
      <c r="F2" s="1555"/>
      <c r="G2" s="1555"/>
      <c r="H2" s="1555"/>
      <c r="I2" s="1555"/>
      <c r="J2" s="1555"/>
    </row>
    <row r="3" spans="1:10" ht="52">
      <c r="B3" s="1259" t="s">
        <v>1581</v>
      </c>
      <c r="C3" s="1259" t="s">
        <v>1578</v>
      </c>
      <c r="D3" s="1259" t="s">
        <v>1579</v>
      </c>
      <c r="E3" s="1259" t="s">
        <v>1580</v>
      </c>
    </row>
    <row r="4" spans="1:10">
      <c r="B4" s="1262">
        <v>1166.5</v>
      </c>
      <c r="C4" s="1262">
        <v>1.21</v>
      </c>
      <c r="D4" s="575">
        <f>B4*C4</f>
        <v>1411.4649999999999</v>
      </c>
      <c r="E4" s="669">
        <f>D4*12</f>
        <v>16937.579999999998</v>
      </c>
    </row>
  </sheetData>
  <mergeCells count="2">
    <mergeCell ref="G1:H1"/>
    <mergeCell ref="A2:J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057E0-3DAD-4B5D-9BB3-33FAB44B6C45}">
  <dimension ref="A1:I6"/>
  <sheetViews>
    <sheetView zoomScale="91" zoomScaleNormal="91" workbookViewId="0">
      <selection activeCell="G5" sqref="G5"/>
    </sheetView>
  </sheetViews>
  <sheetFormatPr defaultColWidth="9.1796875" defaultRowHeight="13"/>
  <cols>
    <col min="1" max="1" width="11.81640625" style="297" customWidth="1"/>
    <col min="2" max="2" width="26.1796875" style="297" customWidth="1"/>
    <col min="3" max="3" width="17.26953125" style="297" customWidth="1"/>
    <col min="4" max="4" width="17.1796875" style="297" customWidth="1"/>
    <col min="5" max="6" width="20.26953125" style="297" customWidth="1"/>
    <col min="7" max="7" width="13.54296875" style="297" customWidth="1"/>
    <col min="8" max="8" width="15.7265625" style="297" customWidth="1"/>
    <col min="9" max="9" width="17.26953125" style="297" customWidth="1"/>
    <col min="10" max="16384" width="9.1796875" style="297"/>
  </cols>
  <sheetData>
    <row r="1" spans="1:9">
      <c r="I1" s="297" t="s">
        <v>1113</v>
      </c>
    </row>
    <row r="2" spans="1:9">
      <c r="A2" s="1741" t="s">
        <v>153</v>
      </c>
      <c r="B2" s="1741"/>
      <c r="C2" s="1741"/>
      <c r="D2" s="1741"/>
      <c r="E2" s="1741"/>
      <c r="F2" s="1741"/>
      <c r="G2" s="1741"/>
      <c r="H2" s="1741"/>
      <c r="I2" s="1741"/>
    </row>
    <row r="3" spans="1:9">
      <c r="A3" s="1787" t="s">
        <v>669</v>
      </c>
      <c r="B3" s="1787" t="s">
        <v>771</v>
      </c>
      <c r="C3" s="1787" t="s">
        <v>1117</v>
      </c>
      <c r="D3" s="1787" t="s">
        <v>1108</v>
      </c>
      <c r="E3" s="1787" t="s">
        <v>1109</v>
      </c>
      <c r="F3" s="679"/>
      <c r="G3" s="1788" t="s">
        <v>1116</v>
      </c>
      <c r="H3" s="1680" t="s">
        <v>1115</v>
      </c>
      <c r="I3" s="1680" t="s">
        <v>1114</v>
      </c>
    </row>
    <row r="4" spans="1:9" ht="52">
      <c r="A4" s="1787"/>
      <c r="B4" s="1787"/>
      <c r="C4" s="1787"/>
      <c r="D4" s="1787"/>
      <c r="E4" s="1787"/>
      <c r="F4" s="679" t="s">
        <v>1110</v>
      </c>
      <c r="G4" s="1788"/>
      <c r="H4" s="1680"/>
      <c r="I4" s="1680"/>
    </row>
    <row r="5" spans="1:9" ht="26">
      <c r="A5" s="556" t="s">
        <v>1111</v>
      </c>
      <c r="B5" s="552" t="s">
        <v>1112</v>
      </c>
      <c r="C5" s="558">
        <v>9.39</v>
      </c>
      <c r="D5" s="559">
        <v>2</v>
      </c>
      <c r="E5" s="559">
        <f>D5*C5</f>
        <v>18.78</v>
      </c>
      <c r="F5" s="559">
        <v>77341</v>
      </c>
      <c r="G5" s="766">
        <f>E5*F5</f>
        <v>1452463.98</v>
      </c>
      <c r="H5" s="346">
        <v>1452463.98</v>
      </c>
      <c r="I5" s="346">
        <v>1452463.98</v>
      </c>
    </row>
    <row r="6" spans="1:9">
      <c r="A6" s="553"/>
      <c r="B6" s="553"/>
      <c r="C6" s="553"/>
      <c r="D6" s="553"/>
      <c r="E6" s="553"/>
      <c r="F6" s="553"/>
      <c r="G6" s="553"/>
    </row>
  </sheetData>
  <mergeCells count="9">
    <mergeCell ref="H3:H4"/>
    <mergeCell ref="I3:I4"/>
    <mergeCell ref="A2:I2"/>
    <mergeCell ref="A3:A4"/>
    <mergeCell ref="B3:B4"/>
    <mergeCell ref="C3:C4"/>
    <mergeCell ref="D3:D4"/>
    <mergeCell ref="E3:E4"/>
    <mergeCell ref="G3:G4"/>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A2CBB-7266-4848-A9B2-7346B5721BB7}">
  <sheetPr>
    <tabColor theme="0" tint="-4.9989318521683403E-2"/>
  </sheetPr>
  <dimension ref="A1:L14"/>
  <sheetViews>
    <sheetView zoomScale="84" zoomScaleNormal="84" workbookViewId="0">
      <selection activeCell="A3" sqref="A3:L4"/>
    </sheetView>
  </sheetViews>
  <sheetFormatPr defaultColWidth="9.1796875" defaultRowHeight="13"/>
  <cols>
    <col min="1" max="1" width="6.54296875" style="734" customWidth="1"/>
    <col min="2" max="2" width="10.81640625" style="734" customWidth="1"/>
    <col min="3" max="3" width="29.7265625" style="734" customWidth="1"/>
    <col min="4" max="4" width="9.26953125" style="734" customWidth="1"/>
    <col min="5" max="5" width="14.1796875" style="734" customWidth="1"/>
    <col min="6" max="6" width="18" style="734" customWidth="1"/>
    <col min="7" max="7" width="14.7265625" style="734" customWidth="1"/>
    <col min="8" max="8" width="14.453125" style="734" customWidth="1"/>
    <col min="9" max="9" width="11.1796875" style="734" customWidth="1"/>
    <col min="10" max="10" width="11" style="734" customWidth="1"/>
    <col min="11" max="11" width="19.81640625" style="734" customWidth="1"/>
    <col min="12" max="12" width="41.81640625" style="734" customWidth="1"/>
    <col min="13" max="16384" width="9.1796875" style="734"/>
  </cols>
  <sheetData>
    <row r="1" spans="1:12">
      <c r="K1" s="734" t="s">
        <v>1374</v>
      </c>
    </row>
    <row r="2" spans="1:12">
      <c r="A2" s="1786" t="s">
        <v>1128</v>
      </c>
      <c r="B2" s="1786"/>
      <c r="C2" s="1786"/>
      <c r="D2" s="1786"/>
      <c r="E2" s="1786"/>
      <c r="F2" s="1786"/>
      <c r="G2" s="1786"/>
      <c r="H2" s="1786"/>
      <c r="I2" s="1786"/>
      <c r="J2" s="1786"/>
      <c r="K2" s="1786"/>
      <c r="L2" s="1786"/>
    </row>
    <row r="3" spans="1:12">
      <c r="A3" s="1679" t="s">
        <v>1118</v>
      </c>
      <c r="B3" s="1679" t="s">
        <v>741</v>
      </c>
      <c r="C3" s="1677" t="s">
        <v>845</v>
      </c>
      <c r="D3" s="1679" t="s">
        <v>846</v>
      </c>
      <c r="E3" s="1789" t="s">
        <v>774</v>
      </c>
      <c r="F3" s="1679" t="s">
        <v>1123</v>
      </c>
      <c r="G3" s="1789" t="s">
        <v>1129</v>
      </c>
      <c r="H3" s="1789" t="s">
        <v>849</v>
      </c>
      <c r="I3" s="1789" t="s">
        <v>850</v>
      </c>
      <c r="J3" s="1789"/>
      <c r="K3" s="1789"/>
      <c r="L3" s="1789"/>
    </row>
    <row r="4" spans="1:12" ht="26">
      <c r="A4" s="1679"/>
      <c r="B4" s="1679"/>
      <c r="C4" s="1677"/>
      <c r="D4" s="1679"/>
      <c r="E4" s="1789"/>
      <c r="F4" s="1679"/>
      <c r="G4" s="1789"/>
      <c r="H4" s="1789"/>
      <c r="I4" s="1339" t="s">
        <v>782</v>
      </c>
      <c r="J4" s="1339" t="s">
        <v>783</v>
      </c>
      <c r="K4" s="1339" t="s">
        <v>784</v>
      </c>
      <c r="L4" s="1339" t="s">
        <v>787</v>
      </c>
    </row>
    <row r="5" spans="1:12" ht="91">
      <c r="A5" s="777">
        <v>1</v>
      </c>
      <c r="B5" s="778" t="s">
        <v>1119</v>
      </c>
      <c r="C5" s="774" t="s">
        <v>1124</v>
      </c>
      <c r="D5" s="779">
        <v>58.260000000000005</v>
      </c>
      <c r="E5" s="780">
        <v>0</v>
      </c>
      <c r="F5" s="787">
        <v>1734</v>
      </c>
      <c r="G5" s="781">
        <f>D5*F5</f>
        <v>101022.84000000001</v>
      </c>
      <c r="H5" s="573"/>
      <c r="I5" s="605">
        <v>0</v>
      </c>
      <c r="J5" s="605">
        <v>0</v>
      </c>
      <c r="K5" s="605">
        <v>1</v>
      </c>
      <c r="L5" s="782" t="s">
        <v>1120</v>
      </c>
    </row>
    <row r="6" spans="1:12" ht="78">
      <c r="A6" s="777">
        <v>2</v>
      </c>
      <c r="B6" s="772" t="s">
        <v>1119</v>
      </c>
      <c r="C6" s="775" t="s">
        <v>1125</v>
      </c>
      <c r="D6" s="779">
        <v>11.989999999999998</v>
      </c>
      <c r="E6" s="780">
        <v>0</v>
      </c>
      <c r="F6" s="787">
        <f>(F5+F7+F8+6663)*1.5</f>
        <v>18893.25</v>
      </c>
      <c r="G6" s="781">
        <f>D6*F6</f>
        <v>226530.06749999998</v>
      </c>
      <c r="H6" s="573" t="s">
        <v>1121</v>
      </c>
      <c r="I6" s="605">
        <v>0.5</v>
      </c>
      <c r="J6" s="605">
        <v>0</v>
      </c>
      <c r="K6" s="605">
        <v>0.5</v>
      </c>
      <c r="L6" s="782" t="s">
        <v>1120</v>
      </c>
    </row>
    <row r="7" spans="1:12" s="736" customFormat="1" ht="91">
      <c r="A7" s="777">
        <v>3</v>
      </c>
      <c r="B7" s="772" t="s">
        <v>1119</v>
      </c>
      <c r="C7" s="774" t="s">
        <v>1126</v>
      </c>
      <c r="D7" s="779">
        <v>75.790000000000006</v>
      </c>
      <c r="E7" s="780">
        <v>0</v>
      </c>
      <c r="F7" s="788">
        <f>6663*0.5</f>
        <v>3331.5</v>
      </c>
      <c r="G7" s="781">
        <f>D7*F7</f>
        <v>252494.38500000001</v>
      </c>
      <c r="H7" s="783" t="s">
        <v>1122</v>
      </c>
      <c r="I7" s="776">
        <v>1</v>
      </c>
      <c r="J7" s="605">
        <v>0</v>
      </c>
      <c r="K7" s="605">
        <v>0</v>
      </c>
      <c r="L7" s="782" t="s">
        <v>1120</v>
      </c>
    </row>
    <row r="8" spans="1:12" ht="91">
      <c r="A8" s="777">
        <v>4</v>
      </c>
      <c r="B8" s="778" t="s">
        <v>1119</v>
      </c>
      <c r="C8" s="774" t="s">
        <v>1127</v>
      </c>
      <c r="D8" s="779">
        <v>58.260000000000005</v>
      </c>
      <c r="E8" s="780">
        <v>0</v>
      </c>
      <c r="F8" s="787">
        <f>ROUND(F5*0.5,0)</f>
        <v>867</v>
      </c>
      <c r="G8" s="781">
        <f>D8*F8</f>
        <v>50511.420000000006</v>
      </c>
      <c r="H8" s="783" t="s">
        <v>1122</v>
      </c>
      <c r="I8" s="605">
        <v>0</v>
      </c>
      <c r="J8" s="605">
        <v>0</v>
      </c>
      <c r="K8" s="784">
        <v>1</v>
      </c>
      <c r="L8" s="782" t="s">
        <v>1120</v>
      </c>
    </row>
    <row r="9" spans="1:12">
      <c r="F9" s="734" t="s">
        <v>493</v>
      </c>
      <c r="G9" s="741">
        <f>SUM(G5:G8)</f>
        <v>630558.71250000002</v>
      </c>
      <c r="I9" s="741">
        <f>ROUNDUP((G7+(G6/2)),0)</f>
        <v>365760</v>
      </c>
      <c r="J9" s="786"/>
      <c r="K9" s="786">
        <f>ROUND(G8+G5+(G6/2),0)</f>
        <v>264799</v>
      </c>
    </row>
    <row r="11" spans="1:12">
      <c r="F11" s="741"/>
      <c r="G11" s="741"/>
    </row>
    <row r="12" spans="1:12">
      <c r="F12" s="741"/>
      <c r="G12" s="741"/>
    </row>
    <row r="14" spans="1:12">
      <c r="G14" s="1338"/>
    </row>
  </sheetData>
  <mergeCells count="10">
    <mergeCell ref="A2:L2"/>
    <mergeCell ref="G3:G4"/>
    <mergeCell ref="H3:H4"/>
    <mergeCell ref="I3:L3"/>
    <mergeCell ref="A3:A4"/>
    <mergeCell ref="B3:B4"/>
    <mergeCell ref="C3:C4"/>
    <mergeCell ref="D3:D4"/>
    <mergeCell ref="E3:E4"/>
    <mergeCell ref="F3:F4"/>
  </mergeCells>
  <phoneticPr fontId="2"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6E4E3-BAD9-426C-B904-35862FDBE599}">
  <dimension ref="A1:V11"/>
  <sheetViews>
    <sheetView topLeftCell="C1" zoomScale="69" zoomScaleNormal="69" workbookViewId="0">
      <selection activeCell="O10" sqref="O10"/>
    </sheetView>
  </sheetViews>
  <sheetFormatPr defaultColWidth="9.1796875" defaultRowHeight="14"/>
  <cols>
    <col min="1" max="1" width="18.453125" style="1157" customWidth="1"/>
    <col min="2" max="2" width="32" style="1157" customWidth="1"/>
    <col min="3" max="3" width="7.54296875" style="1157" bestFit="1" customWidth="1"/>
    <col min="4" max="4" width="7.1796875" style="1157" customWidth="1"/>
    <col min="5" max="5" width="11.1796875" style="1157" customWidth="1"/>
    <col min="6" max="6" width="9.54296875" style="1157" bestFit="1" customWidth="1"/>
    <col min="7" max="7" width="8.453125" style="1157" bestFit="1" customWidth="1"/>
    <col min="8" max="8" width="11.453125" style="1157" bestFit="1" customWidth="1"/>
    <col min="9" max="9" width="16" style="1157" bestFit="1" customWidth="1"/>
    <col min="10" max="10" width="11.7265625" style="1157" customWidth="1"/>
    <col min="11" max="11" width="13.1796875" style="1157" customWidth="1"/>
    <col min="12" max="12" width="9" style="1157" bestFit="1" customWidth="1"/>
    <col min="13" max="13" width="11.26953125" style="1157" customWidth="1"/>
    <col min="14" max="14" width="12.54296875" style="1157" bestFit="1" customWidth="1"/>
    <col min="15" max="15" width="14.81640625" style="1157" bestFit="1" customWidth="1"/>
    <col min="16" max="16" width="15" style="1157" customWidth="1"/>
    <col min="17" max="17" width="10.7265625" style="1157" customWidth="1"/>
    <col min="18" max="18" width="10.1796875" style="1157" bestFit="1" customWidth="1"/>
    <col min="19" max="19" width="10.1796875" style="1157" customWidth="1"/>
    <col min="20" max="20" width="13.1796875" style="1157" customWidth="1"/>
    <col min="21" max="21" width="18.26953125" style="1157" customWidth="1"/>
    <col min="22" max="22" width="25.54296875" style="1157" customWidth="1"/>
    <col min="23" max="16384" width="9.1796875" style="1157"/>
  </cols>
  <sheetData>
    <row r="1" spans="1:22">
      <c r="M1" s="1157" t="s">
        <v>672</v>
      </c>
    </row>
    <row r="2" spans="1:22">
      <c r="Q2" s="1158"/>
    </row>
    <row r="3" spans="1:22" ht="28">
      <c r="F3" s="1168" t="s">
        <v>1483</v>
      </c>
      <c r="G3" s="1168" t="s">
        <v>1484</v>
      </c>
      <c r="H3" s="1168" t="s">
        <v>1485</v>
      </c>
      <c r="I3" s="1168" t="s">
        <v>1486</v>
      </c>
      <c r="J3" s="1218"/>
      <c r="N3" s="1800" t="s">
        <v>696</v>
      </c>
      <c r="O3" s="1800" t="s">
        <v>697</v>
      </c>
      <c r="P3" s="1800" t="s">
        <v>698</v>
      </c>
    </row>
    <row r="4" spans="1:22">
      <c r="E4" s="1158" t="s">
        <v>644</v>
      </c>
      <c r="F4" s="1168">
        <v>1862</v>
      </c>
      <c r="G4" s="1168">
        <v>1117</v>
      </c>
      <c r="H4" s="1168">
        <v>745</v>
      </c>
      <c r="I4" s="1168"/>
      <c r="N4" s="1801"/>
      <c r="O4" s="1801"/>
      <c r="P4" s="1801"/>
    </row>
    <row r="5" spans="1:22">
      <c r="E5" s="1158" t="s">
        <v>646</v>
      </c>
      <c r="F5" s="1168">
        <v>0.19400000000000001</v>
      </c>
      <c r="G5" s="1168">
        <v>0.1164</v>
      </c>
      <c r="H5" s="1168">
        <v>7.7600000000000002E-2</v>
      </c>
      <c r="I5" s="1168">
        <v>0.2359</v>
      </c>
      <c r="M5" s="1158" t="s">
        <v>699</v>
      </c>
      <c r="N5" s="1168">
        <v>0.31330000000000002</v>
      </c>
      <c r="O5" s="1168">
        <v>2.5100000000000001E-2</v>
      </c>
      <c r="P5" s="1168">
        <v>4.0099999999999997E-2</v>
      </c>
    </row>
    <row r="7" spans="1:22" ht="15" customHeight="1">
      <c r="A7" s="1790" t="s">
        <v>669</v>
      </c>
      <c r="B7" s="1790" t="s">
        <v>670</v>
      </c>
      <c r="C7" s="1790" t="s">
        <v>700</v>
      </c>
      <c r="D7" s="1790"/>
      <c r="E7" s="1790"/>
      <c r="F7" s="1790"/>
      <c r="G7" s="1790"/>
      <c r="H7" s="1790"/>
      <c r="I7" s="1790"/>
      <c r="J7" s="1790"/>
      <c r="K7" s="1790"/>
      <c r="L7" s="1790"/>
      <c r="M7" s="1790"/>
      <c r="N7" s="1790"/>
      <c r="O7" s="1790"/>
      <c r="P7" s="1790"/>
      <c r="Q7" s="1790" t="s">
        <v>1280</v>
      </c>
      <c r="R7" s="1791" t="s">
        <v>1487</v>
      </c>
      <c r="S7" s="1226"/>
      <c r="T7" s="1794" t="s">
        <v>1488</v>
      </c>
      <c r="U7" s="1227"/>
      <c r="V7" s="1797" t="s">
        <v>1491</v>
      </c>
    </row>
    <row r="8" spans="1:22" ht="56">
      <c r="A8" s="1790"/>
      <c r="B8" s="1790"/>
      <c r="C8" s="1790" t="s">
        <v>704</v>
      </c>
      <c r="D8" s="1790"/>
      <c r="E8" s="1790"/>
      <c r="F8" s="1790" t="s">
        <v>705</v>
      </c>
      <c r="G8" s="1790"/>
      <c r="H8" s="1790"/>
      <c r="I8" s="1228" t="s">
        <v>638</v>
      </c>
      <c r="J8" s="1790" t="s">
        <v>706</v>
      </c>
      <c r="K8" s="1790"/>
      <c r="L8" s="1790"/>
      <c r="M8" s="1790" t="s">
        <v>707</v>
      </c>
      <c r="N8" s="1790" t="s">
        <v>708</v>
      </c>
      <c r="O8" s="1790" t="s">
        <v>709</v>
      </c>
      <c r="P8" s="1790" t="s">
        <v>710</v>
      </c>
      <c r="Q8" s="1790"/>
      <c r="R8" s="1792"/>
      <c r="S8" s="1794" t="s">
        <v>1488</v>
      </c>
      <c r="T8" s="1795"/>
      <c r="U8" s="1797" t="s">
        <v>1490</v>
      </c>
      <c r="V8" s="1798"/>
    </row>
    <row r="9" spans="1:22" ht="42">
      <c r="A9" s="1790"/>
      <c r="B9" s="1790"/>
      <c r="C9" s="1228" t="s">
        <v>711</v>
      </c>
      <c r="D9" s="1228" t="s">
        <v>712</v>
      </c>
      <c r="E9" s="1228" t="s">
        <v>713</v>
      </c>
      <c r="F9" s="1228" t="s">
        <v>711</v>
      </c>
      <c r="G9" s="1228" t="s">
        <v>712</v>
      </c>
      <c r="H9" s="1228" t="s">
        <v>714</v>
      </c>
      <c r="I9" s="1228" t="s">
        <v>715</v>
      </c>
      <c r="J9" s="1228" t="s">
        <v>716</v>
      </c>
      <c r="K9" s="1229" t="s">
        <v>717</v>
      </c>
      <c r="L9" s="1228" t="s">
        <v>718</v>
      </c>
      <c r="M9" s="1790"/>
      <c r="N9" s="1790"/>
      <c r="O9" s="1790"/>
      <c r="P9" s="1790"/>
      <c r="Q9" s="1790"/>
      <c r="R9" s="1793"/>
      <c r="S9" s="1795"/>
      <c r="T9" s="1796"/>
      <c r="U9" s="1798"/>
      <c r="V9" s="1799"/>
    </row>
    <row r="10" spans="1:22" s="1224" customFormat="1" ht="28">
      <c r="A10" s="1123">
        <v>50096</v>
      </c>
      <c r="B10" s="1230" t="s">
        <v>1489</v>
      </c>
      <c r="C10" s="1219">
        <v>0</v>
      </c>
      <c r="D10" s="1219">
        <v>20</v>
      </c>
      <c r="E10" s="1219" t="s">
        <v>802</v>
      </c>
      <c r="F10" s="1220">
        <f>ROUND((C10*$F$5),2)</f>
        <v>0</v>
      </c>
      <c r="G10" s="1220">
        <f>ROUND((D10*$G$5),2)</f>
        <v>2.33</v>
      </c>
      <c r="H10" s="1220"/>
      <c r="I10" s="1220">
        <f>ROUND(((G10+F10+H10)*$I$5),2)</f>
        <v>0.55000000000000004</v>
      </c>
      <c r="J10" s="1221">
        <f>K10+L10</f>
        <v>1.34</v>
      </c>
      <c r="K10" s="1221">
        <v>0</v>
      </c>
      <c r="L10" s="1221">
        <v>1.34</v>
      </c>
      <c r="M10" s="1220">
        <v>9.44</v>
      </c>
      <c r="N10" s="1220">
        <f>ROUND((F10+G10+H10)*$N$5,2)</f>
        <v>0.73</v>
      </c>
      <c r="O10" s="1220">
        <f>ROUND((F10+G10+H10)*$O$5,2)</f>
        <v>0.06</v>
      </c>
      <c r="P10" s="1220">
        <f>ROUND((F10+G10+H10)*$P$5,2)</f>
        <v>0.09</v>
      </c>
      <c r="Q10" s="1231">
        <f>ROUND((F10+G10+H10+I10+J10+M10+N10+O10+P10),2)</f>
        <v>14.54</v>
      </c>
      <c r="R10" s="1221">
        <v>17.45</v>
      </c>
      <c r="S10" s="1222">
        <v>392</v>
      </c>
      <c r="T10" s="1223">
        <f>66921-392</f>
        <v>66529</v>
      </c>
      <c r="U10" s="1232">
        <f>(R10-Q10)*S10</f>
        <v>1140.72</v>
      </c>
      <c r="V10" s="1233">
        <f>(R10-Q10)*T10</f>
        <v>193599.39</v>
      </c>
    </row>
    <row r="11" spans="1:22">
      <c r="A11" s="1225"/>
    </row>
  </sheetData>
  <mergeCells count="20">
    <mergeCell ref="N3:N4"/>
    <mergeCell ref="O3:O4"/>
    <mergeCell ref="P3:P4"/>
    <mergeCell ref="A7:A9"/>
    <mergeCell ref="B7:B9"/>
    <mergeCell ref="C7:L7"/>
    <mergeCell ref="M7:P7"/>
    <mergeCell ref="Q7:Q9"/>
    <mergeCell ref="R7:R9"/>
    <mergeCell ref="T7:T9"/>
    <mergeCell ref="V7:V9"/>
    <mergeCell ref="C8:E8"/>
    <mergeCell ref="F8:H8"/>
    <mergeCell ref="J8:L8"/>
    <mergeCell ref="M8:M9"/>
    <mergeCell ref="N8:N9"/>
    <mergeCell ref="O8:O9"/>
    <mergeCell ref="P8:P9"/>
    <mergeCell ref="S8:S9"/>
    <mergeCell ref="U8:U9"/>
  </mergeCell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8F61E-85EE-4361-95B6-621D82E065BA}">
  <dimension ref="A1:U17"/>
  <sheetViews>
    <sheetView zoomScale="73" zoomScaleNormal="73" workbookViewId="0">
      <selection activeCell="I30" sqref="I30"/>
    </sheetView>
  </sheetViews>
  <sheetFormatPr defaultColWidth="9.1796875" defaultRowHeight="13"/>
  <cols>
    <col min="1" max="1" width="18.453125" style="484" customWidth="1"/>
    <col min="2" max="2" width="23.54296875" style="484" bestFit="1" customWidth="1"/>
    <col min="3" max="3" width="12.81640625" style="484" customWidth="1"/>
    <col min="4" max="4" width="19.26953125" style="484" customWidth="1"/>
    <col min="5" max="5" width="11.1796875" style="484" customWidth="1"/>
    <col min="6" max="6" width="9.54296875" style="484" bestFit="1" customWidth="1"/>
    <col min="7" max="7" width="8.453125" style="484" bestFit="1" customWidth="1"/>
    <col min="8" max="8" width="11.453125" style="484" bestFit="1" customWidth="1"/>
    <col min="9" max="9" width="16" style="484" bestFit="1" customWidth="1"/>
    <col min="10" max="10" width="11.7265625" style="484" customWidth="1"/>
    <col min="11" max="11" width="13.1796875" style="484" customWidth="1"/>
    <col min="12" max="12" width="9" style="484" bestFit="1" customWidth="1"/>
    <col min="13" max="13" width="11.26953125" style="484" customWidth="1"/>
    <col min="14" max="14" width="12.54296875" style="484" bestFit="1" customWidth="1"/>
    <col min="15" max="15" width="14.81640625" style="484" bestFit="1" customWidth="1"/>
    <col min="16" max="16" width="15" style="484" customWidth="1"/>
    <col min="17" max="17" width="10.7265625" style="484" customWidth="1"/>
    <col min="18" max="16384" width="9.1796875" style="484"/>
  </cols>
  <sheetData>
    <row r="1" spans="1:21">
      <c r="O1" s="1809" t="s">
        <v>726</v>
      </c>
      <c r="P1" s="1809"/>
    </row>
    <row r="2" spans="1:21">
      <c r="Q2" s="485"/>
    </row>
    <row r="3" spans="1:21" ht="90" customHeight="1">
      <c r="F3" s="486" t="s">
        <v>640</v>
      </c>
      <c r="G3" s="486" t="s">
        <v>641</v>
      </c>
      <c r="H3" s="486" t="s">
        <v>695</v>
      </c>
      <c r="I3" s="1688" t="s">
        <v>642</v>
      </c>
      <c r="J3" s="487"/>
      <c r="N3" s="1690" t="s">
        <v>696</v>
      </c>
      <c r="O3" s="1690" t="s">
        <v>697</v>
      </c>
      <c r="P3" s="1690" t="s">
        <v>698</v>
      </c>
    </row>
    <row r="4" spans="1:21">
      <c r="E4" s="485" t="s">
        <v>644</v>
      </c>
      <c r="F4" s="488">
        <v>1862</v>
      </c>
      <c r="G4" s="488">
        <v>1117</v>
      </c>
      <c r="H4" s="488">
        <v>745</v>
      </c>
      <c r="I4" s="1689"/>
      <c r="N4" s="1691"/>
      <c r="O4" s="1691"/>
      <c r="P4" s="1691"/>
    </row>
    <row r="5" spans="1:21">
      <c r="E5" s="485" t="s">
        <v>646</v>
      </c>
      <c r="F5" s="488">
        <v>0.19400000000000001</v>
      </c>
      <c r="G5" s="488">
        <v>0.1164</v>
      </c>
      <c r="H5" s="488">
        <v>7.7600000000000002E-2</v>
      </c>
      <c r="I5" s="488">
        <v>0.2359</v>
      </c>
      <c r="M5" s="485" t="s">
        <v>699</v>
      </c>
      <c r="N5" s="488">
        <v>0.31330000000000002</v>
      </c>
      <c r="O5" s="488">
        <v>2.5100000000000001E-2</v>
      </c>
      <c r="P5" s="488">
        <v>4.0099999999999997E-2</v>
      </c>
    </row>
    <row r="7" spans="1:21" ht="15" customHeight="1">
      <c r="A7" s="1802" t="s">
        <v>669</v>
      </c>
      <c r="B7" s="1802" t="s">
        <v>670</v>
      </c>
      <c r="C7" s="1806" t="s">
        <v>700</v>
      </c>
      <c r="D7" s="1807"/>
      <c r="E7" s="1807"/>
      <c r="F7" s="1807"/>
      <c r="G7" s="1807"/>
      <c r="H7" s="1807"/>
      <c r="I7" s="1807"/>
      <c r="J7" s="1807"/>
      <c r="K7" s="1807"/>
      <c r="L7" s="1808"/>
      <c r="M7" s="1807"/>
      <c r="N7" s="1807"/>
      <c r="O7" s="1807"/>
      <c r="P7" s="1808"/>
      <c r="Q7" s="1802" t="s">
        <v>701</v>
      </c>
      <c r="R7" s="1805" t="s">
        <v>702</v>
      </c>
      <c r="S7" s="1805" t="s">
        <v>703</v>
      </c>
    </row>
    <row r="8" spans="1:21" ht="52">
      <c r="A8" s="1803"/>
      <c r="B8" s="1803"/>
      <c r="C8" s="1806" t="s">
        <v>704</v>
      </c>
      <c r="D8" s="1807"/>
      <c r="E8" s="1808"/>
      <c r="F8" s="1806" t="s">
        <v>705</v>
      </c>
      <c r="G8" s="1807"/>
      <c r="H8" s="1808"/>
      <c r="I8" s="517" t="s">
        <v>638</v>
      </c>
      <c r="J8" s="1806" t="s">
        <v>706</v>
      </c>
      <c r="K8" s="1807"/>
      <c r="L8" s="1808"/>
      <c r="M8" s="1802" t="s">
        <v>707</v>
      </c>
      <c r="N8" s="1802" t="s">
        <v>708</v>
      </c>
      <c r="O8" s="1802" t="s">
        <v>709</v>
      </c>
      <c r="P8" s="1802" t="s">
        <v>710</v>
      </c>
      <c r="Q8" s="1803"/>
      <c r="R8" s="1805"/>
      <c r="S8" s="1805"/>
    </row>
    <row r="9" spans="1:21" ht="39">
      <c r="A9" s="1804"/>
      <c r="B9" s="1804"/>
      <c r="C9" s="517" t="s">
        <v>711</v>
      </c>
      <c r="D9" s="517" t="s">
        <v>712</v>
      </c>
      <c r="E9" s="517" t="s">
        <v>713</v>
      </c>
      <c r="F9" s="517" t="s">
        <v>711</v>
      </c>
      <c r="G9" s="517" t="s">
        <v>712</v>
      </c>
      <c r="H9" s="517" t="s">
        <v>714</v>
      </c>
      <c r="I9" s="517" t="s">
        <v>715</v>
      </c>
      <c r="J9" s="517" t="s">
        <v>716</v>
      </c>
      <c r="K9" s="518" t="s">
        <v>717</v>
      </c>
      <c r="L9" s="517" t="s">
        <v>718</v>
      </c>
      <c r="M9" s="1804"/>
      <c r="N9" s="1804"/>
      <c r="O9" s="1804"/>
      <c r="P9" s="1804"/>
      <c r="Q9" s="1804"/>
      <c r="R9" s="1805"/>
      <c r="S9" s="1805"/>
    </row>
    <row r="10" spans="1:21">
      <c r="A10" s="489">
        <v>1</v>
      </c>
      <c r="B10" s="489">
        <v>2</v>
      </c>
      <c r="C10" s="489">
        <v>3</v>
      </c>
      <c r="D10" s="489">
        <v>4</v>
      </c>
      <c r="E10" s="489">
        <v>5</v>
      </c>
      <c r="F10" s="489">
        <v>6</v>
      </c>
      <c r="G10" s="489">
        <v>7</v>
      </c>
      <c r="H10" s="489">
        <v>8</v>
      </c>
      <c r="I10" s="489">
        <v>9</v>
      </c>
      <c r="J10" s="489" t="s">
        <v>719</v>
      </c>
      <c r="K10" s="489">
        <v>11</v>
      </c>
      <c r="L10" s="489">
        <v>12</v>
      </c>
      <c r="M10" s="489">
        <v>13</v>
      </c>
      <c r="N10" s="489">
        <v>14</v>
      </c>
      <c r="O10" s="489">
        <v>15</v>
      </c>
      <c r="P10" s="489">
        <v>16</v>
      </c>
      <c r="Q10" s="489">
        <v>17</v>
      </c>
      <c r="R10" s="490"/>
      <c r="S10" s="490"/>
    </row>
    <row r="11" spans="1:21" s="497" customFormat="1" ht="65">
      <c r="A11" s="491">
        <v>8113</v>
      </c>
      <c r="B11" s="492" t="s">
        <v>514</v>
      </c>
      <c r="C11" s="493">
        <v>120</v>
      </c>
      <c r="D11" s="493">
        <v>120</v>
      </c>
      <c r="E11" s="493"/>
      <c r="F11" s="494">
        <f>ROUND((C11*$F$5),2)</f>
        <v>23.28</v>
      </c>
      <c r="G11" s="494">
        <f>ROUND((D11*$G$5),2)</f>
        <v>13.97</v>
      </c>
      <c r="H11" s="495"/>
      <c r="I11" s="494">
        <f>ROUND(((G11+F11+H11)*$I$5),2)</f>
        <v>8.7899999999999991</v>
      </c>
      <c r="J11" s="496">
        <f t="shared" ref="J11" si="0">ROUND(K11+L11,2)</f>
        <v>13.48</v>
      </c>
      <c r="K11" s="496">
        <v>0</v>
      </c>
      <c r="L11" s="496">
        <f t="shared" ref="L11" si="1">M11-K11</f>
        <v>13.48</v>
      </c>
      <c r="M11" s="496">
        <v>13.48</v>
      </c>
      <c r="N11" s="496">
        <v>8.61</v>
      </c>
      <c r="O11" s="496">
        <v>0.94</v>
      </c>
      <c r="P11" s="511">
        <v>1.49</v>
      </c>
      <c r="Q11" s="512">
        <f>F11+G11+H11+I11+J11+M11+N11+O11+P11</f>
        <v>84.039999999999992</v>
      </c>
      <c r="R11" s="513">
        <v>4</v>
      </c>
      <c r="S11" s="514">
        <f>Q12-Q11</f>
        <v>40.28491141732286</v>
      </c>
    </row>
    <row r="12" spans="1:21" s="509" customFormat="1" ht="65">
      <c r="A12" s="505" t="s">
        <v>720</v>
      </c>
      <c r="B12" s="506" t="s">
        <v>514</v>
      </c>
      <c r="C12" s="507">
        <f>'[3]Ārstn.pers.'!F3</f>
        <v>120</v>
      </c>
      <c r="D12" s="507">
        <f>'[3]Ārstn.pers.'!F4</f>
        <v>120</v>
      </c>
      <c r="E12" s="507">
        <v>0</v>
      </c>
      <c r="F12" s="508">
        <f>ROUND((C12*$F$5),2)</f>
        <v>23.28</v>
      </c>
      <c r="G12" s="508">
        <f>ROUND((D12*$G$5),2)</f>
        <v>13.97</v>
      </c>
      <c r="H12" s="508">
        <f>ROUND((E12*$H$5),2)</f>
        <v>0</v>
      </c>
      <c r="I12" s="508">
        <f>ROUND(((G12+F12+H12)*$I$5),2)</f>
        <v>8.7899999999999991</v>
      </c>
      <c r="J12" s="515">
        <f>K12+L12</f>
        <v>61.019999999999996</v>
      </c>
      <c r="K12" s="515">
        <f>'[3]Ārstn.līdz.'!$H$12</f>
        <v>39.5</v>
      </c>
      <c r="L12" s="515">
        <f>'[3]Ārstn.līdz.'!$H$25</f>
        <v>21.52</v>
      </c>
      <c r="M12" s="508">
        <f>[3]Ierīce!H18+[3]Ierīce!F38</f>
        <v>7.1749114173228357</v>
      </c>
      <c r="N12" s="508">
        <f>ROUND((F12+G12+H12)*$N$5,2)</f>
        <v>11.67</v>
      </c>
      <c r="O12" s="508">
        <f>ROUND((F12+G12+H12)*$O$5,2)</f>
        <v>0.93</v>
      </c>
      <c r="P12" s="508">
        <f>ROUND((F12+G12+H12)*$P$5,2)</f>
        <v>1.49</v>
      </c>
      <c r="Q12" s="516">
        <f>F12+G12+H12+I12+J12+M12+N12+O12+P12-4</f>
        <v>124.32491141732285</v>
      </c>
      <c r="R12" s="488">
        <v>4</v>
      </c>
      <c r="S12" s="515"/>
      <c r="T12" s="510"/>
      <c r="U12" s="510"/>
    </row>
    <row r="13" spans="1:21">
      <c r="A13" s="498"/>
    </row>
    <row r="14" spans="1:21" ht="52">
      <c r="B14" s="501"/>
      <c r="C14" s="502" t="s">
        <v>721</v>
      </c>
      <c r="D14" s="502" t="s">
        <v>725</v>
      </c>
    </row>
    <row r="15" spans="1:21">
      <c r="B15" s="499" t="s">
        <v>722</v>
      </c>
      <c r="C15" s="490">
        <v>2377</v>
      </c>
      <c r="D15" s="490">
        <f>ROUND(S11*C15,0)</f>
        <v>95757</v>
      </c>
    </row>
    <row r="16" spans="1:21">
      <c r="B16" s="499" t="s">
        <v>723</v>
      </c>
      <c r="C16" s="490">
        <v>23001</v>
      </c>
      <c r="D16" s="490">
        <f>ROUND(S11*C16,0)</f>
        <v>926593</v>
      </c>
    </row>
    <row r="17" spans="2:4">
      <c r="B17" s="503" t="s">
        <v>724</v>
      </c>
      <c r="C17" s="504">
        <f>C16+C15</f>
        <v>25378</v>
      </c>
      <c r="D17" s="500">
        <f>D16+D15</f>
        <v>1022350</v>
      </c>
    </row>
  </sheetData>
  <mergeCells count="19">
    <mergeCell ref="A7:A9"/>
    <mergeCell ref="B7:B9"/>
    <mergeCell ref="C7:L7"/>
    <mergeCell ref="M7:P7"/>
    <mergeCell ref="O1:P1"/>
    <mergeCell ref="I3:I4"/>
    <mergeCell ref="N3:N4"/>
    <mergeCell ref="O3:O4"/>
    <mergeCell ref="P3:P4"/>
    <mergeCell ref="Q7:Q9"/>
    <mergeCell ref="R7:R9"/>
    <mergeCell ref="S7:S9"/>
    <mergeCell ref="C8:E8"/>
    <mergeCell ref="F8:H8"/>
    <mergeCell ref="J8:L8"/>
    <mergeCell ref="M8:M9"/>
    <mergeCell ref="N8:N9"/>
    <mergeCell ref="O8:O9"/>
    <mergeCell ref="P8:P9"/>
  </mergeCells>
  <pageMargins left="0.7" right="0.7"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B6144-098A-4BA0-9833-BE3A658838F3}">
  <dimension ref="A1:J22"/>
  <sheetViews>
    <sheetView zoomScale="73" zoomScaleNormal="73" workbookViewId="0">
      <selection activeCell="H20" sqref="H20"/>
    </sheetView>
  </sheetViews>
  <sheetFormatPr defaultColWidth="9.1796875" defaultRowHeight="13"/>
  <cols>
    <col min="1" max="1" width="9.1796875" style="297"/>
    <col min="2" max="2" width="32.81640625" style="297" customWidth="1"/>
    <col min="3" max="3" width="12.1796875" style="297" customWidth="1"/>
    <col min="4" max="4" width="32.26953125" style="297" customWidth="1"/>
    <col min="5" max="5" width="16" style="297" customWidth="1"/>
    <col min="6" max="7" width="9.1796875" style="297"/>
    <col min="8" max="8" width="20.81640625" style="297" customWidth="1"/>
    <col min="9" max="9" width="15" style="297" customWidth="1"/>
    <col min="10" max="16384" width="9.1796875" style="297"/>
  </cols>
  <sheetData>
    <row r="1" spans="1:10">
      <c r="H1" s="1623" t="s">
        <v>749</v>
      </c>
      <c r="I1" s="1623"/>
    </row>
    <row r="2" spans="1:10">
      <c r="A2" s="519"/>
      <c r="B2" s="1810" t="s">
        <v>750</v>
      </c>
      <c r="C2" s="1810"/>
      <c r="D2" s="1810"/>
      <c r="E2" s="1810"/>
      <c r="F2" s="1810"/>
      <c r="G2" s="1810"/>
      <c r="H2" s="1810"/>
      <c r="I2" s="1810"/>
      <c r="J2" s="1810"/>
    </row>
    <row r="3" spans="1:10">
      <c r="A3" s="519"/>
      <c r="B3" s="1811" t="s">
        <v>727</v>
      </c>
      <c r="C3" s="1811"/>
      <c r="D3" s="1811"/>
      <c r="E3" s="1811"/>
      <c r="F3" s="519"/>
      <c r="G3" s="519"/>
      <c r="H3" s="519"/>
      <c r="I3" s="519"/>
      <c r="J3" s="519"/>
    </row>
    <row r="4" spans="1:10">
      <c r="A4" s="519"/>
      <c r="B4" s="543" t="s">
        <v>728</v>
      </c>
      <c r="C4" s="543"/>
      <c r="D4" s="543"/>
      <c r="E4" s="1812" t="s">
        <v>751</v>
      </c>
      <c r="F4" s="1812"/>
      <c r="G4" s="1812"/>
      <c r="H4" s="1812"/>
      <c r="I4" s="1812"/>
      <c r="J4" s="519"/>
    </row>
    <row r="5" spans="1:10" ht="52">
      <c r="A5" s="519"/>
      <c r="B5" s="1813"/>
      <c r="C5" s="1813"/>
      <c r="D5" s="1813"/>
      <c r="E5" s="544" t="s">
        <v>729</v>
      </c>
      <c r="F5" s="545" t="s">
        <v>754</v>
      </c>
      <c r="G5" s="545" t="s">
        <v>730</v>
      </c>
      <c r="H5" s="544" t="s">
        <v>731</v>
      </c>
      <c r="I5" s="546" t="s">
        <v>692</v>
      </c>
      <c r="J5" s="519"/>
    </row>
    <row r="6" spans="1:10">
      <c r="A6" s="519"/>
      <c r="B6" s="1814" t="s">
        <v>732</v>
      </c>
      <c r="C6" s="1815"/>
      <c r="D6" s="527" t="s">
        <v>733</v>
      </c>
      <c r="E6" s="538">
        <v>185</v>
      </c>
      <c r="F6" s="539">
        <v>3567.5099999999998</v>
      </c>
      <c r="G6" s="539">
        <v>3452.85</v>
      </c>
      <c r="H6" s="540">
        <f>F6-G6</f>
        <v>114.65999999999985</v>
      </c>
      <c r="I6" s="539">
        <f>E6*H6</f>
        <v>21212.099999999973</v>
      </c>
      <c r="J6" s="519"/>
    </row>
    <row r="7" spans="1:10">
      <c r="A7" s="519"/>
      <c r="B7" s="1814" t="s">
        <v>734</v>
      </c>
      <c r="C7" s="1815"/>
      <c r="D7" s="527" t="s">
        <v>733</v>
      </c>
      <c r="E7" s="538">
        <v>245</v>
      </c>
      <c r="F7" s="539">
        <v>3567.5099999999998</v>
      </c>
      <c r="G7" s="539">
        <v>3452.85</v>
      </c>
      <c r="H7" s="540">
        <f t="shared" ref="H7:H13" si="0">F7-G7</f>
        <v>114.65999999999985</v>
      </c>
      <c r="I7" s="539">
        <f t="shared" ref="I7:I13" si="1">E7*H7</f>
        <v>28091.699999999964</v>
      </c>
      <c r="J7" s="519"/>
    </row>
    <row r="8" spans="1:10" ht="26">
      <c r="A8" s="519"/>
      <c r="B8" s="521" t="s">
        <v>735</v>
      </c>
      <c r="C8" s="522"/>
      <c r="D8" s="528" t="s">
        <v>755</v>
      </c>
      <c r="E8" s="538">
        <v>1543</v>
      </c>
      <c r="F8" s="541">
        <v>4627.7500000000009</v>
      </c>
      <c r="G8" s="542">
        <v>4481.58</v>
      </c>
      <c r="H8" s="540">
        <f t="shared" si="0"/>
        <v>146.17000000000098</v>
      </c>
      <c r="I8" s="539">
        <f t="shared" si="1"/>
        <v>225540.31000000151</v>
      </c>
      <c r="J8" s="519"/>
    </row>
    <row r="9" spans="1:10" ht="26">
      <c r="A9" s="519"/>
      <c r="B9" s="549" t="s">
        <v>736</v>
      </c>
      <c r="C9" s="520"/>
      <c r="D9" s="527" t="s">
        <v>737</v>
      </c>
      <c r="E9" s="538">
        <v>340</v>
      </c>
      <c r="F9" s="541">
        <v>4628.75</v>
      </c>
      <c r="G9" s="542">
        <v>4482.58</v>
      </c>
      <c r="H9" s="540">
        <f t="shared" si="0"/>
        <v>146.17000000000007</v>
      </c>
      <c r="I9" s="539">
        <f t="shared" si="1"/>
        <v>49697.800000000025</v>
      </c>
      <c r="J9" s="519"/>
    </row>
    <row r="10" spans="1:10">
      <c r="A10" s="519"/>
      <c r="B10" s="520" t="s">
        <v>735</v>
      </c>
      <c r="C10" s="522"/>
      <c r="D10" s="528" t="s">
        <v>738</v>
      </c>
      <c r="E10" s="538">
        <v>4931</v>
      </c>
      <c r="F10" s="539">
        <v>702.14</v>
      </c>
      <c r="G10" s="539">
        <v>700.55</v>
      </c>
      <c r="H10" s="540">
        <f t="shared" si="0"/>
        <v>1.5900000000000318</v>
      </c>
      <c r="I10" s="539">
        <f t="shared" si="1"/>
        <v>7840.2900000001573</v>
      </c>
      <c r="J10" s="519"/>
    </row>
    <row r="11" spans="1:10">
      <c r="A11" s="519"/>
      <c r="B11" s="520" t="s">
        <v>736</v>
      </c>
      <c r="C11" s="520"/>
      <c r="D11" s="527" t="s">
        <v>739</v>
      </c>
      <c r="E11" s="538">
        <v>1998</v>
      </c>
      <c r="F11" s="539">
        <v>702.14</v>
      </c>
      <c r="G11" s="539">
        <v>700.55</v>
      </c>
      <c r="H11" s="540">
        <f t="shared" si="0"/>
        <v>1.5900000000000318</v>
      </c>
      <c r="I11" s="539">
        <f t="shared" si="1"/>
        <v>3176.8200000000634</v>
      </c>
      <c r="J11" s="519"/>
    </row>
    <row r="12" spans="1:10">
      <c r="A12" s="519"/>
      <c r="B12" s="1814" t="s">
        <v>732</v>
      </c>
      <c r="C12" s="1815"/>
      <c r="D12" s="527" t="s">
        <v>739</v>
      </c>
      <c r="E12" s="538">
        <v>312</v>
      </c>
      <c r="F12" s="539">
        <v>702.14</v>
      </c>
      <c r="G12" s="539">
        <v>700.55</v>
      </c>
      <c r="H12" s="540">
        <f t="shared" si="0"/>
        <v>1.5900000000000318</v>
      </c>
      <c r="I12" s="539">
        <f t="shared" si="1"/>
        <v>496.08000000000993</v>
      </c>
      <c r="J12" s="519"/>
    </row>
    <row r="13" spans="1:10">
      <c r="A13" s="519"/>
      <c r="B13" s="1814" t="s">
        <v>734</v>
      </c>
      <c r="C13" s="1815"/>
      <c r="D13" s="527" t="s">
        <v>739</v>
      </c>
      <c r="E13" s="538">
        <v>974</v>
      </c>
      <c r="F13" s="539">
        <v>702.14</v>
      </c>
      <c r="G13" s="539">
        <v>700.55</v>
      </c>
      <c r="H13" s="540">
        <f t="shared" si="0"/>
        <v>1.5900000000000318</v>
      </c>
      <c r="I13" s="539">
        <f t="shared" si="1"/>
        <v>1548.660000000031</v>
      </c>
      <c r="J13" s="519"/>
    </row>
    <row r="14" spans="1:10">
      <c r="A14" s="519"/>
      <c r="B14" s="519"/>
      <c r="C14" s="519"/>
      <c r="D14" s="519"/>
      <c r="E14" s="523">
        <f>SUM(E6:E13)</f>
        <v>10528</v>
      </c>
      <c r="F14" s="519"/>
      <c r="G14" s="519"/>
      <c r="H14" s="519"/>
      <c r="I14" s="529">
        <f>SUM(I6:I13)</f>
        <v>337603.76000000176</v>
      </c>
      <c r="J14" s="519"/>
    </row>
    <row r="15" spans="1:10">
      <c r="A15" s="519"/>
      <c r="B15" s="519"/>
      <c r="C15" s="519"/>
      <c r="D15" s="519"/>
      <c r="E15" s="519"/>
      <c r="F15" s="519"/>
      <c r="G15" s="519"/>
      <c r="H15" s="519"/>
      <c r="I15" s="519"/>
      <c r="J15" s="519"/>
    </row>
    <row r="16" spans="1:10">
      <c r="A16" s="519"/>
      <c r="B16" s="1811" t="s">
        <v>740</v>
      </c>
      <c r="C16" s="1811"/>
      <c r="D16" s="1811"/>
      <c r="E16" s="529"/>
      <c r="F16" s="519"/>
      <c r="G16" s="519"/>
      <c r="H16" s="519"/>
      <c r="I16" s="519"/>
      <c r="J16" s="519"/>
    </row>
    <row r="17" spans="1:10" ht="55.5" customHeight="1">
      <c r="A17" s="547" t="s">
        <v>741</v>
      </c>
      <c r="B17" s="547" t="s">
        <v>670</v>
      </c>
      <c r="C17" s="548" t="s">
        <v>753</v>
      </c>
      <c r="D17" s="548" t="s">
        <v>742</v>
      </c>
      <c r="E17" s="548" t="s">
        <v>743</v>
      </c>
      <c r="F17" s="548" t="s">
        <v>744</v>
      </c>
      <c r="G17" s="519"/>
      <c r="H17" s="536" t="s">
        <v>752</v>
      </c>
      <c r="I17" s="537">
        <f>ROUND(F22+I14,0)</f>
        <v>430581</v>
      </c>
      <c r="J17" s="519"/>
    </row>
    <row r="18" spans="1:10" ht="26">
      <c r="A18" s="532">
        <v>50303</v>
      </c>
      <c r="B18" s="533" t="s">
        <v>745</v>
      </c>
      <c r="C18" s="534">
        <v>132.91</v>
      </c>
      <c r="D18" s="534">
        <v>183</v>
      </c>
      <c r="E18" s="535">
        <f>D18*C18</f>
        <v>24322.53</v>
      </c>
      <c r="F18" s="535">
        <f>E18+(E18*0.4)</f>
        <v>34051.542000000001</v>
      </c>
      <c r="G18" s="519"/>
      <c r="H18" s="519"/>
      <c r="I18" s="519"/>
      <c r="J18" s="519"/>
    </row>
    <row r="19" spans="1:10" ht="39">
      <c r="A19" s="532">
        <v>50415</v>
      </c>
      <c r="B19" s="533" t="s">
        <v>746</v>
      </c>
      <c r="C19" s="534">
        <v>49.11</v>
      </c>
      <c r="D19" s="534">
        <v>188</v>
      </c>
      <c r="E19" s="535">
        <f t="shared" ref="E19:E21" si="2">D19*C19</f>
        <v>9232.68</v>
      </c>
      <c r="F19" s="535">
        <f t="shared" ref="F19:F21" si="3">E19+(E19*0.4)</f>
        <v>12925.752</v>
      </c>
      <c r="G19" s="519"/>
      <c r="H19" s="519"/>
      <c r="I19" s="519"/>
      <c r="J19" s="519"/>
    </row>
    <row r="20" spans="1:10" ht="39">
      <c r="A20" s="532">
        <v>50416</v>
      </c>
      <c r="B20" s="533" t="s">
        <v>747</v>
      </c>
      <c r="C20" s="534">
        <v>76.05</v>
      </c>
      <c r="D20" s="534">
        <v>26</v>
      </c>
      <c r="E20" s="535">
        <f t="shared" si="2"/>
        <v>1977.3</v>
      </c>
      <c r="F20" s="535">
        <f t="shared" si="3"/>
        <v>2768.2200000000003</v>
      </c>
      <c r="G20" s="519"/>
      <c r="H20" s="519"/>
      <c r="I20" s="519"/>
      <c r="J20" s="519"/>
    </row>
    <row r="21" spans="1:10" ht="26">
      <c r="A21" s="532">
        <v>50419</v>
      </c>
      <c r="B21" s="533" t="s">
        <v>748</v>
      </c>
      <c r="C21" s="534">
        <v>169.67</v>
      </c>
      <c r="D21" s="534">
        <v>182</v>
      </c>
      <c r="E21" s="535">
        <f t="shared" si="2"/>
        <v>30879.94</v>
      </c>
      <c r="F21" s="535">
        <f t="shared" si="3"/>
        <v>43231.915999999997</v>
      </c>
      <c r="G21" s="519"/>
      <c r="H21" s="519"/>
      <c r="I21" s="519"/>
      <c r="J21" s="519"/>
    </row>
    <row r="22" spans="1:10">
      <c r="A22" s="524"/>
      <c r="B22" s="524"/>
      <c r="C22" s="525"/>
      <c r="D22" s="526">
        <f>SUM(D18:D21)+((D18+D19+D20+D21)*0.4)</f>
        <v>810.6</v>
      </c>
      <c r="E22" s="530" t="s">
        <v>724</v>
      </c>
      <c r="F22" s="531">
        <f>SUM(F18:F21)</f>
        <v>92977.43</v>
      </c>
      <c r="G22" s="519"/>
      <c r="H22" s="519"/>
      <c r="I22" s="519"/>
      <c r="J22" s="519"/>
    </row>
  </sheetData>
  <mergeCells count="10">
    <mergeCell ref="B2:J2"/>
    <mergeCell ref="B3:E3"/>
    <mergeCell ref="B16:D16"/>
    <mergeCell ref="H1:I1"/>
    <mergeCell ref="E4:I4"/>
    <mergeCell ref="B5:D5"/>
    <mergeCell ref="B6:C6"/>
    <mergeCell ref="B7:C7"/>
    <mergeCell ref="B12:C12"/>
    <mergeCell ref="B13:C13"/>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F8993-8687-4BE0-9952-0E884FF58F4D}">
  <dimension ref="A1:AD111"/>
  <sheetViews>
    <sheetView topLeftCell="A64" zoomScale="69" zoomScaleNormal="69" workbookViewId="0">
      <selection activeCell="L93" sqref="L93"/>
    </sheetView>
  </sheetViews>
  <sheetFormatPr defaultColWidth="9.1796875" defaultRowHeight="14"/>
  <cols>
    <col min="1" max="1" width="22.81640625" style="967" customWidth="1"/>
    <col min="2" max="2" width="42.26953125" style="967" customWidth="1"/>
    <col min="3" max="3" width="9.1796875" style="967"/>
    <col min="4" max="4" width="10.1796875" style="967" bestFit="1" customWidth="1"/>
    <col min="5" max="5" width="11.453125" style="967" customWidth="1"/>
    <col min="6" max="6" width="15.26953125" style="967" customWidth="1"/>
    <col min="7" max="7" width="11.1796875" style="967" customWidth="1"/>
    <col min="8" max="8" width="11.54296875" style="967" customWidth="1"/>
    <col min="9" max="9" width="14" style="967" customWidth="1"/>
    <col min="10" max="10" width="11.453125" style="967" customWidth="1"/>
    <col min="11" max="11" width="12.54296875" style="967" customWidth="1"/>
    <col min="12" max="12" width="18.1796875" style="967" customWidth="1"/>
    <col min="13" max="13" width="14.26953125" style="967" customWidth="1"/>
    <col min="14" max="14" width="13.81640625" style="967" customWidth="1"/>
    <col min="15" max="15" width="13.1796875" style="967" customWidth="1"/>
    <col min="16" max="16" width="15.54296875" style="967" customWidth="1"/>
    <col min="17" max="17" width="13.26953125" style="967" customWidth="1"/>
    <col min="18" max="20" width="9.1796875" style="968"/>
    <col min="21" max="22" width="12" style="967" customWidth="1"/>
    <col min="23" max="23" width="14.26953125" style="967" customWidth="1"/>
    <col min="24" max="26" width="9.1796875" style="967"/>
    <col min="27" max="27" width="16.81640625" style="967" bestFit="1" customWidth="1"/>
    <col min="28" max="28" width="13.7265625" style="967" customWidth="1"/>
    <col min="29" max="29" width="49.1796875" style="967" customWidth="1"/>
    <col min="30" max="30" width="11.26953125" style="967" bestFit="1" customWidth="1"/>
    <col min="31" max="16384" width="9.1796875" style="967"/>
  </cols>
  <sheetData>
    <row r="1" spans="1:28">
      <c r="M1" s="1834" t="s">
        <v>829</v>
      </c>
      <c r="N1" s="1834"/>
      <c r="O1" s="1834"/>
    </row>
    <row r="2" spans="1:28">
      <c r="B2" s="991" t="s">
        <v>756</v>
      </c>
      <c r="C2" s="968"/>
      <c r="D2" s="968"/>
      <c r="E2" s="968"/>
      <c r="F2" s="968"/>
      <c r="G2" s="968"/>
      <c r="H2" s="968"/>
      <c r="I2" s="968"/>
      <c r="J2" s="968"/>
      <c r="K2" s="968"/>
      <c r="L2" s="968"/>
      <c r="M2" s="968"/>
      <c r="O2" s="963"/>
      <c r="W2" s="963"/>
    </row>
    <row r="4" spans="1:28" ht="70">
      <c r="A4" s="958"/>
      <c r="B4" s="958"/>
      <c r="C4" s="958"/>
      <c r="D4" s="958"/>
      <c r="E4" s="958"/>
      <c r="F4" s="955" t="s">
        <v>640</v>
      </c>
      <c r="G4" s="955" t="s">
        <v>641</v>
      </c>
      <c r="H4" s="955" t="s">
        <v>695</v>
      </c>
      <c r="I4" s="1846" t="s">
        <v>642</v>
      </c>
      <c r="J4" s="960"/>
      <c r="K4" s="958"/>
      <c r="L4" s="958"/>
      <c r="M4" s="958"/>
      <c r="N4" s="958"/>
      <c r="O4" s="1846" t="s">
        <v>696</v>
      </c>
      <c r="P4" s="1846" t="s">
        <v>697</v>
      </c>
      <c r="Q4" s="1846" t="s">
        <v>698</v>
      </c>
      <c r="R4" s="969"/>
      <c r="S4" s="969"/>
      <c r="T4" s="969"/>
    </row>
    <row r="5" spans="1:28">
      <c r="A5" s="958"/>
      <c r="B5" s="958"/>
      <c r="C5" s="958"/>
      <c r="D5" s="958"/>
      <c r="E5" s="962" t="s">
        <v>644</v>
      </c>
      <c r="F5" s="961">
        <v>1862</v>
      </c>
      <c r="G5" s="961">
        <v>1117</v>
      </c>
      <c r="H5" s="961">
        <v>745</v>
      </c>
      <c r="I5" s="1847"/>
      <c r="J5" s="958"/>
      <c r="K5" s="958"/>
      <c r="L5" s="958"/>
      <c r="M5" s="958"/>
      <c r="N5" s="958"/>
      <c r="O5" s="1847"/>
      <c r="P5" s="1847"/>
      <c r="Q5" s="1847"/>
      <c r="R5" s="969"/>
      <c r="S5" s="969"/>
      <c r="T5" s="969"/>
    </row>
    <row r="6" spans="1:28">
      <c r="A6" s="958"/>
      <c r="B6" s="958"/>
      <c r="C6" s="958"/>
      <c r="D6" s="958"/>
      <c r="E6" s="962" t="s">
        <v>646</v>
      </c>
      <c r="F6" s="961">
        <f>ROUND(F5/9600,4)</f>
        <v>0.19400000000000001</v>
      </c>
      <c r="G6" s="961">
        <f t="shared" ref="G6" si="0">ROUND(G5/9600,4)</f>
        <v>0.1164</v>
      </c>
      <c r="H6" s="961">
        <f>ROUND(H5/9600,4)</f>
        <v>7.7600000000000002E-2</v>
      </c>
      <c r="I6" s="961">
        <v>0.2359</v>
      </c>
      <c r="J6" s="958"/>
      <c r="K6" s="958"/>
      <c r="L6" s="958"/>
      <c r="N6" s="962" t="s">
        <v>699</v>
      </c>
      <c r="O6" s="961">
        <v>0.31330000000000002</v>
      </c>
      <c r="P6" s="961">
        <v>2.5100000000000001E-2</v>
      </c>
      <c r="Q6" s="961">
        <v>4.0099999999999997E-2</v>
      </c>
      <c r="R6" s="969"/>
      <c r="S6" s="969"/>
      <c r="T6" s="969"/>
    </row>
    <row r="7" spans="1:28">
      <c r="A7" s="958"/>
      <c r="B7" s="958"/>
      <c r="C7" s="958"/>
      <c r="D7" s="958"/>
      <c r="E7" s="958"/>
      <c r="F7" s="958"/>
      <c r="G7" s="958"/>
      <c r="H7" s="958"/>
      <c r="I7" s="958"/>
      <c r="J7" s="958"/>
      <c r="K7" s="958"/>
      <c r="L7" s="958"/>
      <c r="M7" s="958"/>
      <c r="N7" s="958"/>
      <c r="O7" s="958"/>
      <c r="P7" s="958"/>
      <c r="Q7" s="958"/>
      <c r="R7" s="969"/>
      <c r="S7" s="969"/>
      <c r="T7" s="969"/>
    </row>
    <row r="8" spans="1:28" ht="15.5">
      <c r="A8" s="1840" t="s">
        <v>741</v>
      </c>
      <c r="B8" s="1840" t="s">
        <v>670</v>
      </c>
      <c r="C8" s="1843" t="s">
        <v>700</v>
      </c>
      <c r="D8" s="1844"/>
      <c r="E8" s="1844"/>
      <c r="F8" s="1844"/>
      <c r="G8" s="1844"/>
      <c r="H8" s="1844"/>
      <c r="I8" s="1844"/>
      <c r="J8" s="1844"/>
      <c r="K8" s="1844"/>
      <c r="L8" s="1845"/>
      <c r="M8" s="1844"/>
      <c r="N8" s="1844"/>
      <c r="O8" s="1844"/>
      <c r="P8" s="1844"/>
      <c r="Q8" s="1845"/>
      <c r="R8" s="1840" t="s">
        <v>757</v>
      </c>
      <c r="S8" s="972"/>
      <c r="T8" s="972"/>
      <c r="U8" s="1840" t="s">
        <v>671</v>
      </c>
      <c r="V8" s="1840" t="s">
        <v>1370</v>
      </c>
      <c r="W8" s="1840" t="s">
        <v>758</v>
      </c>
      <c r="Y8" s="971"/>
      <c r="Z8" s="971"/>
      <c r="AA8" s="971"/>
      <c r="AB8" s="971"/>
    </row>
    <row r="9" spans="1:28" ht="70">
      <c r="A9" s="1841"/>
      <c r="B9" s="1841"/>
      <c r="C9" s="1843" t="s">
        <v>704</v>
      </c>
      <c r="D9" s="1844"/>
      <c r="E9" s="1845"/>
      <c r="F9" s="1843" t="s">
        <v>705</v>
      </c>
      <c r="G9" s="1844"/>
      <c r="H9" s="1845"/>
      <c r="I9" s="973" t="s">
        <v>638</v>
      </c>
      <c r="J9" s="1843" t="s">
        <v>706</v>
      </c>
      <c r="K9" s="1844"/>
      <c r="L9" s="1845"/>
      <c r="M9" s="1840" t="s">
        <v>707</v>
      </c>
      <c r="N9" s="1840" t="s">
        <v>759</v>
      </c>
      <c r="O9" s="1840" t="s">
        <v>708</v>
      </c>
      <c r="P9" s="1840" t="s">
        <v>709</v>
      </c>
      <c r="Q9" s="1840" t="s">
        <v>710</v>
      </c>
      <c r="R9" s="1841"/>
      <c r="S9" s="1841" t="s">
        <v>760</v>
      </c>
      <c r="T9" s="1841" t="s">
        <v>761</v>
      </c>
      <c r="U9" s="1841"/>
      <c r="V9" s="1841"/>
      <c r="W9" s="1841"/>
      <c r="Y9" s="971"/>
      <c r="Z9" s="971"/>
      <c r="AA9" s="971"/>
      <c r="AB9" s="971"/>
    </row>
    <row r="10" spans="1:28" ht="56">
      <c r="A10" s="1842"/>
      <c r="B10" s="1842"/>
      <c r="C10" s="973" t="s">
        <v>711</v>
      </c>
      <c r="D10" s="973" t="s">
        <v>712</v>
      </c>
      <c r="E10" s="973" t="s">
        <v>713</v>
      </c>
      <c r="F10" s="973" t="s">
        <v>711</v>
      </c>
      <c r="G10" s="973" t="s">
        <v>712</v>
      </c>
      <c r="H10" s="973" t="s">
        <v>714</v>
      </c>
      <c r="I10" s="973" t="s">
        <v>715</v>
      </c>
      <c r="J10" s="973" t="s">
        <v>716</v>
      </c>
      <c r="K10" s="974" t="s">
        <v>762</v>
      </c>
      <c r="L10" s="973" t="s">
        <v>718</v>
      </c>
      <c r="M10" s="1842"/>
      <c r="N10" s="1842"/>
      <c r="O10" s="1842"/>
      <c r="P10" s="1842"/>
      <c r="Q10" s="1842"/>
      <c r="R10" s="1842"/>
      <c r="S10" s="1842"/>
      <c r="T10" s="1842"/>
      <c r="U10" s="1842"/>
      <c r="V10" s="1842"/>
      <c r="W10" s="1842"/>
    </row>
    <row r="11" spans="1:28" s="975" customFormat="1">
      <c r="A11" s="976">
        <v>1</v>
      </c>
      <c r="B11" s="976">
        <v>2</v>
      </c>
      <c r="C11" s="976">
        <v>3</v>
      </c>
      <c r="D11" s="976">
        <v>4</v>
      </c>
      <c r="E11" s="976">
        <v>5</v>
      </c>
      <c r="F11" s="976">
        <v>6</v>
      </c>
      <c r="G11" s="976">
        <v>7</v>
      </c>
      <c r="H11" s="976">
        <v>8</v>
      </c>
      <c r="I11" s="976">
        <v>9</v>
      </c>
      <c r="J11" s="976" t="s">
        <v>719</v>
      </c>
      <c r="K11" s="976">
        <v>11</v>
      </c>
      <c r="L11" s="976">
        <v>12</v>
      </c>
      <c r="M11" s="976">
        <v>13</v>
      </c>
      <c r="N11" s="976">
        <v>14</v>
      </c>
      <c r="O11" s="976">
        <v>15</v>
      </c>
      <c r="P11" s="976">
        <v>16</v>
      </c>
      <c r="Q11" s="976">
        <v>17</v>
      </c>
      <c r="R11" s="976">
        <v>18</v>
      </c>
      <c r="S11" s="976"/>
      <c r="T11" s="976"/>
      <c r="U11" s="976"/>
      <c r="V11" s="976">
        <v>19</v>
      </c>
      <c r="W11" s="976">
        <v>20</v>
      </c>
      <c r="AA11" s="992" t="s">
        <v>763</v>
      </c>
      <c r="AB11" s="992" t="s">
        <v>782</v>
      </c>
    </row>
    <row r="12" spans="1:28">
      <c r="A12" s="959">
        <v>21022</v>
      </c>
      <c r="B12" s="956" t="s">
        <v>1284</v>
      </c>
      <c r="C12" s="959">
        <v>360</v>
      </c>
      <c r="D12" s="959">
        <v>120</v>
      </c>
      <c r="E12" s="959">
        <v>0</v>
      </c>
      <c r="F12" s="959">
        <v>69.84</v>
      </c>
      <c r="G12" s="959">
        <v>13.97</v>
      </c>
      <c r="H12" s="959">
        <v>0</v>
      </c>
      <c r="I12" s="959">
        <v>19.77</v>
      </c>
      <c r="J12" s="959">
        <v>138.52640000000002</v>
      </c>
      <c r="K12" s="959">
        <v>24.301000000000002</v>
      </c>
      <c r="L12" s="959">
        <v>114.22540000000002</v>
      </c>
      <c r="M12" s="959">
        <v>12.703799999999998</v>
      </c>
      <c r="N12" s="959"/>
      <c r="O12" s="959">
        <v>26.26</v>
      </c>
      <c r="P12" s="959">
        <v>2.1</v>
      </c>
      <c r="Q12" s="959">
        <v>3.36</v>
      </c>
      <c r="R12" s="977"/>
      <c r="S12" s="977"/>
      <c r="T12" s="977">
        <f>SUM(F12:J12,M12:Q12)</f>
        <v>286.53020000000004</v>
      </c>
      <c r="U12" s="959">
        <v>142.91999999999999</v>
      </c>
      <c r="V12" s="959">
        <v>896</v>
      </c>
      <c r="W12" s="964">
        <v>127778.73920000004</v>
      </c>
      <c r="X12" s="967" t="s">
        <v>1371</v>
      </c>
      <c r="AA12" s="965">
        <v>118834.22745600004</v>
      </c>
      <c r="AB12" s="952">
        <v>8944.5117440000031</v>
      </c>
    </row>
    <row r="13" spans="1:28" s="968" customFormat="1">
      <c r="A13" s="978">
        <v>21046</v>
      </c>
      <c r="B13" s="979" t="s">
        <v>764</v>
      </c>
      <c r="C13" s="980">
        <v>360</v>
      </c>
      <c r="D13" s="980">
        <v>240</v>
      </c>
      <c r="E13" s="980">
        <v>0</v>
      </c>
      <c r="F13" s="981">
        <f>ROUND((C13*$F$6),2)</f>
        <v>69.84</v>
      </c>
      <c r="G13" s="981">
        <f>ROUND((D13*$G$6),2)</f>
        <v>27.94</v>
      </c>
      <c r="H13" s="981">
        <f t="shared" ref="H13:H18" si="1">ROUND((E13*$H$6),2)</f>
        <v>0</v>
      </c>
      <c r="I13" s="981">
        <f t="shared" ref="I13:I18" si="2">ROUND(((G13+F13+H13)*$I$6),2)</f>
        <v>23.07</v>
      </c>
      <c r="J13" s="982">
        <f t="shared" ref="J13:J18" si="3">K13+L13</f>
        <v>989.601</v>
      </c>
      <c r="K13" s="983">
        <v>3.83</v>
      </c>
      <c r="L13" s="982">
        <v>985.77099999999996</v>
      </c>
      <c r="M13" s="981">
        <v>7.23</v>
      </c>
      <c r="N13" s="981">
        <v>0</v>
      </c>
      <c r="O13" s="981">
        <f t="shared" ref="O13:O18" si="4">ROUND((F13+G13+H13)*$O$6,2)</f>
        <v>30.63</v>
      </c>
      <c r="P13" s="981">
        <f t="shared" ref="P13:P18" si="5">ROUND((F13+G13+H13)*$P$6,2)</f>
        <v>2.4500000000000002</v>
      </c>
      <c r="Q13" s="981">
        <f t="shared" ref="Q13:Q18" si="6">ROUND((F13+G13+H13)*$Q$6,2)</f>
        <v>3.92</v>
      </c>
      <c r="R13" s="982">
        <f t="shared" ref="R13:R18" si="7">F13+G13+H13+I13+J13+M13+N13+O13+P13+Q13</f>
        <v>1154.6810000000003</v>
      </c>
      <c r="S13" s="982"/>
      <c r="T13" s="982">
        <f>R13-S13</f>
        <v>1154.6810000000003</v>
      </c>
      <c r="U13" s="982">
        <v>302.36</v>
      </c>
      <c r="V13" s="984">
        <v>186</v>
      </c>
      <c r="W13" s="966">
        <f>(T13-U13)*V13</f>
        <v>158531.70600000003</v>
      </c>
      <c r="X13" s="985" t="s">
        <v>1372</v>
      </c>
      <c r="AA13" s="993">
        <f>W13</f>
        <v>158531.70600000003</v>
      </c>
      <c r="AB13" s="993"/>
    </row>
    <row r="14" spans="1:28" s="968" customFormat="1">
      <c r="A14" s="978">
        <v>21067</v>
      </c>
      <c r="B14" s="986" t="s">
        <v>765</v>
      </c>
      <c r="C14" s="980">
        <v>540</v>
      </c>
      <c r="D14" s="980">
        <v>480</v>
      </c>
      <c r="E14" s="980">
        <v>0</v>
      </c>
      <c r="F14" s="981">
        <f>ROUND((C14*$F$6),2)</f>
        <v>104.76</v>
      </c>
      <c r="G14" s="981">
        <f>ROUND((D14*$G$6),2)</f>
        <v>55.87</v>
      </c>
      <c r="H14" s="981">
        <f t="shared" si="1"/>
        <v>0</v>
      </c>
      <c r="I14" s="981">
        <f t="shared" si="2"/>
        <v>37.89</v>
      </c>
      <c r="J14" s="982">
        <f t="shared" si="3"/>
        <v>307.99</v>
      </c>
      <c r="K14" s="983"/>
      <c r="L14" s="982">
        <v>307.99</v>
      </c>
      <c r="M14" s="981">
        <v>26.66</v>
      </c>
      <c r="N14" s="981">
        <v>0</v>
      </c>
      <c r="O14" s="981">
        <f t="shared" si="4"/>
        <v>50.33</v>
      </c>
      <c r="P14" s="981">
        <f t="shared" si="5"/>
        <v>4.03</v>
      </c>
      <c r="Q14" s="981">
        <f t="shared" si="6"/>
        <v>6.44</v>
      </c>
      <c r="R14" s="982">
        <f t="shared" si="7"/>
        <v>593.97</v>
      </c>
      <c r="S14" s="982">
        <v>4</v>
      </c>
      <c r="T14" s="982">
        <f t="shared" ref="T14:T18" si="8">R14-S14</f>
        <v>589.97</v>
      </c>
      <c r="U14" s="982">
        <v>309.95</v>
      </c>
      <c r="V14" s="984">
        <v>811</v>
      </c>
      <c r="W14" s="966">
        <f t="shared" ref="W14:W18" si="9">(T14-U14)*V14</f>
        <v>227096.22000000003</v>
      </c>
      <c r="X14" s="985" t="s">
        <v>1373</v>
      </c>
      <c r="AA14" s="993">
        <f>W14*0.9</f>
        <v>204386.59800000003</v>
      </c>
      <c r="AB14" s="993">
        <f>W14*0.1</f>
        <v>22709.622000000003</v>
      </c>
    </row>
    <row r="15" spans="1:28" s="968" customFormat="1">
      <c r="A15" s="978">
        <v>21040</v>
      </c>
      <c r="B15" s="987" t="s">
        <v>766</v>
      </c>
      <c r="C15" s="980">
        <v>360</v>
      </c>
      <c r="D15" s="980">
        <v>240</v>
      </c>
      <c r="E15" s="980">
        <v>0</v>
      </c>
      <c r="F15" s="981">
        <f t="shared" ref="F15:F18" si="10">ROUND((C15*$F$6),2)</f>
        <v>69.84</v>
      </c>
      <c r="G15" s="981">
        <f t="shared" ref="G15:G18" si="11">ROUND((D15*$G$6),2)</f>
        <v>27.94</v>
      </c>
      <c r="H15" s="981">
        <f t="shared" si="1"/>
        <v>0</v>
      </c>
      <c r="I15" s="981">
        <f t="shared" si="2"/>
        <v>23.07</v>
      </c>
      <c r="J15" s="982">
        <f t="shared" si="3"/>
        <v>988.08679999999993</v>
      </c>
      <c r="K15" s="982">
        <v>1.704</v>
      </c>
      <c r="L15" s="982">
        <v>986.38279999999997</v>
      </c>
      <c r="M15" s="981">
        <v>7.23</v>
      </c>
      <c r="N15" s="981">
        <v>0</v>
      </c>
      <c r="O15" s="981">
        <f t="shared" si="4"/>
        <v>30.63</v>
      </c>
      <c r="P15" s="981">
        <f t="shared" si="5"/>
        <v>2.4500000000000002</v>
      </c>
      <c r="Q15" s="981">
        <f t="shared" si="6"/>
        <v>3.92</v>
      </c>
      <c r="R15" s="982">
        <f t="shared" si="7"/>
        <v>1153.1668000000002</v>
      </c>
      <c r="S15" s="982"/>
      <c r="T15" s="982">
        <f t="shared" si="8"/>
        <v>1153.1668000000002</v>
      </c>
      <c r="U15" s="982">
        <v>292.52</v>
      </c>
      <c r="V15" s="984">
        <v>410</v>
      </c>
      <c r="W15" s="966">
        <f>(T15-U15)*V15</f>
        <v>352865.18800000008</v>
      </c>
      <c r="X15" s="985" t="s">
        <v>1372</v>
      </c>
      <c r="AA15" s="993">
        <f t="shared" ref="AA15:AA18" si="12">W15</f>
        <v>352865.18800000008</v>
      </c>
      <c r="AB15" s="993"/>
    </row>
    <row r="16" spans="1:28" s="968" customFormat="1" ht="28">
      <c r="A16" s="978">
        <v>21042</v>
      </c>
      <c r="B16" s="987" t="s">
        <v>767</v>
      </c>
      <c r="C16" s="980">
        <v>360</v>
      </c>
      <c r="D16" s="980">
        <v>240</v>
      </c>
      <c r="E16" s="980">
        <v>0</v>
      </c>
      <c r="F16" s="981">
        <f t="shared" si="10"/>
        <v>69.84</v>
      </c>
      <c r="G16" s="981">
        <f t="shared" si="11"/>
        <v>27.94</v>
      </c>
      <c r="H16" s="981">
        <f t="shared" si="1"/>
        <v>0</v>
      </c>
      <c r="I16" s="981">
        <f t="shared" si="2"/>
        <v>23.07</v>
      </c>
      <c r="J16" s="982">
        <f t="shared" si="3"/>
        <v>1161.4029</v>
      </c>
      <c r="K16" s="982">
        <v>5.0232999999999999</v>
      </c>
      <c r="L16" s="982">
        <v>1156.3796</v>
      </c>
      <c r="M16" s="981">
        <v>7.23</v>
      </c>
      <c r="N16" s="981">
        <v>0</v>
      </c>
      <c r="O16" s="981">
        <f t="shared" si="4"/>
        <v>30.63</v>
      </c>
      <c r="P16" s="981">
        <f t="shared" si="5"/>
        <v>2.4500000000000002</v>
      </c>
      <c r="Q16" s="981">
        <f t="shared" si="6"/>
        <v>3.92</v>
      </c>
      <c r="R16" s="982">
        <f t="shared" si="7"/>
        <v>1326.4829000000002</v>
      </c>
      <c r="S16" s="982"/>
      <c r="T16" s="982">
        <f t="shared" si="8"/>
        <v>1326.4829000000002</v>
      </c>
      <c r="U16" s="982">
        <v>292.52</v>
      </c>
      <c r="V16" s="984">
        <v>915</v>
      </c>
      <c r="W16" s="966">
        <f t="shared" si="9"/>
        <v>946076.05350000015</v>
      </c>
      <c r="X16" s="985" t="s">
        <v>1372</v>
      </c>
      <c r="AA16" s="993">
        <f t="shared" si="12"/>
        <v>946076.05350000015</v>
      </c>
      <c r="AB16" s="993"/>
    </row>
    <row r="17" spans="1:30" s="968" customFormat="1">
      <c r="A17" s="978">
        <v>21062</v>
      </c>
      <c r="B17" s="988" t="s">
        <v>768</v>
      </c>
      <c r="C17" s="980">
        <v>270</v>
      </c>
      <c r="D17" s="980">
        <v>180</v>
      </c>
      <c r="E17" s="980">
        <v>0</v>
      </c>
      <c r="F17" s="981">
        <f t="shared" si="10"/>
        <v>52.38</v>
      </c>
      <c r="G17" s="981">
        <f t="shared" si="11"/>
        <v>20.95</v>
      </c>
      <c r="H17" s="981">
        <f t="shared" si="1"/>
        <v>0</v>
      </c>
      <c r="I17" s="981">
        <f t="shared" si="2"/>
        <v>17.3</v>
      </c>
      <c r="J17" s="982">
        <f t="shared" si="3"/>
        <v>2129.6233999999999</v>
      </c>
      <c r="K17" s="982">
        <v>3.8332999999999999</v>
      </c>
      <c r="L17" s="982">
        <v>2125.7901000000002</v>
      </c>
      <c r="M17" s="981">
        <v>6.93</v>
      </c>
      <c r="N17" s="981">
        <v>0</v>
      </c>
      <c r="O17" s="981">
        <f t="shared" si="4"/>
        <v>22.97</v>
      </c>
      <c r="P17" s="981">
        <f t="shared" si="5"/>
        <v>1.84</v>
      </c>
      <c r="Q17" s="981">
        <f t="shared" si="6"/>
        <v>2.94</v>
      </c>
      <c r="R17" s="982">
        <f t="shared" si="7"/>
        <v>2254.9333999999999</v>
      </c>
      <c r="S17" s="982"/>
      <c r="T17" s="982">
        <f t="shared" si="8"/>
        <v>2254.9333999999999</v>
      </c>
      <c r="U17" s="982">
        <v>307.67</v>
      </c>
      <c r="V17" s="984">
        <v>195</v>
      </c>
      <c r="W17" s="966">
        <f t="shared" si="9"/>
        <v>379716.36299999995</v>
      </c>
      <c r="X17" s="985" t="s">
        <v>1372</v>
      </c>
      <c r="AA17" s="993">
        <f t="shared" si="12"/>
        <v>379716.36299999995</v>
      </c>
      <c r="AB17" s="993"/>
    </row>
    <row r="18" spans="1:30" s="968" customFormat="1">
      <c r="A18" s="978">
        <v>21048</v>
      </c>
      <c r="B18" s="979" t="s">
        <v>769</v>
      </c>
      <c r="C18" s="980">
        <v>360</v>
      </c>
      <c r="D18" s="980">
        <v>240</v>
      </c>
      <c r="E18" s="980">
        <v>0</v>
      </c>
      <c r="F18" s="981">
        <f t="shared" si="10"/>
        <v>69.84</v>
      </c>
      <c r="G18" s="981">
        <f t="shared" si="11"/>
        <v>27.94</v>
      </c>
      <c r="H18" s="981">
        <f t="shared" si="1"/>
        <v>0</v>
      </c>
      <c r="I18" s="981">
        <f t="shared" si="2"/>
        <v>23.07</v>
      </c>
      <c r="J18" s="982">
        <f t="shared" si="3"/>
        <v>659.43500000000006</v>
      </c>
      <c r="K18" s="982">
        <v>2.8940000000000001</v>
      </c>
      <c r="L18" s="982">
        <v>656.54100000000005</v>
      </c>
      <c r="M18" s="981">
        <v>6.7</v>
      </c>
      <c r="N18" s="981">
        <v>0</v>
      </c>
      <c r="O18" s="981">
        <f t="shared" si="4"/>
        <v>30.63</v>
      </c>
      <c r="P18" s="981">
        <f t="shared" si="5"/>
        <v>2.4500000000000002</v>
      </c>
      <c r="Q18" s="981">
        <f t="shared" si="6"/>
        <v>3.92</v>
      </c>
      <c r="R18" s="982">
        <f t="shared" si="7"/>
        <v>823.98500000000013</v>
      </c>
      <c r="S18" s="982"/>
      <c r="T18" s="982">
        <f t="shared" si="8"/>
        <v>823.98500000000013</v>
      </c>
      <c r="U18" s="982">
        <v>295.29000000000002</v>
      </c>
      <c r="V18" s="984">
        <v>90</v>
      </c>
      <c r="W18" s="966">
        <f t="shared" si="9"/>
        <v>47582.550000000017</v>
      </c>
      <c r="X18" s="985" t="s">
        <v>1372</v>
      </c>
      <c r="AA18" s="993">
        <f t="shared" si="12"/>
        <v>47582.550000000017</v>
      </c>
      <c r="AB18" s="993"/>
    </row>
    <row r="19" spans="1:30">
      <c r="B19" s="989"/>
      <c r="V19" s="967">
        <f>SUM(V12:V18)</f>
        <v>3503</v>
      </c>
      <c r="W19" s="990">
        <f>SUM(W13:W18)</f>
        <v>2111868.0805000002</v>
      </c>
      <c r="AA19" s="994">
        <f>SUM(AA13:AA18)</f>
        <v>2089158.4585000002</v>
      </c>
      <c r="AB19" s="994">
        <f>SUM(AB13:AB18)</f>
        <v>22709.622000000003</v>
      </c>
      <c r="AD19" s="970"/>
    </row>
    <row r="21" spans="1:30">
      <c r="A21" s="553"/>
      <c r="B21" s="1839" t="s">
        <v>770</v>
      </c>
      <c r="C21" s="1839"/>
      <c r="D21" s="1839"/>
      <c r="E21" s="1839"/>
      <c r="F21" s="1839"/>
      <c r="G21" s="1839"/>
      <c r="H21" s="1839"/>
      <c r="I21" s="1839"/>
      <c r="J21" s="553"/>
      <c r="K21" s="553"/>
      <c r="L21" s="553"/>
      <c r="M21" s="553"/>
      <c r="N21" s="553"/>
      <c r="O21" s="553"/>
      <c r="P21" s="553"/>
      <c r="Q21" s="553"/>
      <c r="R21" s="554"/>
      <c r="S21" s="554"/>
      <c r="T21" s="554"/>
      <c r="U21" s="553"/>
      <c r="V21" s="553"/>
      <c r="W21" s="553"/>
    </row>
    <row r="22" spans="1:30">
      <c r="A22" s="1787" t="s">
        <v>669</v>
      </c>
      <c r="B22" s="1787" t="s">
        <v>771</v>
      </c>
      <c r="C22" s="1787" t="s">
        <v>830</v>
      </c>
      <c r="D22" s="1787" t="s">
        <v>772</v>
      </c>
      <c r="E22" s="1787" t="s">
        <v>773</v>
      </c>
      <c r="F22" s="1787" t="s">
        <v>774</v>
      </c>
      <c r="G22" s="1787" t="s">
        <v>775</v>
      </c>
      <c r="H22" s="1835" t="s">
        <v>776</v>
      </c>
      <c r="I22" s="1835"/>
      <c r="J22" s="1835"/>
      <c r="K22" s="1671"/>
      <c r="L22" s="1788" t="s">
        <v>777</v>
      </c>
      <c r="M22" s="1652" t="s">
        <v>778</v>
      </c>
      <c r="N22" s="1653"/>
      <c r="O22" s="1654"/>
      <c r="P22" s="1652" t="s">
        <v>779</v>
      </c>
      <c r="Q22" s="1653"/>
      <c r="R22" s="1654"/>
      <c r="S22" s="1788" t="s">
        <v>780</v>
      </c>
      <c r="T22" s="1650" t="s">
        <v>781</v>
      </c>
      <c r="U22" s="553"/>
      <c r="V22" s="553"/>
      <c r="W22" s="553"/>
    </row>
    <row r="23" spans="1:30" ht="39">
      <c r="A23" s="1787"/>
      <c r="B23" s="1787"/>
      <c r="C23" s="1787"/>
      <c r="D23" s="1787"/>
      <c r="E23" s="1787"/>
      <c r="F23" s="1787"/>
      <c r="G23" s="1787"/>
      <c r="H23" s="917" t="s">
        <v>782</v>
      </c>
      <c r="I23" s="919" t="s">
        <v>783</v>
      </c>
      <c r="J23" s="919" t="s">
        <v>784</v>
      </c>
      <c r="K23" s="919" t="s">
        <v>540</v>
      </c>
      <c r="L23" s="1788"/>
      <c r="M23" s="919" t="s">
        <v>785</v>
      </c>
      <c r="N23" s="919" t="s">
        <v>786</v>
      </c>
      <c r="O23" s="919" t="s">
        <v>787</v>
      </c>
      <c r="P23" s="919" t="s">
        <v>785</v>
      </c>
      <c r="Q23" s="919" t="s">
        <v>786</v>
      </c>
      <c r="R23" s="919" t="s">
        <v>787</v>
      </c>
      <c r="S23" s="1788"/>
      <c r="T23" s="1651"/>
      <c r="U23" s="553"/>
      <c r="V23" s="553"/>
      <c r="W23" s="553"/>
    </row>
    <row r="24" spans="1:30" ht="26">
      <c r="A24" s="556" t="s">
        <v>788</v>
      </c>
      <c r="B24" s="557" t="s">
        <v>789</v>
      </c>
      <c r="C24" s="921" t="s">
        <v>790</v>
      </c>
      <c r="D24" s="558">
        <v>155.68</v>
      </c>
      <c r="E24" s="921">
        <v>406.53</v>
      </c>
      <c r="F24" s="559">
        <v>0</v>
      </c>
      <c r="G24" s="559">
        <f t="shared" ref="G24:G25" si="13">E24-D24</f>
        <v>250.84999999999997</v>
      </c>
      <c r="H24" s="478">
        <v>0</v>
      </c>
      <c r="I24" s="478">
        <v>3</v>
      </c>
      <c r="J24" s="478">
        <v>263</v>
      </c>
      <c r="K24" s="560">
        <f>SUM(H24:J24)</f>
        <v>266</v>
      </c>
      <c r="L24" s="561">
        <f t="shared" ref="L24:L25" si="14">G24*K24</f>
        <v>66726.099999999991</v>
      </c>
      <c r="M24" s="562" t="s">
        <v>791</v>
      </c>
      <c r="N24" s="563" t="s">
        <v>792</v>
      </c>
      <c r="O24" s="564"/>
      <c r="P24" s="562" t="s">
        <v>791</v>
      </c>
      <c r="Q24" s="562" t="s">
        <v>792</v>
      </c>
      <c r="R24" s="564"/>
      <c r="S24" s="562"/>
      <c r="T24" s="916"/>
      <c r="U24" s="553"/>
      <c r="V24" s="553"/>
      <c r="W24" s="553"/>
    </row>
    <row r="25" spans="1:30" ht="117">
      <c r="A25" s="556" t="s">
        <v>793</v>
      </c>
      <c r="B25" s="565" t="s">
        <v>794</v>
      </c>
      <c r="C25" s="557" t="s">
        <v>795</v>
      </c>
      <c r="D25" s="558">
        <v>155.29</v>
      </c>
      <c r="E25" s="921">
        <v>329.57</v>
      </c>
      <c r="F25" s="559">
        <v>4</v>
      </c>
      <c r="G25" s="559">
        <f t="shared" si="13"/>
        <v>174.28</v>
      </c>
      <c r="H25" s="478">
        <v>0</v>
      </c>
      <c r="I25" s="478">
        <v>799</v>
      </c>
      <c r="J25" s="478">
        <v>1147</v>
      </c>
      <c r="K25" s="560">
        <f t="shared" ref="K25" si="15">SUM(H25:J25)</f>
        <v>1946</v>
      </c>
      <c r="L25" s="561">
        <f t="shared" si="14"/>
        <v>339148.88</v>
      </c>
      <c r="M25" s="562" t="s">
        <v>791</v>
      </c>
      <c r="N25" s="563" t="s">
        <v>792</v>
      </c>
      <c r="O25" s="563" t="s">
        <v>796</v>
      </c>
      <c r="P25" s="562" t="s">
        <v>791</v>
      </c>
      <c r="Q25" s="563" t="s">
        <v>792</v>
      </c>
      <c r="R25" s="563" t="s">
        <v>796</v>
      </c>
      <c r="S25" s="566"/>
      <c r="T25" s="916"/>
      <c r="U25" s="553"/>
      <c r="V25" s="553"/>
      <c r="W25" s="553"/>
    </row>
    <row r="26" spans="1:30">
      <c r="A26" s="553"/>
      <c r="B26" s="553"/>
      <c r="C26" s="553"/>
      <c r="D26" s="553"/>
      <c r="E26" s="553"/>
      <c r="F26" s="553"/>
      <c r="G26" s="581" t="s">
        <v>724</v>
      </c>
      <c r="H26" s="582">
        <f>SUM(H24:H25)</f>
        <v>0</v>
      </c>
      <c r="I26" s="582">
        <f>SUM(I24:I25)</f>
        <v>802</v>
      </c>
      <c r="J26" s="582">
        <f>SUM(J24:J25)</f>
        <v>1410</v>
      </c>
      <c r="K26" s="583">
        <f>SUM(K24:K25)</f>
        <v>2212</v>
      </c>
      <c r="L26" s="567">
        <f>ROUNDUP(SUM(L24:L25),0)</f>
        <v>405875</v>
      </c>
      <c r="M26" s="553"/>
      <c r="N26" s="553"/>
      <c r="O26" s="553"/>
      <c r="P26" s="553"/>
      <c r="Q26" s="553"/>
      <c r="R26" s="553"/>
      <c r="S26" s="553"/>
      <c r="T26" s="553"/>
      <c r="U26" s="553"/>
      <c r="V26" s="553"/>
      <c r="W26" s="553"/>
    </row>
    <row r="27" spans="1:30">
      <c r="A27" s="553"/>
      <c r="B27" s="553"/>
      <c r="C27" s="553"/>
      <c r="D27" s="553"/>
      <c r="E27" s="553"/>
      <c r="F27" s="553"/>
      <c r="G27" s="555"/>
      <c r="H27" s="584"/>
      <c r="I27" s="585">
        <v>0.36259999999999998</v>
      </c>
      <c r="J27" s="585">
        <v>0.63739999999999997</v>
      </c>
      <c r="K27" s="555"/>
      <c r="L27" s="555"/>
      <c r="M27" s="553"/>
      <c r="N27" s="553"/>
      <c r="O27" s="553"/>
      <c r="P27" s="553"/>
      <c r="Q27" s="553"/>
      <c r="R27" s="553"/>
      <c r="S27" s="553"/>
      <c r="T27" s="553"/>
      <c r="U27" s="553"/>
      <c r="V27" s="553"/>
      <c r="W27" s="553"/>
    </row>
    <row r="28" spans="1:30">
      <c r="A28" s="553"/>
      <c r="B28" s="553"/>
      <c r="C28" s="553"/>
      <c r="D28" s="553"/>
      <c r="E28" s="553"/>
      <c r="F28" s="553"/>
      <c r="G28" s="555"/>
      <c r="H28" s="1836" t="s">
        <v>797</v>
      </c>
      <c r="I28" s="1837"/>
      <c r="J28" s="1837"/>
      <c r="K28" s="1838"/>
      <c r="L28" s="686">
        <v>339149</v>
      </c>
      <c r="M28" s="553"/>
      <c r="N28" s="553"/>
      <c r="O28" s="553"/>
      <c r="P28" s="553"/>
      <c r="Q28" s="553"/>
      <c r="R28" s="553"/>
      <c r="S28" s="553"/>
      <c r="T28" s="553"/>
      <c r="U28" s="553"/>
      <c r="V28" s="553"/>
      <c r="W28" s="553"/>
    </row>
    <row r="29" spans="1:30">
      <c r="A29" s="553"/>
      <c r="B29" s="553"/>
      <c r="C29" s="553"/>
      <c r="D29" s="553"/>
      <c r="E29" s="553"/>
      <c r="F29" s="553"/>
      <c r="G29" s="555"/>
      <c r="H29" s="1836" t="s">
        <v>798</v>
      </c>
      <c r="I29" s="1837"/>
      <c r="J29" s="1837"/>
      <c r="K29" s="1838"/>
      <c r="L29" s="686">
        <v>66726</v>
      </c>
      <c r="M29" s="553"/>
      <c r="N29" s="553"/>
      <c r="O29" s="553"/>
      <c r="P29" s="553"/>
      <c r="Q29" s="553"/>
      <c r="R29" s="553"/>
      <c r="S29" s="553"/>
      <c r="T29" s="553"/>
      <c r="U29" s="553"/>
      <c r="V29" s="553"/>
      <c r="W29" s="553"/>
    </row>
    <row r="30" spans="1:30">
      <c r="A30" s="553"/>
      <c r="B30" s="553"/>
      <c r="C30" s="553"/>
      <c r="D30" s="553"/>
      <c r="E30" s="553"/>
      <c r="F30" s="553"/>
      <c r="G30" s="553"/>
      <c r="H30" s="553"/>
      <c r="I30" s="553"/>
      <c r="J30" s="553"/>
      <c r="K30" s="553"/>
      <c r="L30" s="553"/>
      <c r="M30" s="553"/>
      <c r="N30" s="553"/>
      <c r="O30" s="553"/>
      <c r="P30" s="553"/>
      <c r="Q30" s="553"/>
      <c r="R30" s="554"/>
      <c r="S30" s="554"/>
      <c r="T30" s="554"/>
      <c r="U30" s="553"/>
      <c r="V30" s="553"/>
      <c r="W30" s="553"/>
    </row>
    <row r="31" spans="1:30">
      <c r="A31" s="553"/>
      <c r="B31" s="553" t="s">
        <v>799</v>
      </c>
      <c r="C31" s="553"/>
      <c r="D31" s="553"/>
      <c r="E31" s="553"/>
      <c r="F31" s="553"/>
      <c r="G31" s="553"/>
      <c r="H31" s="553"/>
      <c r="I31" s="553"/>
      <c r="J31" s="553"/>
      <c r="K31" s="553"/>
      <c r="L31" s="553"/>
      <c r="M31" s="553"/>
      <c r="N31" s="553"/>
      <c r="O31" s="553"/>
      <c r="P31" s="553"/>
      <c r="Q31" s="553"/>
      <c r="R31" s="554"/>
      <c r="S31" s="554"/>
      <c r="T31" s="554"/>
      <c r="U31" s="553"/>
      <c r="V31" s="553"/>
      <c r="W31" s="553"/>
    </row>
    <row r="32" spans="1:30">
      <c r="A32" s="1787" t="s">
        <v>669</v>
      </c>
      <c r="B32" s="1787" t="s">
        <v>771</v>
      </c>
      <c r="C32" s="1787" t="s">
        <v>830</v>
      </c>
      <c r="D32" s="1787" t="s">
        <v>772</v>
      </c>
      <c r="E32" s="1787" t="s">
        <v>773</v>
      </c>
      <c r="F32" s="1787" t="s">
        <v>774</v>
      </c>
      <c r="G32" s="1787" t="s">
        <v>775</v>
      </c>
      <c r="H32" s="1835" t="s">
        <v>776</v>
      </c>
      <c r="I32" s="1835"/>
      <c r="J32" s="1835"/>
      <c r="K32" s="1671"/>
      <c r="L32" s="1788" t="s">
        <v>777</v>
      </c>
      <c r="M32" s="1652" t="s">
        <v>778</v>
      </c>
      <c r="N32" s="1653"/>
      <c r="O32" s="1654"/>
      <c r="P32" s="1652" t="s">
        <v>779</v>
      </c>
      <c r="Q32" s="1653"/>
      <c r="R32" s="1654"/>
      <c r="S32" s="1788" t="s">
        <v>780</v>
      </c>
      <c r="T32" s="1650" t="s">
        <v>781</v>
      </c>
      <c r="U32" s="553"/>
      <c r="V32" s="553"/>
      <c r="W32" s="553"/>
    </row>
    <row r="33" spans="1:23" ht="39">
      <c r="A33" s="1787"/>
      <c r="B33" s="1787"/>
      <c r="C33" s="1787"/>
      <c r="D33" s="1787"/>
      <c r="E33" s="1787"/>
      <c r="F33" s="1787"/>
      <c r="G33" s="1787"/>
      <c r="H33" s="917" t="s">
        <v>782</v>
      </c>
      <c r="I33" s="919" t="s">
        <v>783</v>
      </c>
      <c r="J33" s="919" t="s">
        <v>784</v>
      </c>
      <c r="K33" s="919" t="s">
        <v>540</v>
      </c>
      <c r="L33" s="1788"/>
      <c r="M33" s="919" t="s">
        <v>785</v>
      </c>
      <c r="N33" s="919" t="s">
        <v>786</v>
      </c>
      <c r="O33" s="919" t="s">
        <v>787</v>
      </c>
      <c r="P33" s="919" t="s">
        <v>785</v>
      </c>
      <c r="Q33" s="919" t="s">
        <v>786</v>
      </c>
      <c r="R33" s="919" t="s">
        <v>787</v>
      </c>
      <c r="S33" s="1788"/>
      <c r="T33" s="1651"/>
      <c r="U33" s="553"/>
      <c r="V33" s="553"/>
      <c r="W33" s="553"/>
    </row>
    <row r="34" spans="1:23" ht="26">
      <c r="A34" s="556" t="s">
        <v>800</v>
      </c>
      <c r="B34" s="552" t="s">
        <v>801</v>
      </c>
      <c r="C34" s="921" t="s">
        <v>790</v>
      </c>
      <c r="D34" s="558">
        <v>359.53</v>
      </c>
      <c r="E34" s="921">
        <v>1497.04</v>
      </c>
      <c r="F34" s="559">
        <v>0</v>
      </c>
      <c r="G34" s="559">
        <f t="shared" ref="G34:G35" si="16">E34-D34</f>
        <v>1137.51</v>
      </c>
      <c r="H34" s="478">
        <v>0</v>
      </c>
      <c r="I34" s="478">
        <v>0</v>
      </c>
      <c r="J34" s="478">
        <v>7</v>
      </c>
      <c r="K34" s="560">
        <f>SUM(H34:J34)</f>
        <v>7</v>
      </c>
      <c r="L34" s="561">
        <f t="shared" ref="L34:L35" si="17">G34*K34</f>
        <v>7962.57</v>
      </c>
      <c r="M34" s="562" t="s">
        <v>802</v>
      </c>
      <c r="N34" s="563" t="s">
        <v>792</v>
      </c>
      <c r="O34" s="564"/>
      <c r="P34" s="562" t="s">
        <v>791</v>
      </c>
      <c r="Q34" s="563" t="s">
        <v>792</v>
      </c>
      <c r="R34" s="564"/>
      <c r="S34" s="566"/>
      <c r="T34" s="916"/>
      <c r="U34" s="553"/>
      <c r="V34" s="553"/>
      <c r="W34" s="553"/>
    </row>
    <row r="35" spans="1:23" ht="26">
      <c r="A35" s="556" t="s">
        <v>803</v>
      </c>
      <c r="B35" s="478" t="s">
        <v>804</v>
      </c>
      <c r="C35" s="921" t="s">
        <v>790</v>
      </c>
      <c r="D35" s="558">
        <v>182.94</v>
      </c>
      <c r="E35" s="921">
        <v>1786.31</v>
      </c>
      <c r="F35" s="559">
        <v>0</v>
      </c>
      <c r="G35" s="559">
        <f t="shared" si="16"/>
        <v>1603.37</v>
      </c>
      <c r="H35" s="478">
        <v>0</v>
      </c>
      <c r="I35" s="478">
        <v>0</v>
      </c>
      <c r="J35" s="478">
        <v>28</v>
      </c>
      <c r="K35" s="560">
        <f>SUM(H35:J35)</f>
        <v>28</v>
      </c>
      <c r="L35" s="561">
        <f t="shared" si="17"/>
        <v>44894.36</v>
      </c>
      <c r="M35" s="562" t="s">
        <v>802</v>
      </c>
      <c r="N35" s="563" t="s">
        <v>792</v>
      </c>
      <c r="O35" s="564"/>
      <c r="P35" s="562" t="s">
        <v>791</v>
      </c>
      <c r="Q35" s="562" t="s">
        <v>792</v>
      </c>
      <c r="R35" s="564"/>
      <c r="S35" s="562"/>
      <c r="T35" s="916"/>
      <c r="U35" s="553"/>
      <c r="V35" s="553"/>
      <c r="W35" s="553"/>
    </row>
    <row r="36" spans="1:23">
      <c r="A36" s="553"/>
      <c r="B36" s="553"/>
      <c r="C36" s="553"/>
      <c r="D36" s="553"/>
      <c r="E36" s="553"/>
      <c r="F36" s="553"/>
      <c r="G36" s="581" t="s">
        <v>724</v>
      </c>
      <c r="H36" s="476">
        <f>SUM(H34:H35)</f>
        <v>0</v>
      </c>
      <c r="I36" s="476">
        <f>SUM(I34:I35)</f>
        <v>0</v>
      </c>
      <c r="J36" s="461">
        <f>SUM(J34:J35)</f>
        <v>35</v>
      </c>
      <c r="K36" s="586">
        <f>SUM(K34:K35)</f>
        <v>35</v>
      </c>
      <c r="L36" s="568">
        <f>ROUNDUP(SUM(L34:L35),0)</f>
        <v>52857</v>
      </c>
      <c r="M36" s="553" t="s">
        <v>956</v>
      </c>
      <c r="N36" s="553"/>
      <c r="O36" s="553"/>
      <c r="P36" s="553"/>
      <c r="Q36" s="553"/>
      <c r="R36" s="553"/>
      <c r="S36" s="553"/>
      <c r="T36" s="553"/>
      <c r="U36" s="553"/>
      <c r="V36" s="553"/>
      <c r="W36" s="553"/>
    </row>
    <row r="37" spans="1:23">
      <c r="A37" s="553"/>
      <c r="B37" s="553"/>
      <c r="C37" s="553"/>
      <c r="D37" s="553"/>
      <c r="E37" s="553"/>
      <c r="F37" s="553"/>
      <c r="G37" s="555"/>
      <c r="H37" s="555"/>
      <c r="I37" s="581"/>
      <c r="J37" s="587">
        <v>1</v>
      </c>
      <c r="K37" s="555"/>
      <c r="L37" s="555"/>
      <c r="M37" s="553"/>
      <c r="N37" s="553"/>
      <c r="O37" s="553"/>
      <c r="P37" s="553"/>
      <c r="Q37" s="553"/>
      <c r="R37" s="553"/>
      <c r="S37" s="553"/>
      <c r="T37" s="553"/>
      <c r="U37" s="553"/>
      <c r="V37" s="553"/>
      <c r="W37" s="553"/>
    </row>
    <row r="38" spans="1:23">
      <c r="A38" s="553"/>
      <c r="B38" s="553"/>
      <c r="C38" s="553"/>
      <c r="D38" s="553"/>
      <c r="E38" s="553"/>
      <c r="F38" s="553"/>
      <c r="G38" s="553"/>
      <c r="H38" s="553"/>
      <c r="I38" s="553"/>
      <c r="J38" s="553"/>
      <c r="K38" s="553"/>
      <c r="L38" s="553"/>
      <c r="M38" s="553"/>
      <c r="N38" s="553"/>
      <c r="O38" s="553"/>
      <c r="P38" s="553"/>
      <c r="Q38" s="553"/>
      <c r="R38" s="553"/>
      <c r="S38" s="553"/>
      <c r="T38" s="553"/>
      <c r="U38" s="553"/>
      <c r="V38" s="553"/>
      <c r="W38" s="553"/>
    </row>
    <row r="39" spans="1:23" ht="91">
      <c r="A39" s="918" t="s">
        <v>669</v>
      </c>
      <c r="B39" s="918" t="s">
        <v>670</v>
      </c>
      <c r="C39" s="918" t="s">
        <v>772</v>
      </c>
      <c r="D39" s="918" t="s">
        <v>773</v>
      </c>
      <c r="E39" s="589" t="s">
        <v>805</v>
      </c>
      <c r="F39" s="589" t="s">
        <v>806</v>
      </c>
      <c r="G39" s="918" t="s">
        <v>774</v>
      </c>
      <c r="H39" s="918" t="s">
        <v>775</v>
      </c>
      <c r="I39" s="918" t="s">
        <v>776</v>
      </c>
      <c r="J39" s="918" t="s">
        <v>777</v>
      </c>
      <c r="K39" s="297"/>
      <c r="L39" s="297"/>
      <c r="M39" s="297"/>
      <c r="N39" s="297"/>
      <c r="O39" s="297"/>
      <c r="P39" s="297"/>
      <c r="Q39" s="297"/>
      <c r="R39" s="297"/>
      <c r="S39" s="297"/>
      <c r="T39" s="297"/>
      <c r="U39" s="297"/>
      <c r="V39" s="297"/>
      <c r="W39" s="297"/>
    </row>
    <row r="40" spans="1:23" ht="26">
      <c r="A40" s="557" t="s">
        <v>807</v>
      </c>
      <c r="B40" s="569" t="s">
        <v>808</v>
      </c>
      <c r="C40" s="570">
        <v>1.99</v>
      </c>
      <c r="D40" s="571">
        <v>4.3499999999999996</v>
      </c>
      <c r="E40" s="571"/>
      <c r="F40" s="571"/>
      <c r="G40" s="572">
        <v>0</v>
      </c>
      <c r="H40" s="573">
        <f>D40-C40</f>
        <v>2.3599999999999994</v>
      </c>
      <c r="I40" s="921">
        <v>75222</v>
      </c>
      <c r="J40" s="574">
        <f>H40*I40</f>
        <v>177523.91999999995</v>
      </c>
      <c r="K40" s="297"/>
      <c r="L40" s="297"/>
      <c r="M40" s="297"/>
      <c r="N40" s="297"/>
      <c r="O40" s="297"/>
      <c r="P40" s="297"/>
      <c r="Q40" s="297"/>
      <c r="R40" s="297"/>
      <c r="S40" s="297"/>
      <c r="T40" s="297"/>
      <c r="U40" s="297"/>
      <c r="V40" s="297"/>
      <c r="W40" s="297"/>
    </row>
    <row r="41" spans="1:23">
      <c r="A41" s="557" t="s">
        <v>809</v>
      </c>
      <c r="B41" s="569" t="s">
        <v>810</v>
      </c>
      <c r="C41" s="575">
        <v>30.7</v>
      </c>
      <c r="D41" s="575">
        <v>40.72</v>
      </c>
      <c r="E41" s="575"/>
      <c r="F41" s="575"/>
      <c r="G41" s="575">
        <v>4</v>
      </c>
      <c r="H41" s="573">
        <f>D41-C41</f>
        <v>10.02</v>
      </c>
      <c r="I41" s="921">
        <v>27</v>
      </c>
      <c r="J41" s="574">
        <f t="shared" ref="J41" si="18">H41*I41</f>
        <v>270.53999999999996</v>
      </c>
      <c r="K41" s="297"/>
      <c r="L41" s="297"/>
      <c r="M41" s="297"/>
      <c r="N41" s="297"/>
      <c r="O41" s="297"/>
      <c r="P41" s="297"/>
      <c r="Q41" s="297"/>
      <c r="R41" s="297"/>
      <c r="S41" s="297"/>
      <c r="T41" s="297"/>
      <c r="U41" s="297"/>
      <c r="V41" s="297"/>
      <c r="W41" s="297"/>
    </row>
    <row r="42" spans="1:23">
      <c r="A42" s="557" t="s">
        <v>811</v>
      </c>
      <c r="B42" s="576" t="s">
        <v>812</v>
      </c>
      <c r="C42" s="575"/>
      <c r="D42" s="575"/>
      <c r="E42" s="575">
        <v>17.77</v>
      </c>
      <c r="F42" s="575"/>
      <c r="G42" s="575"/>
      <c r="H42" s="575"/>
      <c r="I42" s="921">
        <v>30</v>
      </c>
      <c r="J42" s="574">
        <f>E42*I42</f>
        <v>533.1</v>
      </c>
      <c r="K42" s="297"/>
      <c r="L42" s="297"/>
      <c r="M42" s="297"/>
      <c r="N42" s="297"/>
      <c r="O42" s="297"/>
      <c r="P42" s="297"/>
      <c r="Q42" s="297"/>
      <c r="R42" s="297"/>
      <c r="S42" s="297"/>
      <c r="T42" s="297"/>
      <c r="U42" s="297"/>
      <c r="V42" s="297"/>
      <c r="W42" s="297"/>
    </row>
    <row r="43" spans="1:23">
      <c r="A43" s="557" t="s">
        <v>811</v>
      </c>
      <c r="B43" s="576" t="s">
        <v>813</v>
      </c>
      <c r="C43" s="575"/>
      <c r="D43" s="575"/>
      <c r="E43" s="575">
        <v>37.15</v>
      </c>
      <c r="F43" s="575"/>
      <c r="G43" s="575"/>
      <c r="H43" s="575"/>
      <c r="I43" s="921">
        <v>30</v>
      </c>
      <c r="J43" s="574">
        <f>E43*I43</f>
        <v>1114.5</v>
      </c>
      <c r="K43" s="297"/>
      <c r="L43" s="297"/>
      <c r="M43" s="297"/>
      <c r="N43" s="297"/>
      <c r="O43" s="297"/>
      <c r="P43" s="297"/>
      <c r="Q43" s="297"/>
      <c r="R43" s="297"/>
      <c r="S43" s="297"/>
      <c r="T43" s="297"/>
      <c r="U43" s="297"/>
      <c r="V43" s="297"/>
      <c r="W43" s="297"/>
    </row>
    <row r="44" spans="1:23">
      <c r="A44" s="557" t="s">
        <v>811</v>
      </c>
      <c r="B44" s="576" t="s">
        <v>814</v>
      </c>
      <c r="C44" s="575"/>
      <c r="D44" s="575"/>
      <c r="E44" s="575">
        <v>39.6</v>
      </c>
      <c r="F44" s="575"/>
      <c r="G44" s="575"/>
      <c r="H44" s="575"/>
      <c r="I44" s="921">
        <v>30</v>
      </c>
      <c r="J44" s="574">
        <f>E44*I44</f>
        <v>1188</v>
      </c>
      <c r="K44" s="297"/>
      <c r="L44" s="297"/>
      <c r="M44" s="297"/>
      <c r="N44" s="297"/>
      <c r="O44" s="297"/>
      <c r="P44" s="297"/>
      <c r="Q44" s="297"/>
      <c r="R44" s="297"/>
      <c r="S44" s="297"/>
      <c r="T44" s="297"/>
      <c r="U44" s="297"/>
      <c r="V44" s="297"/>
      <c r="W44" s="297"/>
    </row>
    <row r="45" spans="1:23">
      <c r="A45" s="557" t="s">
        <v>815</v>
      </c>
      <c r="B45" s="577" t="s">
        <v>816</v>
      </c>
      <c r="C45" s="575">
        <v>386.71</v>
      </c>
      <c r="D45" s="575"/>
      <c r="E45" s="575"/>
      <c r="F45" s="575">
        <v>500</v>
      </c>
      <c r="G45" s="575"/>
      <c r="H45" s="575"/>
      <c r="I45" s="921">
        <v>103</v>
      </c>
      <c r="J45" s="578">
        <f>(F45-C45)*I45</f>
        <v>11668.870000000003</v>
      </c>
      <c r="K45" s="297"/>
      <c r="L45" s="297"/>
      <c r="M45" s="297"/>
      <c r="N45" s="297"/>
      <c r="O45" s="297"/>
      <c r="P45" s="297"/>
      <c r="Q45" s="297"/>
      <c r="R45" s="297"/>
      <c r="S45" s="297"/>
      <c r="T45" s="297"/>
      <c r="U45" s="297"/>
      <c r="V45" s="297"/>
      <c r="W45" s="297"/>
    </row>
    <row r="46" spans="1:23">
      <c r="A46" s="557" t="s">
        <v>817</v>
      </c>
      <c r="B46" s="577" t="s">
        <v>818</v>
      </c>
      <c r="C46" s="575">
        <v>424.3</v>
      </c>
      <c r="D46" s="575"/>
      <c r="E46" s="575"/>
      <c r="F46" s="575">
        <v>550</v>
      </c>
      <c r="G46" s="575"/>
      <c r="H46" s="575"/>
      <c r="I46" s="921">
        <v>11</v>
      </c>
      <c r="J46" s="578">
        <f t="shared" ref="J46:J47" si="19">(F46-C46)*I46</f>
        <v>1382.6999999999998</v>
      </c>
      <c r="K46" s="297"/>
      <c r="L46" s="297"/>
      <c r="M46" s="297"/>
      <c r="N46" s="297"/>
      <c r="O46" s="297"/>
      <c r="P46" s="297"/>
      <c r="Q46" s="297"/>
      <c r="R46" s="297"/>
      <c r="S46" s="297"/>
      <c r="T46" s="297"/>
      <c r="U46" s="297"/>
      <c r="V46" s="297"/>
      <c r="W46" s="297"/>
    </row>
    <row r="47" spans="1:23">
      <c r="A47" s="557" t="s">
        <v>819</v>
      </c>
      <c r="B47" s="577" t="s">
        <v>820</v>
      </c>
      <c r="C47" s="575">
        <v>445.64</v>
      </c>
      <c r="D47" s="575"/>
      <c r="E47" s="575"/>
      <c r="F47" s="575">
        <v>570</v>
      </c>
      <c r="G47" s="575"/>
      <c r="H47" s="575"/>
      <c r="I47" s="921">
        <v>20</v>
      </c>
      <c r="J47" s="578">
        <f t="shared" si="19"/>
        <v>2487.2000000000003</v>
      </c>
      <c r="K47" s="297"/>
      <c r="L47" s="297"/>
      <c r="M47" s="297"/>
      <c r="N47" s="297"/>
      <c r="O47" s="297"/>
      <c r="P47" s="297"/>
      <c r="Q47" s="297"/>
      <c r="R47" s="297"/>
      <c r="S47" s="297"/>
      <c r="T47" s="297"/>
      <c r="U47" s="297"/>
      <c r="V47" s="297"/>
      <c r="W47" s="297"/>
    </row>
    <row r="48" spans="1:23" ht="26">
      <c r="A48" s="557" t="s">
        <v>811</v>
      </c>
      <c r="B48" s="577" t="s">
        <v>821</v>
      </c>
      <c r="C48" s="575"/>
      <c r="D48" s="575"/>
      <c r="E48" s="575"/>
      <c r="F48" s="575">
        <v>300</v>
      </c>
      <c r="G48" s="575"/>
      <c r="H48" s="575"/>
      <c r="I48" s="921">
        <v>150</v>
      </c>
      <c r="J48" s="578">
        <f>F48*I48</f>
        <v>45000</v>
      </c>
      <c r="K48" s="297"/>
      <c r="L48" s="297"/>
      <c r="M48" s="297"/>
      <c r="N48" s="297"/>
      <c r="O48" s="297"/>
      <c r="P48" s="297"/>
      <c r="Q48" s="297"/>
      <c r="R48" s="297"/>
      <c r="S48" s="297"/>
      <c r="T48" s="297"/>
      <c r="U48" s="297"/>
      <c r="V48" s="297"/>
      <c r="W48" s="297"/>
    </row>
    <row r="49" spans="1:23" ht="39">
      <c r="A49" s="557" t="s">
        <v>811</v>
      </c>
      <c r="B49" s="577" t="s">
        <v>822</v>
      </c>
      <c r="C49" s="575"/>
      <c r="D49" s="575"/>
      <c r="E49" s="575"/>
      <c r="F49" s="575">
        <v>400</v>
      </c>
      <c r="G49" s="575"/>
      <c r="H49" s="575"/>
      <c r="I49" s="921">
        <v>50</v>
      </c>
      <c r="J49" s="578">
        <f t="shared" ref="J49:J55" si="20">F49*I49</f>
        <v>20000</v>
      </c>
      <c r="K49" s="297"/>
      <c r="L49" s="297"/>
      <c r="M49" s="297"/>
      <c r="N49" s="297"/>
      <c r="O49" s="297"/>
      <c r="P49" s="297"/>
      <c r="Q49" s="297"/>
      <c r="R49" s="297"/>
      <c r="S49" s="297"/>
      <c r="T49" s="297"/>
      <c r="U49" s="297"/>
      <c r="V49" s="297"/>
      <c r="W49" s="297"/>
    </row>
    <row r="50" spans="1:23" ht="26">
      <c r="A50" s="557" t="s">
        <v>811</v>
      </c>
      <c r="B50" s="577" t="s">
        <v>823</v>
      </c>
      <c r="C50" s="575"/>
      <c r="D50" s="575"/>
      <c r="E50" s="575"/>
      <c r="F50" s="575">
        <v>400</v>
      </c>
      <c r="G50" s="575"/>
      <c r="H50" s="575"/>
      <c r="I50" s="921">
        <v>20</v>
      </c>
      <c r="J50" s="578">
        <f t="shared" si="20"/>
        <v>8000</v>
      </c>
      <c r="K50" s="297"/>
      <c r="L50" s="297"/>
      <c r="M50" s="297"/>
      <c r="N50" s="297"/>
      <c r="O50" s="297"/>
      <c r="P50" s="297"/>
      <c r="Q50" s="297"/>
      <c r="R50" s="297"/>
      <c r="S50" s="297"/>
      <c r="T50" s="297"/>
      <c r="U50" s="297"/>
      <c r="V50" s="297"/>
      <c r="W50" s="297"/>
    </row>
    <row r="51" spans="1:23" ht="52">
      <c r="A51" s="557" t="s">
        <v>811</v>
      </c>
      <c r="B51" s="577" t="s">
        <v>824</v>
      </c>
      <c r="C51" s="575"/>
      <c r="D51" s="575"/>
      <c r="E51" s="575"/>
      <c r="F51" s="575">
        <v>400</v>
      </c>
      <c r="G51" s="575"/>
      <c r="H51" s="575"/>
      <c r="I51" s="921">
        <v>50</v>
      </c>
      <c r="J51" s="578">
        <f t="shared" si="20"/>
        <v>20000</v>
      </c>
      <c r="K51" s="297"/>
      <c r="L51" s="297"/>
      <c r="M51" s="297"/>
      <c r="N51" s="297"/>
      <c r="O51" s="297"/>
      <c r="P51" s="297"/>
      <c r="Q51" s="297"/>
      <c r="R51" s="297"/>
      <c r="S51" s="297"/>
      <c r="T51" s="297"/>
      <c r="U51" s="297"/>
      <c r="V51" s="297"/>
      <c r="W51" s="297"/>
    </row>
    <row r="52" spans="1:23" ht="52">
      <c r="A52" s="557" t="s">
        <v>811</v>
      </c>
      <c r="B52" s="577" t="s">
        <v>825</v>
      </c>
      <c r="C52" s="575"/>
      <c r="D52" s="575"/>
      <c r="E52" s="575"/>
      <c r="F52" s="575">
        <v>400</v>
      </c>
      <c r="G52" s="575"/>
      <c r="H52" s="575"/>
      <c r="I52" s="921">
        <v>20</v>
      </c>
      <c r="J52" s="578">
        <f t="shared" si="20"/>
        <v>8000</v>
      </c>
      <c r="K52" s="297"/>
      <c r="L52" s="297"/>
      <c r="M52" s="297"/>
      <c r="N52" s="297"/>
      <c r="O52" s="297"/>
      <c r="P52" s="297"/>
      <c r="Q52" s="297"/>
      <c r="R52" s="297"/>
      <c r="S52" s="297"/>
      <c r="T52" s="297"/>
      <c r="U52" s="297"/>
      <c r="V52" s="297"/>
      <c r="W52" s="297"/>
    </row>
    <row r="53" spans="1:23" ht="26">
      <c r="A53" s="557" t="s">
        <v>811</v>
      </c>
      <c r="B53" s="577" t="s">
        <v>826</v>
      </c>
      <c r="C53" s="575"/>
      <c r="D53" s="575"/>
      <c r="E53" s="575"/>
      <c r="F53" s="575">
        <v>130</v>
      </c>
      <c r="G53" s="575"/>
      <c r="H53" s="575"/>
      <c r="I53" s="921">
        <v>20</v>
      </c>
      <c r="J53" s="578">
        <f t="shared" si="20"/>
        <v>2600</v>
      </c>
      <c r="K53" s="297"/>
      <c r="L53" s="297"/>
      <c r="M53" s="297"/>
      <c r="N53" s="297"/>
      <c r="O53" s="297"/>
      <c r="P53" s="297"/>
      <c r="Q53" s="297"/>
      <c r="R53" s="297"/>
      <c r="S53" s="297"/>
      <c r="T53" s="297"/>
      <c r="U53" s="297"/>
      <c r="V53" s="297"/>
      <c r="W53" s="297"/>
    </row>
    <row r="54" spans="1:23" ht="39">
      <c r="A54" s="557" t="s">
        <v>811</v>
      </c>
      <c r="B54" s="577" t="s">
        <v>827</v>
      </c>
      <c r="C54" s="575"/>
      <c r="D54" s="575"/>
      <c r="E54" s="575"/>
      <c r="F54" s="575">
        <v>135</v>
      </c>
      <c r="G54" s="575"/>
      <c r="H54" s="575"/>
      <c r="I54" s="921">
        <v>100</v>
      </c>
      <c r="J54" s="578">
        <f t="shared" si="20"/>
        <v>13500</v>
      </c>
      <c r="K54" s="297"/>
      <c r="L54" s="297"/>
      <c r="M54" s="297"/>
      <c r="N54" s="297"/>
      <c r="O54" s="297"/>
      <c r="P54" s="297"/>
      <c r="Q54" s="297"/>
      <c r="R54" s="297"/>
      <c r="S54" s="297"/>
      <c r="T54" s="297"/>
      <c r="U54" s="297"/>
      <c r="V54" s="297"/>
      <c r="W54" s="297"/>
    </row>
    <row r="55" spans="1:23" ht="26">
      <c r="A55" s="557" t="s">
        <v>811</v>
      </c>
      <c r="B55" s="577" t="s">
        <v>828</v>
      </c>
      <c r="C55" s="575"/>
      <c r="D55" s="575"/>
      <c r="E55" s="575"/>
      <c r="F55" s="575">
        <v>130</v>
      </c>
      <c r="G55" s="575"/>
      <c r="H55" s="575"/>
      <c r="I55" s="921">
        <v>20</v>
      </c>
      <c r="J55" s="578">
        <f t="shared" si="20"/>
        <v>2600</v>
      </c>
      <c r="K55" s="297"/>
      <c r="L55" s="297"/>
      <c r="M55" s="297"/>
      <c r="N55" s="297"/>
      <c r="O55" s="297"/>
      <c r="P55" s="297"/>
      <c r="Q55" s="297"/>
      <c r="R55" s="297"/>
      <c r="S55" s="297"/>
      <c r="T55" s="297"/>
      <c r="U55" s="297"/>
      <c r="V55" s="297"/>
      <c r="W55" s="297"/>
    </row>
    <row r="56" spans="1:23">
      <c r="A56" s="297"/>
      <c r="B56" s="297"/>
      <c r="C56" s="368"/>
      <c r="D56" s="368"/>
      <c r="E56" s="368"/>
      <c r="F56" s="368"/>
      <c r="G56" s="368"/>
      <c r="H56" s="368"/>
      <c r="I56" s="368"/>
      <c r="J56" s="682">
        <f>ROUNDDOWN(SUM(J40:J55),0)</f>
        <v>315868</v>
      </c>
      <c r="K56" s="297"/>
      <c r="L56" s="297"/>
      <c r="M56" s="297"/>
      <c r="N56" s="297"/>
      <c r="O56" s="297"/>
      <c r="P56" s="297"/>
      <c r="Q56" s="297"/>
      <c r="R56" s="297"/>
      <c r="S56" s="297"/>
      <c r="T56" s="297"/>
      <c r="U56" s="297"/>
      <c r="V56" s="297"/>
      <c r="W56" s="297"/>
    </row>
    <row r="57" spans="1:23">
      <c r="A57" s="297"/>
      <c r="B57" s="297"/>
      <c r="C57" s="368"/>
      <c r="D57" s="368"/>
      <c r="E57" s="368"/>
      <c r="F57" s="368"/>
      <c r="G57" s="1833" t="s">
        <v>952</v>
      </c>
      <c r="H57" s="1833"/>
      <c r="I57" s="1833"/>
      <c r="J57" s="684">
        <v>157934</v>
      </c>
      <c r="K57" s="297"/>
      <c r="L57" s="297"/>
      <c r="M57" s="297"/>
      <c r="N57" s="297"/>
      <c r="O57" s="297"/>
      <c r="P57" s="297"/>
      <c r="Q57" s="297"/>
      <c r="R57" s="297"/>
      <c r="S57" s="297"/>
      <c r="T57" s="297"/>
      <c r="U57" s="297"/>
      <c r="V57" s="297"/>
      <c r="W57" s="297"/>
    </row>
    <row r="58" spans="1:23" ht="14.25" customHeight="1">
      <c r="A58" s="297"/>
      <c r="B58" s="297"/>
      <c r="C58" s="368"/>
      <c r="D58" s="368"/>
      <c r="E58" s="368"/>
      <c r="F58" s="368"/>
      <c r="G58" s="1833" t="s">
        <v>953</v>
      </c>
      <c r="H58" s="1833"/>
      <c r="I58" s="1833"/>
      <c r="J58" s="683">
        <v>157934</v>
      </c>
      <c r="K58" s="297"/>
      <c r="L58" s="297"/>
      <c r="M58" s="297"/>
      <c r="N58" s="297"/>
      <c r="O58" s="297"/>
      <c r="P58" s="297"/>
      <c r="Q58" s="297"/>
      <c r="R58" s="297"/>
      <c r="S58" s="297"/>
      <c r="T58" s="297"/>
      <c r="U58" s="297"/>
      <c r="V58" s="297"/>
      <c r="W58" s="297"/>
    </row>
    <row r="59" spans="1:23" s="1089" customFormat="1" ht="14.25" customHeight="1">
      <c r="A59" s="1075"/>
      <c r="B59" s="1075"/>
      <c r="C59" s="1077"/>
      <c r="D59" s="1077"/>
      <c r="E59" s="1077"/>
      <c r="F59" s="1077"/>
      <c r="G59" s="1129"/>
      <c r="H59" s="1129"/>
      <c r="I59" s="1129"/>
      <c r="J59" s="1101"/>
      <c r="K59" s="1075"/>
      <c r="L59" s="1075"/>
      <c r="M59" s="1075"/>
      <c r="N59" s="1075"/>
      <c r="O59" s="1075"/>
      <c r="P59" s="1075"/>
      <c r="Q59" s="1075"/>
      <c r="R59" s="1075"/>
      <c r="S59" s="1075"/>
      <c r="T59" s="1075"/>
      <c r="U59" s="1075"/>
      <c r="V59" s="1075"/>
      <c r="W59" s="1075"/>
    </row>
    <row r="60" spans="1:23" s="1089" customFormat="1" ht="14.25" customHeight="1">
      <c r="A60" s="1160"/>
      <c r="B60" s="1126"/>
      <c r="C60" s="1160"/>
      <c r="D60" s="1160"/>
      <c r="E60" s="1160"/>
      <c r="F60" s="1160"/>
      <c r="G60" s="1160"/>
      <c r="H60" s="1160"/>
      <c r="I60" s="1160"/>
      <c r="J60" s="1160"/>
      <c r="K60" s="1160"/>
      <c r="L60" s="1160"/>
      <c r="M60" s="1160"/>
      <c r="N60" s="1160"/>
      <c r="O60" s="1160"/>
      <c r="P60" s="1160"/>
      <c r="Q60" s="1160"/>
      <c r="R60" s="1160"/>
      <c r="S60" s="1160"/>
      <c r="T60" s="1160"/>
      <c r="U60" s="1075"/>
      <c r="V60" s="1075"/>
      <c r="W60" s="1075"/>
    </row>
    <row r="61" spans="1:23" s="1089" customFormat="1" ht="14.25" customHeight="1">
      <c r="A61" s="1160"/>
      <c r="B61" s="1216" t="s">
        <v>1414</v>
      </c>
      <c r="C61" s="1160"/>
      <c r="D61" s="1160"/>
      <c r="E61" s="1160"/>
      <c r="F61" s="1160"/>
      <c r="G61" s="1160"/>
      <c r="H61" s="1160"/>
      <c r="I61" s="1160"/>
      <c r="J61" s="1160"/>
      <c r="K61" s="1160"/>
      <c r="L61" s="1160"/>
      <c r="M61" s="1160"/>
      <c r="N61" s="1160"/>
      <c r="O61" s="1160"/>
      <c r="P61" s="1160"/>
      <c r="Q61" s="1160"/>
      <c r="R61" s="1160"/>
      <c r="S61" s="1160"/>
      <c r="T61" s="1160"/>
      <c r="U61" s="1075"/>
      <c r="V61" s="1075"/>
      <c r="W61" s="1075"/>
    </row>
    <row r="62" spans="1:23" s="1089" customFormat="1" ht="14.25" customHeight="1">
      <c r="A62" s="1105"/>
      <c r="B62" s="1105"/>
      <c r="C62" s="1105"/>
      <c r="D62" s="1105"/>
      <c r="E62" s="1105"/>
      <c r="F62" s="1123" t="s">
        <v>640</v>
      </c>
      <c r="G62" s="1123" t="s">
        <v>641</v>
      </c>
      <c r="H62" s="1123" t="s">
        <v>695</v>
      </c>
      <c r="I62" s="1828" t="s">
        <v>642</v>
      </c>
      <c r="J62" s="1117"/>
      <c r="K62" s="1105"/>
      <c r="L62" s="1105"/>
      <c r="M62" s="1105"/>
      <c r="N62" s="1105"/>
      <c r="O62" s="1828" t="s">
        <v>696</v>
      </c>
      <c r="P62" s="1828" t="s">
        <v>697</v>
      </c>
      <c r="Q62" s="1828" t="s">
        <v>698</v>
      </c>
      <c r="R62" s="1103"/>
      <c r="S62" s="1105"/>
      <c r="T62" s="1070"/>
      <c r="U62" s="1075"/>
      <c r="V62" s="1075"/>
      <c r="W62" s="1075"/>
    </row>
    <row r="63" spans="1:23" s="1089" customFormat="1" ht="14.25" customHeight="1">
      <c r="A63" s="1105"/>
      <c r="B63" s="1105"/>
      <c r="C63" s="1105"/>
      <c r="D63" s="1105"/>
      <c r="E63" s="1124" t="s">
        <v>644</v>
      </c>
      <c r="F63" s="1097">
        <v>1862</v>
      </c>
      <c r="G63" s="1097">
        <v>1117</v>
      </c>
      <c r="H63" s="1097">
        <v>745</v>
      </c>
      <c r="I63" s="1829"/>
      <c r="J63" s="1105"/>
      <c r="K63" s="1105"/>
      <c r="L63" s="1105"/>
      <c r="M63" s="1105"/>
      <c r="N63" s="1105"/>
      <c r="O63" s="1829"/>
      <c r="P63" s="1829"/>
      <c r="Q63" s="1829"/>
      <c r="R63" s="1103"/>
      <c r="S63" s="1105"/>
      <c r="T63" s="1070"/>
      <c r="U63" s="1075"/>
      <c r="V63" s="1075"/>
      <c r="W63" s="1075"/>
    </row>
    <row r="64" spans="1:23" s="1089" customFormat="1" ht="14.25" customHeight="1">
      <c r="A64" s="1157"/>
      <c r="B64" s="1157"/>
      <c r="C64" s="1157"/>
      <c r="D64" s="1157"/>
      <c r="E64" s="1158" t="s">
        <v>646</v>
      </c>
      <c r="F64" s="1097">
        <f>ROUND(F63/9600,4)</f>
        <v>0.19400000000000001</v>
      </c>
      <c r="G64" s="1097">
        <f t="shared" ref="G64" si="21">ROUND(G63/9600,4)</f>
        <v>0.1164</v>
      </c>
      <c r="H64" s="1097">
        <f>ROUND(H63/9600,4)</f>
        <v>7.7600000000000002E-2</v>
      </c>
      <c r="I64" s="1097">
        <v>0.2359</v>
      </c>
      <c r="J64" s="1157"/>
      <c r="K64" s="1157"/>
      <c r="L64" s="1157"/>
      <c r="M64" s="1074"/>
      <c r="N64" s="1158" t="s">
        <v>699</v>
      </c>
      <c r="O64" s="1097">
        <v>0.31330000000000002</v>
      </c>
      <c r="P64" s="1097">
        <v>2.5100000000000001E-2</v>
      </c>
      <c r="Q64" s="1097">
        <v>4.0099999999999997E-2</v>
      </c>
      <c r="R64" s="1157"/>
      <c r="S64" s="1157"/>
      <c r="T64" s="1074"/>
      <c r="U64" s="1075"/>
      <c r="V64" s="1075"/>
      <c r="W64" s="1075"/>
    </row>
    <row r="65" spans="1:23" s="1089" customFormat="1" ht="14.25" customHeight="1">
      <c r="A65" s="1157"/>
      <c r="B65" s="1157"/>
      <c r="C65" s="1157"/>
      <c r="D65" s="1157"/>
      <c r="E65" s="1157"/>
      <c r="F65" s="1157"/>
      <c r="G65" s="1157"/>
      <c r="H65" s="1157"/>
      <c r="I65" s="1157"/>
      <c r="J65" s="1157"/>
      <c r="K65" s="1157"/>
      <c r="L65" s="1157"/>
      <c r="M65" s="1157"/>
      <c r="N65" s="1157"/>
      <c r="O65" s="1157"/>
      <c r="P65" s="1157"/>
      <c r="Q65" s="1157"/>
      <c r="R65" s="1157"/>
      <c r="S65" s="1157"/>
      <c r="T65" s="1074"/>
      <c r="U65" s="1075"/>
      <c r="V65" s="1075"/>
      <c r="W65" s="1075"/>
    </row>
    <row r="66" spans="1:23" s="1089" customFormat="1" ht="14.25" customHeight="1">
      <c r="A66" s="1830" t="s">
        <v>860</v>
      </c>
      <c r="B66" s="1831" t="s">
        <v>845</v>
      </c>
      <c r="C66" s="1830" t="s">
        <v>704</v>
      </c>
      <c r="D66" s="1830"/>
      <c r="E66" s="1830"/>
      <c r="F66" s="1830" t="s">
        <v>705</v>
      </c>
      <c r="G66" s="1830"/>
      <c r="H66" s="1830"/>
      <c r="I66" s="1159" t="s">
        <v>638</v>
      </c>
      <c r="J66" s="1830" t="s">
        <v>706</v>
      </c>
      <c r="K66" s="1830"/>
      <c r="L66" s="1830"/>
      <c r="M66" s="1830" t="s">
        <v>861</v>
      </c>
      <c r="N66" s="1830" t="s">
        <v>759</v>
      </c>
      <c r="O66" s="1830" t="s">
        <v>708</v>
      </c>
      <c r="P66" s="1830" t="s">
        <v>709</v>
      </c>
      <c r="Q66" s="1830" t="s">
        <v>710</v>
      </c>
      <c r="R66" s="1816" t="s">
        <v>862</v>
      </c>
      <c r="S66" s="1817" t="s">
        <v>863</v>
      </c>
      <c r="T66" s="1817" t="s">
        <v>864</v>
      </c>
      <c r="U66" s="1075"/>
      <c r="V66" s="1075"/>
      <c r="W66" s="1075"/>
    </row>
    <row r="67" spans="1:23" s="1089" customFormat="1" ht="14.25" customHeight="1">
      <c r="A67" s="1830"/>
      <c r="B67" s="1832"/>
      <c r="C67" s="1159" t="s">
        <v>711</v>
      </c>
      <c r="D67" s="1159" t="s">
        <v>712</v>
      </c>
      <c r="E67" s="1159" t="s">
        <v>713</v>
      </c>
      <c r="F67" s="1159" t="s">
        <v>711</v>
      </c>
      <c r="G67" s="1159" t="s">
        <v>712</v>
      </c>
      <c r="H67" s="1159" t="s">
        <v>714</v>
      </c>
      <c r="I67" s="1159" t="s">
        <v>715</v>
      </c>
      <c r="J67" s="1159" t="s">
        <v>716</v>
      </c>
      <c r="K67" s="1140" t="s">
        <v>762</v>
      </c>
      <c r="L67" s="1135" t="s">
        <v>718</v>
      </c>
      <c r="M67" s="1830"/>
      <c r="N67" s="1830"/>
      <c r="O67" s="1830"/>
      <c r="P67" s="1830"/>
      <c r="Q67" s="1830"/>
      <c r="R67" s="1816"/>
      <c r="S67" s="1818"/>
      <c r="T67" s="1818"/>
      <c r="U67" s="1075"/>
      <c r="V67" s="1075"/>
      <c r="W67" s="1075"/>
    </row>
    <row r="68" spans="1:23" s="1089" customFormat="1" ht="14.25" customHeight="1">
      <c r="A68" s="1102">
        <v>1</v>
      </c>
      <c r="B68" s="1153">
        <v>2</v>
      </c>
      <c r="C68" s="1153">
        <v>3</v>
      </c>
      <c r="D68" s="1153">
        <v>4</v>
      </c>
      <c r="E68" s="1153">
        <v>5</v>
      </c>
      <c r="F68" s="1153">
        <v>6</v>
      </c>
      <c r="G68" s="1153">
        <v>7</v>
      </c>
      <c r="H68" s="1153">
        <v>8</v>
      </c>
      <c r="I68" s="1153">
        <v>9</v>
      </c>
      <c r="J68" s="1153" t="s">
        <v>719</v>
      </c>
      <c r="K68" s="1153">
        <v>11</v>
      </c>
      <c r="L68" s="1153">
        <v>12</v>
      </c>
      <c r="M68" s="1153">
        <v>13</v>
      </c>
      <c r="N68" s="1153">
        <v>14</v>
      </c>
      <c r="O68" s="1153">
        <v>15</v>
      </c>
      <c r="P68" s="1153">
        <v>16</v>
      </c>
      <c r="Q68" s="1153">
        <v>17</v>
      </c>
      <c r="R68" s="1149">
        <v>18</v>
      </c>
      <c r="S68" s="1149">
        <v>19</v>
      </c>
      <c r="T68" s="1145">
        <v>20</v>
      </c>
      <c r="U68" s="1075"/>
      <c r="V68" s="1075"/>
      <c r="W68" s="1075"/>
    </row>
    <row r="69" spans="1:23" s="1089" customFormat="1" ht="14.25" customHeight="1">
      <c r="A69" s="1141">
        <v>31252</v>
      </c>
      <c r="B69" s="1154" t="s">
        <v>1420</v>
      </c>
      <c r="C69" s="1141">
        <v>30</v>
      </c>
      <c r="D69" s="1141">
        <v>30</v>
      </c>
      <c r="E69" s="1141">
        <v>0</v>
      </c>
      <c r="F69" s="1136">
        <f>ROUND((C69*$F$6),2)</f>
        <v>5.82</v>
      </c>
      <c r="G69" s="1136">
        <f>ROUND((D69*$G$6),2)</f>
        <v>3.49</v>
      </c>
      <c r="H69" s="1136">
        <f>ROUND((E69*$H$6),2)</f>
        <v>0</v>
      </c>
      <c r="I69" s="1136">
        <f>ROUND(((F69+G69+H69)*$I$6),2)</f>
        <v>2.2000000000000002</v>
      </c>
      <c r="J69" s="1136">
        <f t="shared" ref="J69" si="22">K69+L69</f>
        <v>14.49</v>
      </c>
      <c r="K69" s="1131">
        <v>0.32</v>
      </c>
      <c r="L69" s="1131">
        <v>14.17</v>
      </c>
      <c r="M69" s="1127">
        <v>23.76</v>
      </c>
      <c r="N69" s="1136">
        <v>0</v>
      </c>
      <c r="O69" s="1136">
        <f>ROUND((F69+G69+H69)*$O$6,2)</f>
        <v>2.92</v>
      </c>
      <c r="P69" s="1136">
        <f>ROUND((F69+G69+H69)*$P$6,2)</f>
        <v>0.23</v>
      </c>
      <c r="Q69" s="1136">
        <f>ROUND((F69+G69+H69)*$Q$6,2)</f>
        <v>0.37</v>
      </c>
      <c r="R69" s="1098">
        <f t="shared" ref="R69" si="23">F69+G69+H69+I69+J69+M69+O69+P69+Q69</f>
        <v>53.28</v>
      </c>
      <c r="S69" s="1136">
        <f t="shared" ref="S69" si="24">R69-T69</f>
        <v>46.28</v>
      </c>
      <c r="T69" s="1136">
        <v>7</v>
      </c>
      <c r="U69" s="1075"/>
      <c r="V69" s="1075"/>
      <c r="W69" s="1075"/>
    </row>
    <row r="70" spans="1:23" s="1089" customFormat="1" ht="14.25" customHeight="1">
      <c r="A70" s="1160"/>
      <c r="B70" s="1160"/>
      <c r="C70" s="1160"/>
      <c r="D70" s="1160"/>
      <c r="E70" s="1160"/>
      <c r="F70" s="1160"/>
      <c r="G70" s="1160"/>
      <c r="H70" s="1160"/>
      <c r="I70" s="1160"/>
      <c r="J70" s="1160"/>
      <c r="K70" s="1160"/>
      <c r="L70" s="1160"/>
      <c r="M70" s="1160"/>
      <c r="N70" s="1160"/>
      <c r="O70" s="1160"/>
      <c r="P70" s="1160"/>
      <c r="Q70" s="1160"/>
      <c r="R70" s="1160"/>
      <c r="S70" s="1160"/>
      <c r="T70" s="1160"/>
      <c r="U70" s="1075"/>
      <c r="V70" s="1075"/>
      <c r="W70" s="1075"/>
    </row>
    <row r="71" spans="1:23" s="1089" customFormat="1" ht="14.25" customHeight="1">
      <c r="A71" s="1160"/>
      <c r="B71" s="1160"/>
      <c r="C71" s="1160"/>
      <c r="D71" s="1160"/>
      <c r="E71" s="1160"/>
      <c r="F71" s="1160"/>
      <c r="G71" s="1160"/>
      <c r="H71" s="1160"/>
      <c r="I71" s="1160"/>
      <c r="J71" s="1160"/>
      <c r="K71" s="1160"/>
      <c r="L71" s="1160"/>
      <c r="M71" s="1160"/>
      <c r="N71" s="1160"/>
      <c r="O71" s="1160"/>
      <c r="P71" s="1160"/>
      <c r="Q71" s="1160"/>
      <c r="R71" s="1160"/>
      <c r="S71" s="1160"/>
      <c r="T71" s="1160"/>
      <c r="U71" s="1075"/>
      <c r="V71" s="1075"/>
      <c r="W71" s="1075"/>
    </row>
    <row r="72" spans="1:23" s="1089" customFormat="1" ht="14.25" customHeight="1">
      <c r="A72" s="1160"/>
      <c r="B72" s="1160"/>
      <c r="C72" s="1160"/>
      <c r="D72" s="1160"/>
      <c r="E72" s="1160"/>
      <c r="F72" s="1160"/>
      <c r="G72" s="1160"/>
      <c r="H72" s="1160"/>
      <c r="I72" s="1160"/>
      <c r="J72" s="1160"/>
      <c r="K72" s="1160"/>
      <c r="L72" s="1160"/>
      <c r="M72" s="1160"/>
      <c r="N72" s="1160"/>
      <c r="O72" s="1160"/>
      <c r="P72" s="1160"/>
      <c r="Q72" s="1160"/>
      <c r="R72" s="1160"/>
      <c r="S72" s="1160"/>
      <c r="T72" s="1160"/>
      <c r="U72" s="1075"/>
      <c r="V72" s="1075"/>
      <c r="W72" s="1075"/>
    </row>
    <row r="73" spans="1:23" s="1089" customFormat="1" ht="14.25" customHeight="1">
      <c r="A73" s="1819" t="s">
        <v>669</v>
      </c>
      <c r="B73" s="1819" t="s">
        <v>771</v>
      </c>
      <c r="C73" s="1819" t="s">
        <v>1413</v>
      </c>
      <c r="D73" s="1819" t="s">
        <v>772</v>
      </c>
      <c r="E73" s="1819" t="s">
        <v>773</v>
      </c>
      <c r="F73" s="1819" t="s">
        <v>774</v>
      </c>
      <c r="G73" s="1819" t="s">
        <v>775</v>
      </c>
      <c r="H73" s="1820" t="s">
        <v>776</v>
      </c>
      <c r="I73" s="1820"/>
      <c r="J73" s="1820"/>
      <c r="K73" s="1821"/>
      <c r="L73" s="1822" t="s">
        <v>1419</v>
      </c>
      <c r="M73" s="1823" t="s">
        <v>778</v>
      </c>
      <c r="N73" s="1824"/>
      <c r="O73" s="1825"/>
      <c r="P73" s="1823" t="s">
        <v>779</v>
      </c>
      <c r="Q73" s="1824"/>
      <c r="R73" s="1825"/>
      <c r="S73" s="1822" t="s">
        <v>780</v>
      </c>
      <c r="T73" s="1826" t="s">
        <v>781</v>
      </c>
      <c r="U73" s="1075"/>
      <c r="V73" s="1075"/>
      <c r="W73" s="1075"/>
    </row>
    <row r="74" spans="1:23" s="1089" customFormat="1" ht="38.25" customHeight="1">
      <c r="A74" s="1819"/>
      <c r="B74" s="1819"/>
      <c r="C74" s="1819"/>
      <c r="D74" s="1819"/>
      <c r="E74" s="1819"/>
      <c r="F74" s="1819"/>
      <c r="G74" s="1819"/>
      <c r="H74" s="1110" t="s">
        <v>782</v>
      </c>
      <c r="I74" s="1086" t="s">
        <v>783</v>
      </c>
      <c r="J74" s="1086" t="s">
        <v>784</v>
      </c>
      <c r="K74" s="1086" t="s">
        <v>540</v>
      </c>
      <c r="L74" s="1822"/>
      <c r="M74" s="1086" t="s">
        <v>785</v>
      </c>
      <c r="N74" s="1086" t="s">
        <v>786</v>
      </c>
      <c r="O74" s="1086" t="s">
        <v>787</v>
      </c>
      <c r="P74" s="1086" t="s">
        <v>785</v>
      </c>
      <c r="Q74" s="1086" t="s">
        <v>786</v>
      </c>
      <c r="R74" s="1086" t="s">
        <v>787</v>
      </c>
      <c r="S74" s="1822"/>
      <c r="T74" s="1827"/>
      <c r="U74" s="1075"/>
      <c r="V74" s="1075"/>
      <c r="W74" s="1075"/>
    </row>
    <row r="75" spans="1:23" s="1089" customFormat="1" ht="45.75" customHeight="1">
      <c r="A75" s="1093">
        <v>31252</v>
      </c>
      <c r="B75" s="1108" t="s">
        <v>1414</v>
      </c>
      <c r="C75" s="1120" t="s">
        <v>790</v>
      </c>
      <c r="D75" s="1092">
        <v>0</v>
      </c>
      <c r="E75" s="1092">
        <f>S69</f>
        <v>46.28</v>
      </c>
      <c r="F75" s="1091">
        <f>T69</f>
        <v>7</v>
      </c>
      <c r="G75" s="1090">
        <f>E75-D75</f>
        <v>46.28</v>
      </c>
      <c r="H75" s="1082">
        <v>0</v>
      </c>
      <c r="I75" s="1082">
        <v>0</v>
      </c>
      <c r="J75" s="1082">
        <v>3274</v>
      </c>
      <c r="K75" s="1093">
        <f t="shared" ref="K75" si="25">SUM(H75:J75)</f>
        <v>3274</v>
      </c>
      <c r="L75" s="1217">
        <f>G75*K75</f>
        <v>151520.72</v>
      </c>
      <c r="M75" s="1155" t="s">
        <v>802</v>
      </c>
      <c r="N75" s="1151" t="s">
        <v>802</v>
      </c>
      <c r="O75" s="1147" t="s">
        <v>1415</v>
      </c>
      <c r="P75" s="1155" t="s">
        <v>791</v>
      </c>
      <c r="Q75" s="1151" t="s">
        <v>802</v>
      </c>
      <c r="R75" s="1147" t="s">
        <v>1416</v>
      </c>
      <c r="S75" s="1143" t="s">
        <v>1417</v>
      </c>
      <c r="T75" s="1139" t="s">
        <v>1418</v>
      </c>
      <c r="U75" s="1075"/>
      <c r="V75" s="1075"/>
      <c r="W75" s="1075"/>
    </row>
    <row r="76" spans="1:23" s="1089" customFormat="1" ht="14.25" customHeight="1">
      <c r="A76" s="1075"/>
      <c r="B76" s="1075"/>
      <c r="C76" s="1077"/>
      <c r="D76" s="1077"/>
      <c r="E76" s="1077"/>
      <c r="F76" s="1077"/>
      <c r="G76" s="1129"/>
      <c r="H76" s="1129"/>
      <c r="I76" s="1129"/>
      <c r="J76" s="1101"/>
      <c r="K76" s="1075"/>
      <c r="L76" s="1075" t="s">
        <v>955</v>
      </c>
      <c r="M76" s="1075"/>
      <c r="N76" s="1075"/>
      <c r="O76" s="1075"/>
      <c r="P76" s="1075"/>
      <c r="Q76" s="1075"/>
      <c r="R76" s="1075"/>
      <c r="S76" s="1075"/>
      <c r="T76" s="1075"/>
      <c r="U76" s="1075"/>
      <c r="V76" s="1075"/>
      <c r="W76" s="1075"/>
    </row>
    <row r="77" spans="1:23" s="1089" customFormat="1" ht="14.25" customHeight="1">
      <c r="A77" s="1075"/>
      <c r="B77" s="1075"/>
      <c r="C77" s="1077"/>
      <c r="D77" s="1077"/>
      <c r="E77" s="1077"/>
      <c r="F77" s="1077"/>
      <c r="G77" s="1129"/>
      <c r="H77" s="1129"/>
      <c r="I77" s="1129"/>
      <c r="J77" s="1101"/>
      <c r="K77" s="1075"/>
      <c r="L77" s="1075"/>
      <c r="M77" s="1075"/>
      <c r="N77" s="1075"/>
      <c r="O77" s="1075"/>
      <c r="P77" s="1075"/>
      <c r="Q77" s="1075"/>
      <c r="R77" s="1075"/>
      <c r="S77" s="1075"/>
      <c r="T77" s="1075"/>
      <c r="U77" s="1075"/>
      <c r="V77" s="1075"/>
      <c r="W77" s="1075"/>
    </row>
    <row r="78" spans="1:23" s="1089" customFormat="1" ht="14.25" customHeight="1">
      <c r="A78" s="693" t="s">
        <v>1482</v>
      </c>
      <c r="B78" s="1075"/>
      <c r="C78" s="1077"/>
      <c r="D78" s="1077"/>
      <c r="E78" s="1077"/>
      <c r="F78" s="1077"/>
      <c r="G78" s="1129"/>
      <c r="H78" s="1129"/>
      <c r="I78" s="1129"/>
      <c r="J78" s="1101"/>
      <c r="K78" s="1075"/>
      <c r="L78" s="1075"/>
      <c r="M78" s="1075"/>
      <c r="N78" s="1075"/>
      <c r="O78" s="1075"/>
      <c r="P78" s="1075"/>
      <c r="Q78" s="1075"/>
      <c r="R78" s="1075"/>
      <c r="S78" s="1075"/>
      <c r="T78" s="1075"/>
      <c r="U78" s="1075"/>
      <c r="V78" s="1075"/>
      <c r="W78" s="1075"/>
    </row>
    <row r="79" spans="1:23" s="1089" customFormat="1" ht="14.25" customHeight="1">
      <c r="A79" s="1205" t="s">
        <v>441</v>
      </c>
      <c r="B79" s="1205" t="s">
        <v>669</v>
      </c>
      <c r="C79" s="1205" t="s">
        <v>1458</v>
      </c>
      <c r="D79" s="1206" t="s">
        <v>761</v>
      </c>
      <c r="E79" s="1206" t="s">
        <v>1459</v>
      </c>
      <c r="F79" s="1207" t="s">
        <v>1460</v>
      </c>
      <c r="G79" s="1129"/>
      <c r="H79" s="1129"/>
      <c r="I79" s="1129"/>
      <c r="J79" s="1101"/>
      <c r="K79" s="1075"/>
      <c r="L79" s="1075"/>
      <c r="M79" s="1075"/>
      <c r="N79" s="1075"/>
      <c r="O79" s="1075"/>
      <c r="P79" s="1075"/>
      <c r="Q79" s="1075"/>
      <c r="R79" s="1075"/>
      <c r="S79" s="1075"/>
      <c r="T79" s="1075"/>
      <c r="U79" s="1075"/>
      <c r="V79" s="1075"/>
      <c r="W79" s="1075"/>
    </row>
    <row r="80" spans="1:23" s="1089" customFormat="1" ht="14.25" customHeight="1">
      <c r="A80" s="1208" t="s">
        <v>1461</v>
      </c>
      <c r="B80" s="1209" t="s">
        <v>1462</v>
      </c>
      <c r="C80" s="1210" t="s">
        <v>1463</v>
      </c>
      <c r="D80" s="1211">
        <v>34.54</v>
      </c>
      <c r="E80" s="1212">
        <v>337</v>
      </c>
      <c r="F80" s="1213">
        <f>D80*E80</f>
        <v>11639.98</v>
      </c>
      <c r="G80" s="1129"/>
      <c r="H80" s="1129"/>
      <c r="I80" s="1129"/>
      <c r="J80" s="1101"/>
      <c r="K80" s="1075"/>
      <c r="L80" s="1075"/>
      <c r="M80" s="1075"/>
      <c r="N80" s="1075"/>
      <c r="O80" s="1075"/>
      <c r="P80" s="1075"/>
      <c r="Q80" s="1075"/>
      <c r="R80" s="1075"/>
      <c r="S80" s="1075"/>
      <c r="T80" s="1075"/>
      <c r="U80" s="1075"/>
      <c r="V80" s="1075"/>
      <c r="W80" s="1075"/>
    </row>
    <row r="81" spans="1:23" s="1089" customFormat="1" ht="14.25" customHeight="1">
      <c r="A81" s="1208" t="s">
        <v>1461</v>
      </c>
      <c r="B81" s="1209" t="s">
        <v>1464</v>
      </c>
      <c r="C81" s="1210" t="s">
        <v>1465</v>
      </c>
      <c r="D81" s="1211">
        <v>34.54</v>
      </c>
      <c r="E81" s="1212">
        <v>746</v>
      </c>
      <c r="F81" s="1213">
        <f t="shared" ref="F81:F88" si="26">D81*E81</f>
        <v>25766.84</v>
      </c>
      <c r="G81" s="1129"/>
      <c r="H81" s="1129"/>
      <c r="I81" s="1129"/>
      <c r="J81" s="1101"/>
      <c r="K81" s="1075"/>
      <c r="L81" s="1075"/>
      <c r="M81" s="1075"/>
      <c r="N81" s="1075"/>
      <c r="O81" s="1075"/>
      <c r="P81" s="1075"/>
      <c r="Q81" s="1075"/>
      <c r="R81" s="1075"/>
      <c r="S81" s="1075"/>
      <c r="T81" s="1075"/>
      <c r="U81" s="1075"/>
      <c r="V81" s="1075"/>
      <c r="W81" s="1075"/>
    </row>
    <row r="82" spans="1:23" s="1089" customFormat="1" ht="14.25" customHeight="1">
      <c r="A82" s="1208" t="s">
        <v>1461</v>
      </c>
      <c r="B82" s="1209" t="s">
        <v>1466</v>
      </c>
      <c r="C82" s="1210" t="s">
        <v>1467</v>
      </c>
      <c r="D82" s="1211">
        <v>12.22</v>
      </c>
      <c r="E82" s="1212">
        <v>9</v>
      </c>
      <c r="F82" s="1213">
        <f t="shared" si="26"/>
        <v>109.98</v>
      </c>
      <c r="G82" s="1129"/>
      <c r="H82" s="1129"/>
      <c r="I82" s="1129"/>
      <c r="J82" s="1101"/>
      <c r="K82" s="1075"/>
      <c r="L82" s="1075"/>
      <c r="M82" s="1075"/>
      <c r="N82" s="1075"/>
      <c r="O82" s="1075"/>
      <c r="P82" s="1075"/>
      <c r="Q82" s="1075"/>
      <c r="R82" s="1075"/>
      <c r="S82" s="1075"/>
      <c r="T82" s="1075"/>
      <c r="U82" s="1075"/>
      <c r="V82" s="1075"/>
      <c r="W82" s="1075"/>
    </row>
    <row r="83" spans="1:23" s="1089" customFormat="1" ht="14.25" customHeight="1">
      <c r="A83" s="1208" t="s">
        <v>1461</v>
      </c>
      <c r="B83" s="1209" t="s">
        <v>1468</v>
      </c>
      <c r="C83" s="1210" t="s">
        <v>1469</v>
      </c>
      <c r="D83" s="1211">
        <v>12.22</v>
      </c>
      <c r="E83" s="1212">
        <v>374</v>
      </c>
      <c r="F83" s="1213">
        <f t="shared" si="26"/>
        <v>4570.2800000000007</v>
      </c>
      <c r="G83" s="1129"/>
      <c r="H83" s="1129"/>
      <c r="I83" s="1129"/>
      <c r="J83" s="1101"/>
      <c r="K83" s="1075"/>
      <c r="L83" s="1075"/>
      <c r="M83" s="1075"/>
      <c r="N83" s="1075"/>
      <c r="O83" s="1075"/>
      <c r="P83" s="1075"/>
      <c r="Q83" s="1075"/>
      <c r="R83" s="1075"/>
      <c r="S83" s="1075"/>
      <c r="T83" s="1075"/>
      <c r="U83" s="1075"/>
      <c r="V83" s="1075"/>
      <c r="W83" s="1075"/>
    </row>
    <row r="84" spans="1:23" s="1089" customFormat="1" ht="14.25" customHeight="1">
      <c r="A84" s="1208" t="s">
        <v>1461</v>
      </c>
      <c r="B84" s="1209" t="s">
        <v>1470</v>
      </c>
      <c r="C84" s="1210" t="s">
        <v>1471</v>
      </c>
      <c r="D84" s="1211">
        <v>60.13</v>
      </c>
      <c r="E84" s="1212">
        <v>20</v>
      </c>
      <c r="F84" s="1213">
        <f t="shared" si="26"/>
        <v>1202.6000000000001</v>
      </c>
      <c r="G84" s="1129"/>
      <c r="H84" s="1129"/>
      <c r="I84" s="1129"/>
      <c r="J84" s="1101"/>
      <c r="K84" s="1075"/>
      <c r="L84" s="1075"/>
      <c r="M84" s="1075"/>
      <c r="N84" s="1075"/>
      <c r="O84" s="1075"/>
      <c r="P84" s="1075"/>
      <c r="Q84" s="1075"/>
      <c r="R84" s="1075"/>
      <c r="S84" s="1075"/>
      <c r="T84" s="1075"/>
      <c r="U84" s="1075"/>
      <c r="V84" s="1075"/>
      <c r="W84" s="1075"/>
    </row>
    <row r="85" spans="1:23" s="1089" customFormat="1" ht="14.25" customHeight="1">
      <c r="A85" s="1208" t="s">
        <v>1461</v>
      </c>
      <c r="B85" s="1209" t="s">
        <v>1472</v>
      </c>
      <c r="C85" s="1210" t="s">
        <v>1473</v>
      </c>
      <c r="D85" s="1211">
        <v>60.13</v>
      </c>
      <c r="E85" s="1212">
        <v>18</v>
      </c>
      <c r="F85" s="1213">
        <f t="shared" si="26"/>
        <v>1082.3400000000001</v>
      </c>
      <c r="G85" s="1129"/>
      <c r="H85" s="1129"/>
      <c r="I85" s="1129"/>
      <c r="J85" s="1101"/>
      <c r="K85" s="1075"/>
      <c r="L85" s="1075"/>
      <c r="M85" s="1075"/>
      <c r="N85" s="1075"/>
      <c r="O85" s="1075"/>
      <c r="P85" s="1075"/>
      <c r="Q85" s="1075"/>
      <c r="R85" s="1075"/>
      <c r="S85" s="1075"/>
      <c r="T85" s="1075"/>
      <c r="U85" s="1075"/>
      <c r="V85" s="1075"/>
      <c r="W85" s="1075"/>
    </row>
    <row r="86" spans="1:23" s="1089" customFormat="1" ht="14.25" customHeight="1">
      <c r="A86" s="1208" t="s">
        <v>1461</v>
      </c>
      <c r="B86" s="1209" t="s">
        <v>1474</v>
      </c>
      <c r="C86" s="1210" t="s">
        <v>1475</v>
      </c>
      <c r="D86" s="1211">
        <v>60.13</v>
      </c>
      <c r="E86" s="1212">
        <v>8</v>
      </c>
      <c r="F86" s="1213">
        <f t="shared" si="26"/>
        <v>481.04</v>
      </c>
      <c r="G86" s="1129"/>
      <c r="H86" s="1129"/>
      <c r="I86" s="1129"/>
      <c r="J86" s="1101"/>
      <c r="K86" s="1075"/>
      <c r="L86" s="1075"/>
      <c r="M86" s="1075"/>
      <c r="N86" s="1075"/>
      <c r="O86" s="1075"/>
      <c r="P86" s="1075"/>
      <c r="Q86" s="1075"/>
      <c r="R86" s="1075"/>
      <c r="S86" s="1075"/>
      <c r="T86" s="1075"/>
      <c r="U86" s="1075"/>
      <c r="V86" s="1075"/>
      <c r="W86" s="1075"/>
    </row>
    <row r="87" spans="1:23" s="1089" customFormat="1" ht="14.25" customHeight="1">
      <c r="A87" s="1208" t="s">
        <v>1461</v>
      </c>
      <c r="B87" s="1209" t="s">
        <v>1476</v>
      </c>
      <c r="C87" s="1210" t="s">
        <v>1477</v>
      </c>
      <c r="D87" s="1211">
        <v>60.13</v>
      </c>
      <c r="E87" s="1212">
        <v>12</v>
      </c>
      <c r="F87" s="1213">
        <f t="shared" si="26"/>
        <v>721.56000000000006</v>
      </c>
      <c r="G87" s="1129"/>
      <c r="H87" s="1129"/>
      <c r="I87" s="1129"/>
      <c r="J87" s="1101"/>
      <c r="K87" s="1075"/>
      <c r="L87" s="1075"/>
      <c r="M87" s="1075"/>
      <c r="N87" s="1075"/>
      <c r="O87" s="1075"/>
      <c r="P87" s="1075"/>
      <c r="Q87" s="1075"/>
      <c r="R87" s="1075"/>
      <c r="S87" s="1075"/>
      <c r="T87" s="1075"/>
      <c r="U87" s="1075"/>
      <c r="V87" s="1075"/>
      <c r="W87" s="1075"/>
    </row>
    <row r="88" spans="1:23" s="1089" customFormat="1" ht="14.25" customHeight="1">
      <c r="A88" s="1208" t="s">
        <v>1461</v>
      </c>
      <c r="B88" s="1209" t="s">
        <v>1478</v>
      </c>
      <c r="C88" s="1210" t="s">
        <v>1479</v>
      </c>
      <c r="D88" s="1211">
        <v>65.06</v>
      </c>
      <c r="E88" s="1212">
        <v>84</v>
      </c>
      <c r="F88" s="1213">
        <f t="shared" si="26"/>
        <v>5465.04</v>
      </c>
      <c r="G88" s="1129"/>
      <c r="H88" s="1129"/>
      <c r="I88" s="1129"/>
      <c r="J88" s="1101"/>
      <c r="K88" s="1075"/>
      <c r="L88" s="1075"/>
      <c r="M88" s="1075"/>
      <c r="N88" s="1075"/>
      <c r="O88" s="1075"/>
      <c r="P88" s="1075"/>
      <c r="Q88" s="1075"/>
      <c r="R88" s="1075"/>
      <c r="S88" s="1075"/>
      <c r="T88" s="1075"/>
      <c r="U88" s="1075"/>
      <c r="V88" s="1075"/>
      <c r="W88" s="1075"/>
    </row>
    <row r="89" spans="1:23" s="1089" customFormat="1" ht="14.25" customHeight="1">
      <c r="A89" s="1208" t="s">
        <v>1461</v>
      </c>
      <c r="B89" s="1209"/>
      <c r="C89" s="1210" t="s">
        <v>1480</v>
      </c>
      <c r="D89" s="1214">
        <v>1812.98</v>
      </c>
      <c r="E89" s="1212" t="s">
        <v>1481</v>
      </c>
      <c r="F89" s="1213">
        <f>D89*100</f>
        <v>181298</v>
      </c>
      <c r="G89" s="1129"/>
      <c r="H89" s="1129"/>
      <c r="I89" s="1129"/>
      <c r="J89" s="1101"/>
      <c r="K89" s="1075"/>
      <c r="L89" s="1075"/>
      <c r="M89" s="1075"/>
      <c r="N89" s="1075"/>
      <c r="O89" s="1075"/>
      <c r="P89" s="1075"/>
      <c r="Q89" s="1075"/>
      <c r="R89" s="1075"/>
      <c r="S89" s="1075"/>
      <c r="T89" s="1075"/>
      <c r="U89" s="1075"/>
      <c r="V89" s="1075"/>
      <c r="W89" s="1075"/>
    </row>
    <row r="90" spans="1:23" s="1089" customFormat="1" ht="14.25" customHeight="1">
      <c r="A90" s="1215"/>
      <c r="B90" s="1215"/>
      <c r="C90" s="1215"/>
      <c r="D90" s="1215"/>
      <c r="E90" s="1215"/>
      <c r="F90" s="758">
        <f>SUM(F80:F89)</f>
        <v>232337.66</v>
      </c>
      <c r="G90" s="1129" t="s">
        <v>955</v>
      </c>
      <c r="H90" s="1129"/>
      <c r="I90" s="1129"/>
      <c r="J90" s="1101"/>
      <c r="K90" s="1075"/>
      <c r="L90" s="1075"/>
      <c r="M90" s="1075"/>
      <c r="N90" s="1075"/>
      <c r="O90" s="1075"/>
      <c r="P90" s="1075"/>
      <c r="Q90" s="1075"/>
      <c r="R90" s="1075"/>
      <c r="S90" s="1075"/>
      <c r="T90" s="1075"/>
      <c r="U90" s="1075"/>
      <c r="V90" s="1075"/>
      <c r="W90" s="1075"/>
    </row>
    <row r="91" spans="1:23" s="1089" customFormat="1">
      <c r="A91" s="1075"/>
      <c r="B91" s="1075"/>
      <c r="C91" s="1077"/>
      <c r="D91" s="1077"/>
      <c r="E91" s="1077"/>
      <c r="F91" s="1077"/>
      <c r="G91" s="1129"/>
      <c r="H91" s="1129"/>
      <c r="I91" s="1129"/>
      <c r="J91" s="1101"/>
      <c r="K91" s="1075"/>
      <c r="L91" s="1075"/>
      <c r="M91" s="1075"/>
      <c r="N91" s="1075"/>
      <c r="O91" s="1075"/>
      <c r="P91" s="1075"/>
      <c r="Q91" s="1075"/>
      <c r="R91" s="1075"/>
      <c r="S91" s="1075"/>
      <c r="T91" s="1075"/>
      <c r="U91" s="1075"/>
      <c r="V91" s="1075"/>
      <c r="W91" s="1075"/>
    </row>
    <row r="92" spans="1:23" ht="65">
      <c r="A92" s="297"/>
      <c r="B92" s="297"/>
      <c r="C92" s="297"/>
      <c r="D92" s="297"/>
      <c r="E92" s="297"/>
      <c r="F92" s="297"/>
      <c r="G92" s="297"/>
      <c r="H92" s="297"/>
      <c r="I92" s="297"/>
      <c r="J92" s="297"/>
      <c r="K92" s="297"/>
      <c r="L92" s="920" t="s">
        <v>831</v>
      </c>
      <c r="M92" s="297"/>
      <c r="N92" s="297"/>
      <c r="O92" s="297"/>
      <c r="P92" s="297"/>
      <c r="Q92" s="297"/>
      <c r="R92" s="297"/>
      <c r="S92" s="297"/>
      <c r="T92" s="297"/>
      <c r="U92" s="553"/>
      <c r="V92" s="553"/>
      <c r="W92" s="553"/>
    </row>
    <row r="93" spans="1:23" ht="14.5" thickBot="1">
      <c r="A93" s="297"/>
      <c r="B93" s="297"/>
      <c r="C93" s="297"/>
      <c r="D93" s="297"/>
      <c r="E93" s="297"/>
      <c r="F93" s="297"/>
      <c r="G93" s="297"/>
      <c r="H93" s="297"/>
      <c r="I93" s="297"/>
      <c r="J93" s="297"/>
      <c r="K93" s="297"/>
      <c r="L93" s="685">
        <f>W19+L26+L36+J56+L75+F90</f>
        <v>3270326.4605000005</v>
      </c>
      <c r="M93" s="297"/>
      <c r="N93" s="297"/>
      <c r="O93" s="297"/>
      <c r="P93" s="297"/>
      <c r="Q93" s="297"/>
      <c r="R93" s="297"/>
      <c r="S93" s="297"/>
      <c r="T93" s="297"/>
      <c r="U93" s="553"/>
      <c r="V93" s="553"/>
      <c r="W93" s="553"/>
    </row>
    <row r="94" spans="1:23">
      <c r="A94" s="297"/>
      <c r="B94" s="297"/>
      <c r="C94" s="297"/>
      <c r="D94" s="297"/>
      <c r="E94" s="297"/>
      <c r="F94" s="297"/>
      <c r="G94" s="297"/>
      <c r="H94" s="297"/>
      <c r="I94" s="297"/>
      <c r="J94" s="297"/>
      <c r="K94" s="297" t="s">
        <v>954</v>
      </c>
      <c r="L94" s="592">
        <f>AB19+L28+J57</f>
        <v>519792.62199999997</v>
      </c>
      <c r="M94" s="592"/>
      <c r="N94" s="297"/>
      <c r="O94" s="297"/>
      <c r="P94" s="297"/>
      <c r="Q94" s="297"/>
      <c r="R94" s="297"/>
      <c r="S94" s="297"/>
      <c r="T94" s="297"/>
      <c r="U94" s="553"/>
      <c r="V94" s="553"/>
      <c r="W94" s="553"/>
    </row>
    <row r="95" spans="1:23">
      <c r="A95" s="553"/>
      <c r="B95" s="553"/>
      <c r="C95" s="553"/>
      <c r="D95" s="553"/>
      <c r="E95" s="553"/>
      <c r="F95" s="553"/>
      <c r="G95" s="553"/>
      <c r="H95" s="553"/>
      <c r="I95" s="553"/>
      <c r="J95" s="553"/>
      <c r="K95" s="553" t="s">
        <v>955</v>
      </c>
      <c r="L95" s="591">
        <f>AA19+L29+L36+J58+L75+F90</f>
        <v>2750533.8385000005</v>
      </c>
      <c r="M95" s="590"/>
      <c r="N95" s="553"/>
      <c r="O95" s="553"/>
      <c r="P95" s="553"/>
      <c r="Q95" s="553"/>
      <c r="R95" s="554"/>
      <c r="S95" s="554"/>
      <c r="T95" s="554"/>
      <c r="U95" s="553"/>
      <c r="V95" s="553"/>
      <c r="W95" s="553"/>
    </row>
    <row r="96" spans="1:23">
      <c r="A96" s="553"/>
      <c r="B96" s="553"/>
      <c r="C96" s="553"/>
      <c r="D96" s="553"/>
      <c r="E96" s="553"/>
      <c r="F96" s="553"/>
      <c r="G96" s="553"/>
      <c r="H96" s="553"/>
      <c r="I96" s="553"/>
      <c r="J96" s="553"/>
      <c r="K96" s="553"/>
      <c r="L96" s="553"/>
      <c r="M96" s="553"/>
      <c r="N96" s="553"/>
      <c r="O96" s="553"/>
      <c r="P96" s="553"/>
      <c r="Q96" s="553"/>
      <c r="R96" s="554"/>
      <c r="S96" s="554"/>
      <c r="T96" s="554"/>
      <c r="U96" s="553"/>
      <c r="V96" s="553"/>
      <c r="W96" s="553"/>
    </row>
    <row r="97" spans="1:23">
      <c r="A97" s="553"/>
      <c r="B97" s="553"/>
      <c r="C97" s="553"/>
      <c r="D97" s="553"/>
      <c r="E97" s="553"/>
      <c r="F97" s="553"/>
      <c r="G97" s="553"/>
      <c r="H97" s="553"/>
      <c r="I97" s="553"/>
      <c r="J97" s="553"/>
      <c r="K97" s="553"/>
      <c r="L97" s="553"/>
      <c r="M97" s="553"/>
      <c r="N97" s="553"/>
      <c r="O97" s="553"/>
      <c r="P97" s="553"/>
      <c r="Q97" s="553"/>
      <c r="R97" s="554"/>
      <c r="S97" s="554"/>
      <c r="T97" s="554"/>
      <c r="U97" s="553"/>
      <c r="V97" s="553"/>
      <c r="W97" s="553"/>
    </row>
    <row r="98" spans="1:23">
      <c r="A98" s="553"/>
      <c r="B98" s="553"/>
      <c r="C98" s="553"/>
      <c r="D98" s="553"/>
      <c r="E98" s="553"/>
      <c r="F98" s="553"/>
      <c r="G98" s="553"/>
      <c r="H98" s="553"/>
      <c r="I98" s="553"/>
      <c r="J98" s="553"/>
      <c r="K98" s="553"/>
      <c r="L98" s="553"/>
      <c r="M98" s="553"/>
      <c r="N98" s="553"/>
      <c r="O98" s="553"/>
      <c r="P98" s="553"/>
      <c r="Q98" s="553"/>
      <c r="R98" s="554"/>
      <c r="S98" s="554"/>
      <c r="T98" s="554"/>
      <c r="U98" s="553"/>
      <c r="V98" s="553"/>
      <c r="W98" s="553"/>
    </row>
    <row r="99" spans="1:23">
      <c r="A99" s="553"/>
      <c r="B99" s="553"/>
      <c r="C99" s="553"/>
      <c r="D99" s="553"/>
      <c r="E99" s="553"/>
      <c r="F99" s="553"/>
      <c r="G99" s="553"/>
      <c r="H99" s="553"/>
      <c r="I99" s="553"/>
      <c r="J99" s="553"/>
      <c r="K99" s="553"/>
      <c r="L99" s="553"/>
      <c r="M99" s="553"/>
      <c r="N99" s="553"/>
      <c r="O99" s="553"/>
      <c r="P99" s="553"/>
      <c r="Q99" s="553"/>
      <c r="R99" s="554"/>
      <c r="S99" s="554"/>
      <c r="T99" s="554"/>
      <c r="U99" s="553"/>
      <c r="V99" s="553"/>
      <c r="W99" s="553"/>
    </row>
    <row r="100" spans="1:23">
      <c r="A100" s="553"/>
      <c r="B100" s="553"/>
      <c r="C100" s="553"/>
      <c r="D100" s="553"/>
      <c r="E100" s="553"/>
      <c r="F100" s="553"/>
      <c r="G100" s="553"/>
      <c r="H100" s="553"/>
      <c r="I100" s="553"/>
      <c r="J100" s="553"/>
      <c r="K100" s="553"/>
      <c r="L100" s="553"/>
      <c r="M100" s="553"/>
      <c r="N100" s="553"/>
      <c r="O100" s="553"/>
      <c r="P100" s="553"/>
      <c r="Q100" s="553"/>
      <c r="R100" s="554"/>
      <c r="S100" s="554"/>
      <c r="T100" s="554"/>
      <c r="U100" s="553"/>
      <c r="V100" s="553"/>
      <c r="W100" s="553"/>
    </row>
    <row r="101" spans="1:23">
      <c r="A101" s="553"/>
      <c r="B101" s="553"/>
      <c r="C101" s="553"/>
      <c r="D101" s="553"/>
      <c r="E101" s="553"/>
      <c r="F101" s="553"/>
      <c r="G101" s="553"/>
      <c r="H101" s="553"/>
      <c r="I101" s="553"/>
      <c r="J101" s="553"/>
      <c r="K101" s="553"/>
      <c r="L101" s="553"/>
      <c r="M101" s="553"/>
      <c r="N101" s="553"/>
      <c r="O101" s="553"/>
      <c r="P101" s="553"/>
      <c r="Q101" s="553"/>
      <c r="R101" s="554"/>
      <c r="S101" s="554"/>
      <c r="T101" s="554"/>
      <c r="U101" s="553"/>
      <c r="V101" s="553"/>
      <c r="W101" s="553"/>
    </row>
    <row r="102" spans="1:23">
      <c r="A102" s="553"/>
      <c r="B102" s="553"/>
      <c r="C102" s="553"/>
      <c r="D102" s="553"/>
      <c r="E102" s="553"/>
      <c r="F102" s="553"/>
      <c r="G102" s="553"/>
      <c r="H102" s="553"/>
      <c r="I102" s="553"/>
      <c r="J102" s="553"/>
      <c r="K102" s="553"/>
      <c r="L102" s="553"/>
      <c r="M102" s="553"/>
      <c r="N102" s="553"/>
      <c r="O102" s="553"/>
      <c r="P102" s="553"/>
      <c r="Q102" s="553"/>
      <c r="R102" s="554"/>
      <c r="S102" s="554"/>
      <c r="T102" s="554"/>
      <c r="U102" s="553"/>
      <c r="V102" s="553"/>
      <c r="W102" s="553"/>
    </row>
    <row r="103" spans="1:23">
      <c r="A103" s="553"/>
      <c r="B103" s="553"/>
      <c r="C103" s="553"/>
      <c r="D103" s="553"/>
      <c r="E103" s="553"/>
      <c r="F103" s="553"/>
      <c r="G103" s="553"/>
      <c r="H103" s="553"/>
      <c r="I103" s="553"/>
      <c r="J103" s="553"/>
      <c r="K103" s="553"/>
      <c r="L103" s="553"/>
      <c r="M103" s="553"/>
      <c r="N103" s="553"/>
      <c r="O103" s="553"/>
      <c r="P103" s="553"/>
      <c r="Q103" s="553"/>
      <c r="R103" s="554"/>
      <c r="S103" s="554"/>
      <c r="T103" s="554"/>
      <c r="U103" s="553"/>
      <c r="V103" s="553"/>
      <c r="W103" s="553"/>
    </row>
    <row r="104" spans="1:23">
      <c r="A104" s="553"/>
      <c r="B104" s="553"/>
      <c r="C104" s="553"/>
      <c r="D104" s="553"/>
      <c r="E104" s="553"/>
      <c r="F104" s="553"/>
      <c r="G104" s="553"/>
      <c r="H104" s="553"/>
      <c r="I104" s="553"/>
      <c r="J104" s="553"/>
      <c r="K104" s="553"/>
      <c r="L104" s="553"/>
      <c r="M104" s="553"/>
      <c r="N104" s="553"/>
      <c r="O104" s="553"/>
      <c r="P104" s="553"/>
      <c r="Q104" s="553"/>
      <c r="R104" s="554"/>
      <c r="S104" s="554"/>
      <c r="T104" s="554"/>
      <c r="U104" s="553"/>
      <c r="V104" s="553"/>
      <c r="W104" s="553"/>
    </row>
    <row r="105" spans="1:23">
      <c r="A105" s="553"/>
      <c r="B105" s="553"/>
      <c r="C105" s="553"/>
      <c r="D105" s="553"/>
      <c r="E105" s="553"/>
      <c r="F105" s="553"/>
      <c r="G105" s="553"/>
      <c r="H105" s="553"/>
      <c r="I105" s="553"/>
      <c r="J105" s="553"/>
      <c r="K105" s="553"/>
      <c r="L105" s="553"/>
      <c r="M105" s="553"/>
      <c r="N105" s="553"/>
      <c r="O105" s="553"/>
      <c r="P105" s="553"/>
      <c r="Q105" s="553"/>
      <c r="R105" s="554"/>
      <c r="S105" s="554"/>
      <c r="T105" s="554"/>
      <c r="U105" s="553"/>
      <c r="V105" s="553"/>
      <c r="W105" s="553"/>
    </row>
    <row r="106" spans="1:23">
      <c r="A106" s="553"/>
      <c r="B106" s="553"/>
      <c r="C106" s="553"/>
      <c r="D106" s="553"/>
      <c r="E106" s="553"/>
      <c r="F106" s="553"/>
      <c r="G106" s="553"/>
      <c r="H106" s="553"/>
      <c r="I106" s="553"/>
      <c r="J106" s="553"/>
      <c r="K106" s="553"/>
      <c r="L106" s="553"/>
      <c r="M106" s="553"/>
      <c r="N106" s="553"/>
      <c r="O106" s="553"/>
      <c r="P106" s="553"/>
      <c r="Q106" s="553"/>
      <c r="R106" s="554"/>
      <c r="S106" s="554"/>
      <c r="T106" s="554"/>
      <c r="U106" s="553"/>
      <c r="V106" s="553"/>
      <c r="W106" s="553"/>
    </row>
    <row r="107" spans="1:23">
      <c r="A107" s="553"/>
      <c r="B107" s="553"/>
      <c r="C107" s="553"/>
      <c r="D107" s="553"/>
      <c r="E107" s="553"/>
      <c r="F107" s="553"/>
      <c r="G107" s="553"/>
      <c r="H107" s="553"/>
      <c r="I107" s="553"/>
      <c r="J107" s="553"/>
      <c r="K107" s="553"/>
      <c r="L107" s="553"/>
      <c r="M107" s="553"/>
      <c r="N107" s="553"/>
      <c r="O107" s="553"/>
      <c r="P107" s="553"/>
      <c r="Q107" s="553"/>
      <c r="R107" s="554"/>
      <c r="S107" s="554"/>
      <c r="T107" s="554"/>
      <c r="U107" s="553"/>
      <c r="V107" s="553"/>
      <c r="W107" s="553"/>
    </row>
    <row r="108" spans="1:23">
      <c r="A108" s="553"/>
      <c r="B108" s="553"/>
      <c r="C108" s="553"/>
      <c r="D108" s="553"/>
      <c r="E108" s="553"/>
      <c r="F108" s="553"/>
      <c r="G108" s="553"/>
      <c r="H108" s="553"/>
      <c r="I108" s="553"/>
      <c r="J108" s="553"/>
      <c r="K108" s="553"/>
      <c r="L108" s="553"/>
      <c r="M108" s="553"/>
      <c r="N108" s="553"/>
      <c r="O108" s="553"/>
      <c r="P108" s="553"/>
      <c r="Q108" s="553"/>
      <c r="R108" s="554"/>
      <c r="S108" s="554"/>
      <c r="T108" s="554"/>
      <c r="U108" s="553"/>
      <c r="V108" s="553"/>
      <c r="W108" s="553"/>
    </row>
    <row r="109" spans="1:23">
      <c r="A109" s="553"/>
      <c r="B109" s="553"/>
      <c r="C109" s="553"/>
      <c r="D109" s="553"/>
      <c r="E109" s="553"/>
      <c r="F109" s="553"/>
      <c r="G109" s="553"/>
      <c r="H109" s="553"/>
      <c r="I109" s="553"/>
      <c r="J109" s="553"/>
      <c r="K109" s="553"/>
      <c r="L109" s="553"/>
      <c r="M109" s="553"/>
      <c r="N109" s="553"/>
      <c r="O109" s="553"/>
      <c r="P109" s="553"/>
      <c r="Q109" s="553"/>
      <c r="R109" s="554"/>
      <c r="S109" s="554"/>
      <c r="T109" s="554"/>
      <c r="U109" s="553"/>
      <c r="V109" s="553"/>
      <c r="W109" s="553"/>
    </row>
    <row r="110" spans="1:23">
      <c r="A110" s="553"/>
      <c r="B110" s="553"/>
      <c r="C110" s="553"/>
      <c r="D110" s="553"/>
      <c r="E110" s="553"/>
      <c r="F110" s="553"/>
      <c r="G110" s="553"/>
      <c r="H110" s="553"/>
      <c r="I110" s="553"/>
      <c r="J110" s="553"/>
      <c r="K110" s="553"/>
      <c r="L110" s="553"/>
      <c r="M110" s="553"/>
      <c r="N110" s="553"/>
      <c r="O110" s="553"/>
      <c r="P110" s="553"/>
      <c r="Q110" s="553"/>
      <c r="R110" s="554"/>
      <c r="S110" s="554"/>
      <c r="T110" s="554"/>
      <c r="U110" s="553"/>
      <c r="V110" s="553"/>
      <c r="W110" s="553"/>
    </row>
    <row r="111" spans="1:23">
      <c r="A111" s="553"/>
      <c r="B111" s="553"/>
      <c r="C111" s="553"/>
      <c r="D111" s="553"/>
      <c r="E111" s="553"/>
      <c r="F111" s="553"/>
      <c r="G111" s="553"/>
      <c r="H111" s="553"/>
      <c r="I111" s="553"/>
      <c r="J111" s="553"/>
      <c r="K111" s="553"/>
      <c r="L111" s="553"/>
      <c r="M111" s="553"/>
      <c r="N111" s="553"/>
      <c r="O111" s="553"/>
      <c r="P111" s="553"/>
      <c r="Q111" s="553"/>
      <c r="R111" s="554"/>
      <c r="S111" s="554"/>
      <c r="T111" s="554"/>
      <c r="U111" s="553"/>
      <c r="V111" s="553"/>
      <c r="W111" s="553"/>
    </row>
  </sheetData>
  <mergeCells count="84">
    <mergeCell ref="I4:I5"/>
    <mergeCell ref="O4:O5"/>
    <mergeCell ref="P4:P5"/>
    <mergeCell ref="Q4:Q5"/>
    <mergeCell ref="A8:A10"/>
    <mergeCell ref="B8:B10"/>
    <mergeCell ref="C8:L8"/>
    <mergeCell ref="M8:Q8"/>
    <mergeCell ref="P9:P10"/>
    <mergeCell ref="Q9:Q10"/>
    <mergeCell ref="U8:U10"/>
    <mergeCell ref="V8:V10"/>
    <mergeCell ref="W8:W10"/>
    <mergeCell ref="C9:E9"/>
    <mergeCell ref="F9:H9"/>
    <mergeCell ref="J9:L9"/>
    <mergeCell ref="M9:M10"/>
    <mergeCell ref="N9:N10"/>
    <mergeCell ref="O9:O10"/>
    <mergeCell ref="S9:S10"/>
    <mergeCell ref="T9:T10"/>
    <mergeCell ref="R8:R10"/>
    <mergeCell ref="B21:I21"/>
    <mergeCell ref="A22:A23"/>
    <mergeCell ref="B22:B23"/>
    <mergeCell ref="C22:C23"/>
    <mergeCell ref="D22:D23"/>
    <mergeCell ref="E22:E23"/>
    <mergeCell ref="F32:F33"/>
    <mergeCell ref="F22:F23"/>
    <mergeCell ref="G22:G23"/>
    <mergeCell ref="H22:K22"/>
    <mergeCell ref="L22:L23"/>
    <mergeCell ref="A32:A33"/>
    <mergeCell ref="B32:B33"/>
    <mergeCell ref="C32:C33"/>
    <mergeCell ref="D32:D33"/>
    <mergeCell ref="E32:E33"/>
    <mergeCell ref="T32:T33"/>
    <mergeCell ref="G57:I57"/>
    <mergeCell ref="G58:I58"/>
    <mergeCell ref="M1:O1"/>
    <mergeCell ref="G32:G33"/>
    <mergeCell ref="H32:K32"/>
    <mergeCell ref="L32:L33"/>
    <mergeCell ref="M32:O32"/>
    <mergeCell ref="P32:R32"/>
    <mergeCell ref="S32:S33"/>
    <mergeCell ref="S22:S23"/>
    <mergeCell ref="T22:T23"/>
    <mergeCell ref="H28:K28"/>
    <mergeCell ref="H29:K29"/>
    <mergeCell ref="M22:O22"/>
    <mergeCell ref="P22:R22"/>
    <mergeCell ref="I62:I63"/>
    <mergeCell ref="O62:O63"/>
    <mergeCell ref="P62:P63"/>
    <mergeCell ref="Q62:Q63"/>
    <mergeCell ref="A66:A67"/>
    <mergeCell ref="B66:B67"/>
    <mergeCell ref="C66:E66"/>
    <mergeCell ref="F66:H66"/>
    <mergeCell ref="J66:L66"/>
    <mergeCell ref="M66:M67"/>
    <mergeCell ref="N66:N67"/>
    <mergeCell ref="O66:O67"/>
    <mergeCell ref="P66:P67"/>
    <mergeCell ref="Q66:Q67"/>
    <mergeCell ref="R66:R67"/>
    <mergeCell ref="S66:S67"/>
    <mergeCell ref="T66:T67"/>
    <mergeCell ref="A73:A74"/>
    <mergeCell ref="B73:B74"/>
    <mergeCell ref="C73:C74"/>
    <mergeCell ref="D73:D74"/>
    <mergeCell ref="E73:E74"/>
    <mergeCell ref="F73:F74"/>
    <mergeCell ref="G73:G74"/>
    <mergeCell ref="H73:K73"/>
    <mergeCell ref="L73:L74"/>
    <mergeCell ref="M73:O73"/>
    <mergeCell ref="P73:R73"/>
    <mergeCell ref="S73:S74"/>
    <mergeCell ref="T73:T74"/>
  </mergeCells>
  <pageMargins left="0.7" right="0.7" top="0.75" bottom="0.75"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41B32-9CED-47F8-8CBE-3038FA59A121}">
  <dimension ref="A1:P42"/>
  <sheetViews>
    <sheetView topLeftCell="A7" zoomScale="60" zoomScaleNormal="60" workbookViewId="0">
      <selection activeCell="F40" sqref="F40:G40"/>
    </sheetView>
  </sheetViews>
  <sheetFormatPr defaultColWidth="9.1796875" defaultRowHeight="13"/>
  <cols>
    <col min="1" max="1" width="12.453125" style="297" customWidth="1"/>
    <col min="2" max="2" width="31" style="297" customWidth="1"/>
    <col min="3" max="3" width="9.1796875" style="297"/>
    <col min="4" max="4" width="36" style="297" customWidth="1"/>
    <col min="5" max="5" width="13" style="297" customWidth="1"/>
    <col min="6" max="6" width="15.7265625" style="297" customWidth="1"/>
    <col min="7" max="7" width="12.7265625" style="297" bestFit="1" customWidth="1"/>
    <col min="8" max="9" width="14.54296875" style="297" customWidth="1"/>
    <col min="10" max="10" width="21.7265625" style="297" customWidth="1"/>
    <col min="11" max="11" width="15.81640625" style="297" customWidth="1"/>
    <col min="12" max="13" width="9.1796875" style="297"/>
    <col min="14" max="14" width="36" style="297" customWidth="1"/>
    <col min="15" max="15" width="18" style="297" customWidth="1"/>
    <col min="16" max="16" width="31.26953125" style="297" customWidth="1"/>
    <col min="17" max="17" width="12.453125" style="297" customWidth="1"/>
    <col min="18" max="16384" width="9.1796875" style="297"/>
  </cols>
  <sheetData>
    <row r="1" spans="1:16">
      <c r="N1" s="1569" t="s">
        <v>855</v>
      </c>
      <c r="O1" s="1569"/>
    </row>
    <row r="2" spans="1:16">
      <c r="A2" s="1563" t="s">
        <v>856</v>
      </c>
      <c r="B2" s="1563"/>
      <c r="C2" s="1563"/>
      <c r="D2" s="1563"/>
      <c r="E2" s="1563"/>
      <c r="F2" s="1563"/>
      <c r="G2" s="1563"/>
      <c r="H2" s="1563"/>
      <c r="I2" s="1563"/>
      <c r="J2" s="1563"/>
      <c r="K2" s="1563"/>
      <c r="L2" s="1563"/>
      <c r="M2" s="1563"/>
      <c r="N2" s="1563"/>
      <c r="O2" s="1563"/>
    </row>
    <row r="3" spans="1:16" ht="12.75" customHeight="1">
      <c r="A3" s="1787" t="s">
        <v>669</v>
      </c>
      <c r="B3" s="1787" t="s">
        <v>771</v>
      </c>
      <c r="C3" s="1648" t="s">
        <v>832</v>
      </c>
      <c r="D3" s="1787" t="s">
        <v>774</v>
      </c>
      <c r="E3" s="1851" t="s">
        <v>833</v>
      </c>
      <c r="F3" s="1787" t="s">
        <v>775</v>
      </c>
      <c r="G3" s="1835"/>
      <c r="H3" s="1835"/>
      <c r="I3" s="1835"/>
      <c r="J3" s="1671"/>
      <c r="K3" s="1788" t="s">
        <v>777</v>
      </c>
      <c r="L3" s="1652" t="s">
        <v>778</v>
      </c>
      <c r="M3" s="1653"/>
      <c r="N3" s="1654"/>
      <c r="O3" s="1788" t="s">
        <v>781</v>
      </c>
    </row>
    <row r="4" spans="1:16" ht="39">
      <c r="A4" s="1787"/>
      <c r="B4" s="1787"/>
      <c r="C4" s="1649"/>
      <c r="D4" s="1787"/>
      <c r="E4" s="1851"/>
      <c r="F4" s="1787"/>
      <c r="G4" s="579" t="s">
        <v>782</v>
      </c>
      <c r="H4" s="580" t="s">
        <v>783</v>
      </c>
      <c r="I4" s="580" t="s">
        <v>784</v>
      </c>
      <c r="J4" s="580" t="s">
        <v>540</v>
      </c>
      <c r="K4" s="1788"/>
      <c r="L4" s="580" t="s">
        <v>785</v>
      </c>
      <c r="M4" s="580" t="s">
        <v>786</v>
      </c>
      <c r="N4" s="580" t="s">
        <v>787</v>
      </c>
      <c r="O4" s="1788"/>
    </row>
    <row r="5" spans="1:16" ht="91">
      <c r="A5" s="593" t="s">
        <v>834</v>
      </c>
      <c r="B5" s="594" t="s">
        <v>835</v>
      </c>
      <c r="C5" s="304">
        <v>2941.9700000000003</v>
      </c>
      <c r="D5" s="559">
        <v>0</v>
      </c>
      <c r="E5" s="594">
        <v>100</v>
      </c>
      <c r="F5" s="595">
        <v>294197</v>
      </c>
      <c r="G5" s="596">
        <v>0</v>
      </c>
      <c r="H5" s="596">
        <v>1</v>
      </c>
      <c r="I5" s="478">
        <v>0</v>
      </c>
      <c r="J5" s="560">
        <v>1</v>
      </c>
      <c r="K5" s="597">
        <v>294197</v>
      </c>
      <c r="L5" s="562" t="s">
        <v>802</v>
      </c>
      <c r="M5" s="563" t="s">
        <v>802</v>
      </c>
      <c r="N5" s="564" t="s">
        <v>836</v>
      </c>
      <c r="O5" s="613"/>
    </row>
    <row r="6" spans="1:16" ht="91">
      <c r="A6" s="593" t="s">
        <v>837</v>
      </c>
      <c r="B6" s="594" t="s">
        <v>838</v>
      </c>
      <c r="C6" s="304">
        <v>493.08000000000004</v>
      </c>
      <c r="D6" s="559">
        <v>0</v>
      </c>
      <c r="E6" s="594">
        <v>100</v>
      </c>
      <c r="F6" s="595">
        <v>49308.000000000007</v>
      </c>
      <c r="G6" s="596">
        <v>0</v>
      </c>
      <c r="H6" s="596">
        <v>1</v>
      </c>
      <c r="I6" s="478">
        <v>0</v>
      </c>
      <c r="J6" s="560">
        <v>1</v>
      </c>
      <c r="K6" s="597">
        <v>49308.000000000007</v>
      </c>
      <c r="L6" s="562" t="s">
        <v>802</v>
      </c>
      <c r="M6" s="563" t="s">
        <v>802</v>
      </c>
      <c r="N6" s="564" t="s">
        <v>836</v>
      </c>
      <c r="O6" s="613"/>
    </row>
    <row r="7" spans="1:16" ht="91">
      <c r="A7" s="593" t="s">
        <v>839</v>
      </c>
      <c r="B7" s="594" t="s">
        <v>840</v>
      </c>
      <c r="C7" s="304">
        <v>265.96000000000009</v>
      </c>
      <c r="D7" s="559">
        <v>0</v>
      </c>
      <c r="E7" s="594">
        <v>100</v>
      </c>
      <c r="F7" s="595">
        <v>26596.000000000011</v>
      </c>
      <c r="G7" s="596">
        <v>0</v>
      </c>
      <c r="H7" s="596">
        <v>1</v>
      </c>
      <c r="I7" s="478">
        <v>0</v>
      </c>
      <c r="J7" s="560">
        <v>1</v>
      </c>
      <c r="K7" s="597">
        <v>26596.000000000011</v>
      </c>
      <c r="L7" s="562" t="s">
        <v>802</v>
      </c>
      <c r="M7" s="563" t="s">
        <v>802</v>
      </c>
      <c r="N7" s="564" t="s">
        <v>836</v>
      </c>
      <c r="O7" s="613"/>
    </row>
    <row r="8" spans="1:16">
      <c r="A8" s="593"/>
      <c r="B8" s="594"/>
      <c r="C8" s="575"/>
      <c r="D8" s="559"/>
      <c r="E8" s="304"/>
      <c r="F8" s="609"/>
      <c r="G8" s="610"/>
      <c r="H8" s="609">
        <v>1</v>
      </c>
      <c r="I8" s="610"/>
      <c r="J8" s="609"/>
      <c r="K8" s="609"/>
      <c r="L8" s="598"/>
      <c r="M8" s="563"/>
      <c r="N8" s="564"/>
      <c r="O8" s="613"/>
    </row>
    <row r="9" spans="1:16">
      <c r="A9" s="593"/>
      <c r="B9" s="594"/>
      <c r="C9" s="575"/>
      <c r="D9" s="559"/>
      <c r="E9" s="304"/>
      <c r="F9" s="1852" t="s">
        <v>841</v>
      </c>
      <c r="G9" s="1853"/>
      <c r="H9" s="1853"/>
      <c r="I9" s="1853"/>
      <c r="J9" s="1854"/>
      <c r="K9" s="599">
        <v>370101</v>
      </c>
      <c r="L9" s="598"/>
      <c r="M9" s="563"/>
      <c r="N9" s="564"/>
      <c r="O9" s="613"/>
    </row>
    <row r="10" spans="1:16">
      <c r="A10" s="593"/>
      <c r="B10" s="594"/>
      <c r="C10" s="575"/>
      <c r="D10" s="559"/>
      <c r="E10" s="304"/>
      <c r="F10" s="1852" t="s">
        <v>842</v>
      </c>
      <c r="G10" s="1853"/>
      <c r="H10" s="1853"/>
      <c r="I10" s="1853"/>
      <c r="J10" s="1854"/>
      <c r="K10" s="600">
        <v>0</v>
      </c>
      <c r="L10" s="598"/>
      <c r="M10" s="563"/>
      <c r="N10" s="564"/>
      <c r="O10" s="613"/>
    </row>
    <row r="12" spans="1:16">
      <c r="A12" s="1563" t="s">
        <v>843</v>
      </c>
      <c r="B12" s="1563"/>
      <c r="C12" s="1563"/>
      <c r="D12" s="1563"/>
      <c r="E12" s="1563"/>
      <c r="F12" s="1563"/>
      <c r="G12" s="1563"/>
      <c r="H12" s="1563"/>
      <c r="I12" s="1563"/>
      <c r="J12" s="1563"/>
      <c r="K12" s="1563"/>
      <c r="L12" s="1563"/>
      <c r="M12" s="1563"/>
      <c r="N12" s="1563"/>
      <c r="O12" s="1563"/>
      <c r="P12" s="1563"/>
    </row>
    <row r="13" spans="1:16">
      <c r="A13" s="1851" t="s">
        <v>844</v>
      </c>
      <c r="B13" s="1855" t="s">
        <v>845</v>
      </c>
      <c r="C13" s="1851" t="s">
        <v>846</v>
      </c>
      <c r="D13" s="1850" t="s">
        <v>774</v>
      </c>
      <c r="E13" s="1850" t="s">
        <v>847</v>
      </c>
      <c r="F13" s="1851" t="s">
        <v>833</v>
      </c>
      <c r="G13" s="1851" t="s">
        <v>848</v>
      </c>
      <c r="H13" s="1850" t="s">
        <v>777</v>
      </c>
      <c r="I13" s="1850" t="s">
        <v>849</v>
      </c>
      <c r="J13" s="1850" t="s">
        <v>850</v>
      </c>
      <c r="K13" s="1850"/>
      <c r="L13" s="1850"/>
      <c r="M13" s="1850"/>
      <c r="N13" s="1850"/>
      <c r="O13" s="1850"/>
      <c r="P13" s="1850" t="s">
        <v>781</v>
      </c>
    </row>
    <row r="14" spans="1:16" ht="26">
      <c r="A14" s="1851"/>
      <c r="B14" s="1855"/>
      <c r="C14" s="1851"/>
      <c r="D14" s="1850"/>
      <c r="E14" s="1850"/>
      <c r="F14" s="1851"/>
      <c r="G14" s="1851"/>
      <c r="H14" s="1850"/>
      <c r="I14" s="1850"/>
      <c r="J14" s="611" t="s">
        <v>782</v>
      </c>
      <c r="K14" s="611" t="s">
        <v>783</v>
      </c>
      <c r="L14" s="611" t="s">
        <v>784</v>
      </c>
      <c r="M14" s="611" t="s">
        <v>785</v>
      </c>
      <c r="N14" s="611" t="s">
        <v>786</v>
      </c>
      <c r="O14" s="611" t="s">
        <v>787</v>
      </c>
      <c r="P14" s="1850"/>
    </row>
    <row r="15" spans="1:16" ht="130.5" customHeight="1">
      <c r="A15" s="601" t="s">
        <v>851</v>
      </c>
      <c r="B15" s="602" t="s">
        <v>852</v>
      </c>
      <c r="C15" s="603">
        <v>346.67</v>
      </c>
      <c r="D15" s="604">
        <v>0</v>
      </c>
      <c r="E15" s="604" t="s">
        <v>802</v>
      </c>
      <c r="F15" s="601">
        <v>34</v>
      </c>
      <c r="G15" s="601">
        <v>3</v>
      </c>
      <c r="H15" s="612">
        <f>ROUNDUP(35360.34,0)</f>
        <v>35361</v>
      </c>
      <c r="I15" s="604" t="s">
        <v>802</v>
      </c>
      <c r="J15" s="605">
        <v>0</v>
      </c>
      <c r="K15" s="605">
        <v>0</v>
      </c>
      <c r="L15" s="605">
        <v>1</v>
      </c>
      <c r="M15" s="606" t="s">
        <v>791</v>
      </c>
      <c r="N15" s="607" t="s">
        <v>802</v>
      </c>
      <c r="O15" s="608" t="s">
        <v>853</v>
      </c>
      <c r="P15" s="602" t="s">
        <v>854</v>
      </c>
    </row>
    <row r="16" spans="1:16" ht="15.75" customHeight="1">
      <c r="H16" s="297" t="s">
        <v>955</v>
      </c>
    </row>
    <row r="17" spans="1:10" s="1075" customFormat="1" ht="15.75" customHeight="1">
      <c r="B17" s="693" t="s">
        <v>1493</v>
      </c>
    </row>
    <row r="18" spans="1:10" s="1075" customFormat="1" ht="15.75" customHeight="1">
      <c r="A18" s="1157"/>
      <c r="B18" s="1157"/>
      <c r="C18" s="1157"/>
      <c r="D18" s="1157"/>
      <c r="E18" s="1157"/>
      <c r="F18" s="1848" t="s">
        <v>669</v>
      </c>
      <c r="G18" s="1848"/>
      <c r="H18" s="1848"/>
      <c r="I18" s="1141">
        <v>1</v>
      </c>
      <c r="J18" s="1234" t="s">
        <v>1492</v>
      </c>
    </row>
    <row r="19" spans="1:10" s="1075" customFormat="1" ht="29.25" customHeight="1">
      <c r="A19" s="1157"/>
      <c r="B19" s="1157"/>
      <c r="C19" s="1157"/>
      <c r="D19" s="1157"/>
      <c r="E19" s="1157"/>
      <c r="F19" s="1848" t="s">
        <v>670</v>
      </c>
      <c r="G19" s="1848"/>
      <c r="H19" s="1848"/>
      <c r="I19" s="1141">
        <v>2</v>
      </c>
      <c r="J19" s="1235" t="s">
        <v>1493</v>
      </c>
    </row>
    <row r="20" spans="1:10" s="1075" customFormat="1" ht="15.75" customHeight="1">
      <c r="A20" s="1157"/>
      <c r="B20" s="1157"/>
      <c r="C20" s="1157"/>
      <c r="D20" s="1157"/>
      <c r="E20" s="1157"/>
      <c r="F20" s="1848" t="s">
        <v>700</v>
      </c>
      <c r="G20" s="1848" t="s">
        <v>704</v>
      </c>
      <c r="H20" s="1239" t="s">
        <v>711</v>
      </c>
      <c r="I20" s="1141">
        <v>3</v>
      </c>
      <c r="J20" s="1236">
        <v>360</v>
      </c>
    </row>
    <row r="21" spans="1:10" s="1075" customFormat="1" ht="15.75" customHeight="1">
      <c r="A21" s="1157"/>
      <c r="B21" s="1157"/>
      <c r="C21" s="1157"/>
      <c r="D21" s="1157"/>
      <c r="E21" s="1157"/>
      <c r="F21" s="1848"/>
      <c r="G21" s="1848"/>
      <c r="H21" s="1239" t="s">
        <v>712</v>
      </c>
      <c r="I21" s="1141">
        <v>4</v>
      </c>
      <c r="J21" s="1236">
        <v>540</v>
      </c>
    </row>
    <row r="22" spans="1:10" s="1075" customFormat="1" ht="15.75" customHeight="1">
      <c r="A22" s="1157"/>
      <c r="B22" s="1157"/>
      <c r="C22" s="1158" t="s">
        <v>644</v>
      </c>
      <c r="D22" s="1158" t="s">
        <v>646</v>
      </c>
      <c r="E22" s="1157"/>
      <c r="F22" s="1848"/>
      <c r="G22" s="1848"/>
      <c r="H22" s="1239" t="s">
        <v>713</v>
      </c>
      <c r="I22" s="1141">
        <v>5</v>
      </c>
      <c r="J22" s="1236" t="s">
        <v>802</v>
      </c>
    </row>
    <row r="23" spans="1:10" s="1075" customFormat="1" ht="15.75" customHeight="1">
      <c r="A23" s="1157"/>
      <c r="B23" s="1168" t="s">
        <v>1483</v>
      </c>
      <c r="C23" s="1168">
        <v>1862</v>
      </c>
      <c r="D23" s="1168">
        <v>0.19400000000000001</v>
      </c>
      <c r="E23" s="1157"/>
      <c r="F23" s="1848"/>
      <c r="G23" s="1848" t="s">
        <v>705</v>
      </c>
      <c r="H23" s="1239" t="s">
        <v>711</v>
      </c>
      <c r="I23" s="1141">
        <v>6</v>
      </c>
      <c r="J23" s="1127">
        <f>ROUND((J20*$D$23),2)</f>
        <v>69.84</v>
      </c>
    </row>
    <row r="24" spans="1:10" s="1075" customFormat="1" ht="15.75" customHeight="1">
      <c r="A24" s="1157"/>
      <c r="B24" s="1168" t="s">
        <v>1484</v>
      </c>
      <c r="C24" s="1168">
        <v>1117</v>
      </c>
      <c r="D24" s="1168">
        <v>0.1164</v>
      </c>
      <c r="E24" s="1157"/>
      <c r="F24" s="1848"/>
      <c r="G24" s="1848"/>
      <c r="H24" s="1239" t="s">
        <v>712</v>
      </c>
      <c r="I24" s="1141">
        <v>7</v>
      </c>
      <c r="J24" s="1127">
        <f>ROUND((J21*$D$24),2)</f>
        <v>62.86</v>
      </c>
    </row>
    <row r="25" spans="1:10" s="1075" customFormat="1" ht="15.75" customHeight="1">
      <c r="A25" s="1157"/>
      <c r="B25" s="1168" t="s">
        <v>1485</v>
      </c>
      <c r="C25" s="1168">
        <v>745</v>
      </c>
      <c r="D25" s="1168">
        <v>7.7600000000000002E-2</v>
      </c>
      <c r="E25" s="1157"/>
      <c r="F25" s="1848"/>
      <c r="G25" s="1848"/>
      <c r="H25" s="1239" t="s">
        <v>714</v>
      </c>
      <c r="I25" s="1141">
        <v>8</v>
      </c>
      <c r="J25" s="1127"/>
    </row>
    <row r="26" spans="1:10" s="1075" customFormat="1" ht="26.25" customHeight="1">
      <c r="A26" s="1157"/>
      <c r="B26" s="1168" t="s">
        <v>1486</v>
      </c>
      <c r="C26" s="1168"/>
      <c r="D26" s="1168">
        <v>0.2359</v>
      </c>
      <c r="E26" s="1157"/>
      <c r="F26" s="1848"/>
      <c r="G26" s="1239" t="s">
        <v>638</v>
      </c>
      <c r="H26" s="1239" t="s">
        <v>715</v>
      </c>
      <c r="I26" s="1141">
        <v>9</v>
      </c>
      <c r="J26" s="1127">
        <f>ROUND(((J24+J23+J25)*$D$26),2)</f>
        <v>31.3</v>
      </c>
    </row>
    <row r="27" spans="1:10" s="1075" customFormat="1" ht="28.5" customHeight="1">
      <c r="A27" s="1157"/>
      <c r="B27" s="1218"/>
      <c r="C27" s="1157"/>
      <c r="D27" s="1157"/>
      <c r="E27" s="1157"/>
      <c r="F27" s="1848"/>
      <c r="G27" s="1848" t="s">
        <v>706</v>
      </c>
      <c r="H27" s="1239" t="s">
        <v>716</v>
      </c>
      <c r="I27" s="1141" t="s">
        <v>719</v>
      </c>
      <c r="J27" s="1131">
        <f>J28+J29</f>
        <v>2740</v>
      </c>
    </row>
    <row r="28" spans="1:10" s="1075" customFormat="1" ht="15.75" customHeight="1">
      <c r="A28" s="1157"/>
      <c r="B28" s="1157"/>
      <c r="C28" s="1157"/>
      <c r="D28" s="1157"/>
      <c r="E28" s="1157"/>
      <c r="F28" s="1848"/>
      <c r="G28" s="1848"/>
      <c r="H28" s="1240" t="s">
        <v>717</v>
      </c>
      <c r="I28" s="1141">
        <v>11</v>
      </c>
      <c r="J28" s="1131">
        <v>0</v>
      </c>
    </row>
    <row r="29" spans="1:10" s="1075" customFormat="1" ht="15.75" customHeight="1">
      <c r="A29" s="1157"/>
      <c r="B29" s="1157"/>
      <c r="C29" s="1157"/>
      <c r="D29" s="1157"/>
      <c r="E29" s="1157"/>
      <c r="F29" s="1848"/>
      <c r="G29" s="1848"/>
      <c r="H29" s="1239" t="s">
        <v>718</v>
      </c>
      <c r="I29" s="1141">
        <v>12</v>
      </c>
      <c r="J29" s="1131">
        <v>2740</v>
      </c>
    </row>
    <row r="30" spans="1:10" s="1075" customFormat="1" ht="15.75" customHeight="1">
      <c r="A30" s="1157"/>
      <c r="B30" s="1157"/>
      <c r="C30" s="1157"/>
      <c r="D30" s="1158" t="s">
        <v>699</v>
      </c>
      <c r="E30" s="1157"/>
      <c r="F30" s="1848"/>
      <c r="G30" s="1848" t="s">
        <v>707</v>
      </c>
      <c r="H30" s="1848"/>
      <c r="I30" s="1141">
        <v>13</v>
      </c>
      <c r="J30" s="1127">
        <v>100</v>
      </c>
    </row>
    <row r="31" spans="1:10" s="1075" customFormat="1" ht="15.75" customHeight="1">
      <c r="A31" s="1157"/>
      <c r="B31" s="1800" t="s">
        <v>696</v>
      </c>
      <c r="C31" s="1801"/>
      <c r="D31" s="1168">
        <v>0.31330000000000002</v>
      </c>
      <c r="E31" s="1157"/>
      <c r="F31" s="1848"/>
      <c r="G31" s="1848" t="s">
        <v>708</v>
      </c>
      <c r="H31" s="1848"/>
      <c r="I31" s="1141">
        <v>14</v>
      </c>
      <c r="J31" s="1127">
        <f>ROUND((J23+J24+J25)*$D$31,2)</f>
        <v>41.57</v>
      </c>
    </row>
    <row r="32" spans="1:10" s="1075" customFormat="1" ht="15.75" customHeight="1">
      <c r="A32" s="1157"/>
      <c r="B32" s="1800" t="s">
        <v>697</v>
      </c>
      <c r="C32" s="1801"/>
      <c r="D32" s="1168">
        <v>2.5100000000000001E-2</v>
      </c>
      <c r="E32" s="1157"/>
      <c r="F32" s="1848"/>
      <c r="G32" s="1848" t="s">
        <v>709</v>
      </c>
      <c r="H32" s="1848"/>
      <c r="I32" s="1141">
        <v>15</v>
      </c>
      <c r="J32" s="1127">
        <f>ROUND((J23+J24+J25)*$D$32,2)</f>
        <v>3.33</v>
      </c>
    </row>
    <row r="33" spans="1:11" s="1075" customFormat="1" ht="15.75" customHeight="1">
      <c r="A33" s="1157"/>
      <c r="B33" s="1800" t="s">
        <v>698</v>
      </c>
      <c r="C33" s="1801"/>
      <c r="D33" s="1168">
        <v>4.0099999999999997E-2</v>
      </c>
      <c r="E33" s="1157"/>
      <c r="F33" s="1848"/>
      <c r="G33" s="1848" t="s">
        <v>710</v>
      </c>
      <c r="H33" s="1848"/>
      <c r="I33" s="1141">
        <v>16</v>
      </c>
      <c r="J33" s="1127">
        <f>ROUND((J23+J24+J25)*$D$33,2)</f>
        <v>5.32</v>
      </c>
    </row>
    <row r="34" spans="1:11" s="1075" customFormat="1" ht="15.75" customHeight="1">
      <c r="A34" s="1158"/>
      <c r="B34" s="1157"/>
      <c r="C34" s="1157"/>
      <c r="D34" s="1157"/>
      <c r="E34" s="1157"/>
      <c r="F34" s="1848" t="s">
        <v>1280</v>
      </c>
      <c r="G34" s="1848"/>
      <c r="H34" s="1848"/>
      <c r="I34" s="1141">
        <v>17</v>
      </c>
      <c r="J34" s="1237">
        <f>ROUND((J23+J24+J25+J26+J27+J30+J31+J32+J33),2)</f>
        <v>3054.22</v>
      </c>
    </row>
    <row r="35" spans="1:11" s="1075" customFormat="1" ht="15.75" customHeight="1">
      <c r="A35" s="1157"/>
      <c r="B35" s="1157"/>
      <c r="C35" s="1157"/>
      <c r="D35" s="1157"/>
      <c r="E35" s="1157"/>
      <c r="F35" s="1848" t="s">
        <v>833</v>
      </c>
      <c r="G35" s="1848"/>
      <c r="H35" s="1848"/>
      <c r="I35" s="1141">
        <v>18</v>
      </c>
      <c r="J35" s="1238">
        <v>18</v>
      </c>
    </row>
    <row r="36" spans="1:11" s="1075" customFormat="1" ht="15.75" customHeight="1">
      <c r="A36" s="1157"/>
      <c r="B36" s="1157"/>
      <c r="C36" s="1157"/>
      <c r="D36" s="1157"/>
      <c r="E36" s="1157"/>
      <c r="F36" s="1848" t="s">
        <v>1494</v>
      </c>
      <c r="G36" s="1848"/>
      <c r="H36" s="1848"/>
      <c r="I36" s="1141">
        <v>19</v>
      </c>
      <c r="J36" s="1241">
        <f>J35*J34</f>
        <v>54975.96</v>
      </c>
      <c r="K36" s="1075" t="s">
        <v>955</v>
      </c>
    </row>
    <row r="37" spans="1:11" s="1075" customFormat="1" ht="14">
      <c r="A37" s="1157"/>
      <c r="B37" s="1157"/>
      <c r="C37" s="1157"/>
      <c r="D37" s="1157"/>
      <c r="E37" s="1157"/>
      <c r="F37" s="1157"/>
      <c r="G37" s="1157"/>
      <c r="H37" s="1157"/>
      <c r="I37" s="1157"/>
      <c r="J37" s="1224"/>
    </row>
    <row r="38" spans="1:11" ht="13.5" customHeight="1"/>
    <row r="39" spans="1:11" ht="53.25" customHeight="1">
      <c r="F39" s="1665" t="s">
        <v>857</v>
      </c>
      <c r="G39" s="1665"/>
    </row>
    <row r="40" spans="1:11" ht="15" customHeight="1">
      <c r="F40" s="1849">
        <f>G41+G42</f>
        <v>460437.95999999996</v>
      </c>
      <c r="G40" s="1849"/>
    </row>
    <row r="41" spans="1:11">
      <c r="E41" s="297" t="s">
        <v>955</v>
      </c>
      <c r="G41" s="592">
        <f>H15+J36</f>
        <v>90336.959999999992</v>
      </c>
    </row>
    <row r="42" spans="1:11">
      <c r="E42" s="297" t="s">
        <v>954</v>
      </c>
      <c r="G42" s="592">
        <f>K9</f>
        <v>370101</v>
      </c>
    </row>
  </sheetData>
  <mergeCells count="45">
    <mergeCell ref="F3:F4"/>
    <mergeCell ref="G3:J3"/>
    <mergeCell ref="K3:K4"/>
    <mergeCell ref="L3:N3"/>
    <mergeCell ref="C13:C14"/>
    <mergeCell ref="D13:D14"/>
    <mergeCell ref="E13:E14"/>
    <mergeCell ref="A3:A4"/>
    <mergeCell ref="B3:B4"/>
    <mergeCell ref="C3:C4"/>
    <mergeCell ref="D3:D4"/>
    <mergeCell ref="E3:E4"/>
    <mergeCell ref="F40:G40"/>
    <mergeCell ref="O3:O4"/>
    <mergeCell ref="P13:P14"/>
    <mergeCell ref="N1:O1"/>
    <mergeCell ref="A2:O2"/>
    <mergeCell ref="F39:G39"/>
    <mergeCell ref="F13:F14"/>
    <mergeCell ref="G13:G14"/>
    <mergeCell ref="H13:H14"/>
    <mergeCell ref="I13:I14"/>
    <mergeCell ref="J13:O13"/>
    <mergeCell ref="F9:J9"/>
    <mergeCell ref="F10:J10"/>
    <mergeCell ref="A12:P12"/>
    <mergeCell ref="A13:A14"/>
    <mergeCell ref="B13:B14"/>
    <mergeCell ref="F18:H18"/>
    <mergeCell ref="F19:H19"/>
    <mergeCell ref="F20:F29"/>
    <mergeCell ref="G20:G22"/>
    <mergeCell ref="G23:G25"/>
    <mergeCell ref="G27:G29"/>
    <mergeCell ref="B31:C31"/>
    <mergeCell ref="G31:H31"/>
    <mergeCell ref="B32:C32"/>
    <mergeCell ref="G32:H32"/>
    <mergeCell ref="B33:C33"/>
    <mergeCell ref="G33:H33"/>
    <mergeCell ref="F34:H34"/>
    <mergeCell ref="F35:H35"/>
    <mergeCell ref="F36:H36"/>
    <mergeCell ref="F30:F33"/>
    <mergeCell ref="G30:H30"/>
  </mergeCells>
  <pageMargins left="0.7" right="0.7" top="0.75" bottom="0.75" header="0.3" footer="0.3"/>
  <pageSetup paperSize="9"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CCCC2-4D80-4D08-8BB8-C5915267C3F2}">
  <dimension ref="A1:U33"/>
  <sheetViews>
    <sheetView zoomScale="57" zoomScaleNormal="57" workbookViewId="0">
      <selection activeCell="H31" sqref="H31:I31"/>
    </sheetView>
  </sheetViews>
  <sheetFormatPr defaultColWidth="9.1796875" defaultRowHeight="15.5"/>
  <cols>
    <col min="1" max="1" width="15.7265625" style="614" customWidth="1"/>
    <col min="2" max="2" width="10.26953125" style="614" customWidth="1"/>
    <col min="3" max="3" width="33" style="614" customWidth="1"/>
    <col min="4" max="4" width="29" style="614" customWidth="1"/>
    <col min="5" max="5" width="11.54296875" style="614" customWidth="1"/>
    <col min="6" max="6" width="17.1796875" style="614" customWidth="1"/>
    <col min="7" max="7" width="15" style="614" customWidth="1"/>
    <col min="8" max="8" width="19" style="614" customWidth="1"/>
    <col min="9" max="9" width="18.26953125" style="614" customWidth="1"/>
    <col min="10" max="10" width="16" style="614" customWidth="1"/>
    <col min="11" max="11" width="11.7265625" style="614" customWidth="1"/>
    <col min="12" max="12" width="13.1796875" style="614" customWidth="1"/>
    <col min="13" max="13" width="12.26953125" style="614" customWidth="1"/>
    <col min="14" max="15" width="11.26953125" style="614" customWidth="1"/>
    <col min="16" max="16" width="13" style="614" customWidth="1"/>
    <col min="17" max="17" width="14.81640625" style="614" customWidth="1"/>
    <col min="18" max="18" width="15" style="614" customWidth="1"/>
    <col min="19" max="19" width="18.1796875" style="614" customWidth="1"/>
    <col min="20" max="20" width="13.26953125" style="614" customWidth="1"/>
    <col min="21" max="21" width="20.1796875" style="614" customWidth="1"/>
    <col min="22" max="22" width="9.1796875" style="614"/>
    <col min="23" max="23" width="15.7265625" style="614" customWidth="1"/>
    <col min="24" max="16384" width="9.1796875" style="614"/>
  </cols>
  <sheetData>
    <row r="1" spans="1:21">
      <c r="I1" s="1861" t="s">
        <v>885</v>
      </c>
      <c r="J1" s="1861"/>
    </row>
    <row r="2" spans="1:21">
      <c r="C2" s="400"/>
    </row>
    <row r="3" spans="1:21" ht="20.25" customHeight="1">
      <c r="B3" s="1862" t="s">
        <v>886</v>
      </c>
      <c r="C3" s="1862"/>
      <c r="D3" s="1862"/>
      <c r="E3" s="1862"/>
      <c r="F3" s="1862"/>
      <c r="G3" s="1862"/>
      <c r="H3" s="1862"/>
      <c r="I3" s="1862"/>
      <c r="J3" s="1862"/>
      <c r="K3" s="1862"/>
      <c r="L3" s="1862"/>
      <c r="M3" s="1862"/>
      <c r="N3" s="1862"/>
      <c r="O3" s="1862"/>
    </row>
    <row r="4" spans="1:21" s="615" customFormat="1" ht="46.5">
      <c r="B4" s="616"/>
      <c r="C4" s="616"/>
      <c r="D4" s="616"/>
      <c r="E4" s="616"/>
      <c r="F4" s="616"/>
      <c r="G4" s="617" t="s">
        <v>640</v>
      </c>
      <c r="H4" s="617" t="s">
        <v>641</v>
      </c>
      <c r="I4" s="617" t="s">
        <v>695</v>
      </c>
      <c r="J4" s="1865" t="s">
        <v>642</v>
      </c>
      <c r="K4" s="618"/>
      <c r="L4" s="616"/>
      <c r="M4" s="616"/>
      <c r="N4" s="616"/>
      <c r="O4" s="616"/>
      <c r="P4" s="1867" t="s">
        <v>696</v>
      </c>
      <c r="Q4" s="1867" t="s">
        <v>697</v>
      </c>
      <c r="R4" s="1867" t="s">
        <v>698</v>
      </c>
      <c r="S4" s="619"/>
      <c r="T4" s="616"/>
      <c r="U4" s="614"/>
    </row>
    <row r="5" spans="1:21" s="615" customFormat="1">
      <c r="B5" s="616"/>
      <c r="C5" s="616"/>
      <c r="D5" s="616"/>
      <c r="E5" s="616"/>
      <c r="F5" s="620" t="s">
        <v>644</v>
      </c>
      <c r="G5" s="621">
        <v>1862</v>
      </c>
      <c r="H5" s="621">
        <v>1117</v>
      </c>
      <c r="I5" s="621">
        <v>745</v>
      </c>
      <c r="J5" s="1866"/>
      <c r="K5" s="616"/>
      <c r="L5" s="616"/>
      <c r="M5" s="616"/>
      <c r="N5" s="616"/>
      <c r="O5" s="616"/>
      <c r="P5" s="1868"/>
      <c r="Q5" s="1868"/>
      <c r="R5" s="1868"/>
      <c r="S5" s="619"/>
      <c r="T5" s="616"/>
      <c r="U5" s="614"/>
    </row>
    <row r="6" spans="1:21" s="615" customFormat="1">
      <c r="B6" s="616"/>
      <c r="C6" s="616"/>
      <c r="D6" s="616"/>
      <c r="E6" s="616"/>
      <c r="F6" s="620" t="s">
        <v>646</v>
      </c>
      <c r="G6" s="621">
        <v>0.19400000000000001</v>
      </c>
      <c r="H6" s="621">
        <v>0.1164</v>
      </c>
      <c r="I6" s="621">
        <v>7.7600000000000002E-2</v>
      </c>
      <c r="J6" s="621">
        <v>0.2359</v>
      </c>
      <c r="K6" s="616"/>
      <c r="L6" s="616"/>
      <c r="M6" s="616"/>
      <c r="N6" s="614"/>
      <c r="O6" s="620" t="s">
        <v>699</v>
      </c>
      <c r="P6" s="621">
        <v>0.31330000000000002</v>
      </c>
      <c r="Q6" s="621">
        <v>2.5100000000000001E-2</v>
      </c>
      <c r="R6" s="621">
        <v>4.0099999999999997E-2</v>
      </c>
      <c r="S6" s="616"/>
      <c r="T6" s="616"/>
      <c r="U6" s="614"/>
    </row>
    <row r="7" spans="1:21" s="615" customFormat="1">
      <c r="B7" s="616"/>
      <c r="C7" s="616"/>
      <c r="D7" s="622"/>
      <c r="E7" s="616"/>
      <c r="F7" s="620" t="s">
        <v>858</v>
      </c>
      <c r="G7" s="637">
        <f>G5*1.3</f>
        <v>2420.6</v>
      </c>
      <c r="H7" s="637">
        <f>H5*1.3</f>
        <v>1452.1000000000001</v>
      </c>
      <c r="I7" s="637">
        <f>I5*1.3</f>
        <v>968.5</v>
      </c>
      <c r="J7" s="616"/>
      <c r="K7" s="616"/>
      <c r="L7" s="616"/>
      <c r="M7" s="616"/>
      <c r="N7" s="614"/>
      <c r="O7" s="616"/>
      <c r="P7" s="616"/>
      <c r="Q7" s="616"/>
      <c r="R7" s="616"/>
      <c r="S7" s="616"/>
      <c r="T7" s="616"/>
      <c r="U7" s="614"/>
    </row>
    <row r="8" spans="1:21" s="615" customFormat="1">
      <c r="B8" s="616"/>
      <c r="C8" s="616"/>
      <c r="D8" s="616"/>
      <c r="E8" s="616"/>
      <c r="F8" s="620" t="s">
        <v>859</v>
      </c>
      <c r="G8" s="638">
        <f>ROUND(G7/9600,4)</f>
        <v>0.25209999999999999</v>
      </c>
      <c r="H8" s="638">
        <f>ROUND(H7/9600,4)</f>
        <v>0.15129999999999999</v>
      </c>
      <c r="I8" s="638">
        <f>ROUND(I7/9600,4)</f>
        <v>0.1009</v>
      </c>
      <c r="J8" s="616"/>
      <c r="K8" s="616"/>
      <c r="L8" s="616"/>
      <c r="M8" s="616"/>
      <c r="N8" s="614"/>
      <c r="O8" s="616"/>
      <c r="P8" s="616"/>
      <c r="Q8" s="616"/>
      <c r="R8" s="616"/>
      <c r="S8" s="616"/>
      <c r="T8" s="616"/>
      <c r="U8" s="614"/>
    </row>
    <row r="9" spans="1:21">
      <c r="O9" s="616"/>
      <c r="P9" s="616"/>
      <c r="Q9" s="616"/>
      <c r="R9" s="616"/>
      <c r="S9" s="616"/>
    </row>
    <row r="10" spans="1:21" ht="56">
      <c r="B10" s="1863" t="s">
        <v>860</v>
      </c>
      <c r="C10" s="1869" t="s">
        <v>845</v>
      </c>
      <c r="D10" s="1863" t="s">
        <v>704</v>
      </c>
      <c r="E10" s="1863"/>
      <c r="F10" s="1863"/>
      <c r="G10" s="1863" t="s">
        <v>705</v>
      </c>
      <c r="H10" s="1863"/>
      <c r="I10" s="1863"/>
      <c r="J10" s="639" t="s">
        <v>638</v>
      </c>
      <c r="K10" s="1863" t="s">
        <v>706</v>
      </c>
      <c r="L10" s="1863"/>
      <c r="M10" s="1863"/>
      <c r="N10" s="1863" t="s">
        <v>861</v>
      </c>
      <c r="O10" s="1863" t="s">
        <v>759</v>
      </c>
      <c r="P10" s="1863" t="s">
        <v>708</v>
      </c>
      <c r="Q10" s="1863" t="s">
        <v>709</v>
      </c>
      <c r="R10" s="1863" t="s">
        <v>710</v>
      </c>
      <c r="S10" s="1864" t="s">
        <v>862</v>
      </c>
      <c r="T10" s="1856" t="s">
        <v>863</v>
      </c>
      <c r="U10" s="1856" t="s">
        <v>864</v>
      </c>
    </row>
    <row r="11" spans="1:21" ht="42">
      <c r="B11" s="1863"/>
      <c r="C11" s="1870"/>
      <c r="D11" s="639" t="s">
        <v>711</v>
      </c>
      <c r="E11" s="639" t="s">
        <v>712</v>
      </c>
      <c r="F11" s="639" t="s">
        <v>713</v>
      </c>
      <c r="G11" s="639" t="s">
        <v>711</v>
      </c>
      <c r="H11" s="639" t="s">
        <v>712</v>
      </c>
      <c r="I11" s="639" t="s">
        <v>714</v>
      </c>
      <c r="J11" s="639" t="s">
        <v>715</v>
      </c>
      <c r="K11" s="639" t="s">
        <v>716</v>
      </c>
      <c r="L11" s="640" t="s">
        <v>762</v>
      </c>
      <c r="M11" s="641" t="s">
        <v>718</v>
      </c>
      <c r="N11" s="1863"/>
      <c r="O11" s="1863"/>
      <c r="P11" s="1863"/>
      <c r="Q11" s="1863"/>
      <c r="R11" s="1863"/>
      <c r="S11" s="1864"/>
      <c r="T11" s="1857"/>
      <c r="U11" s="1857"/>
    </row>
    <row r="12" spans="1:21">
      <c r="B12" s="642">
        <v>1</v>
      </c>
      <c r="C12" s="643">
        <v>2</v>
      </c>
      <c r="D12" s="643">
        <v>3</v>
      </c>
      <c r="E12" s="643">
        <v>4</v>
      </c>
      <c r="F12" s="643">
        <v>5</v>
      </c>
      <c r="G12" s="643">
        <v>6</v>
      </c>
      <c r="H12" s="643">
        <v>7</v>
      </c>
      <c r="I12" s="643">
        <v>8</v>
      </c>
      <c r="J12" s="643">
        <v>9</v>
      </c>
      <c r="K12" s="643" t="s">
        <v>719</v>
      </c>
      <c r="L12" s="643">
        <v>11</v>
      </c>
      <c r="M12" s="643">
        <v>12</v>
      </c>
      <c r="N12" s="643">
        <v>13</v>
      </c>
      <c r="O12" s="643">
        <v>14</v>
      </c>
      <c r="P12" s="643">
        <v>15</v>
      </c>
      <c r="Q12" s="643">
        <v>16</v>
      </c>
      <c r="R12" s="643">
        <v>17</v>
      </c>
      <c r="S12" s="644">
        <v>18</v>
      </c>
      <c r="T12" s="644">
        <v>19</v>
      </c>
      <c r="U12" s="645">
        <v>20</v>
      </c>
    </row>
    <row r="13" spans="1:21" ht="31">
      <c r="A13" s="623" t="s">
        <v>865</v>
      </c>
      <c r="B13" s="550">
        <v>60008</v>
      </c>
      <c r="C13" s="624" t="s">
        <v>866</v>
      </c>
      <c r="D13" s="625">
        <v>15</v>
      </c>
      <c r="E13" s="625">
        <v>30</v>
      </c>
      <c r="F13" s="625">
        <v>0</v>
      </c>
      <c r="G13" s="626">
        <f>ROUND((D13*$G$6),2)</f>
        <v>2.91</v>
      </c>
      <c r="H13" s="626">
        <f>ROUND((E13*$H$6),2)</f>
        <v>3.49</v>
      </c>
      <c r="I13" s="626">
        <f>ROUND((F13*$I$6),2)</f>
        <v>0</v>
      </c>
      <c r="J13" s="626">
        <f>ROUND(((G13+H13+I13)*$J$6),2)</f>
        <v>1.51</v>
      </c>
      <c r="K13" s="626">
        <f t="shared" ref="K13:K14" si="0">L13+M13</f>
        <v>4.76</v>
      </c>
      <c r="L13" s="627">
        <v>0</v>
      </c>
      <c r="M13" s="483">
        <v>4.76</v>
      </c>
      <c r="N13" s="628">
        <v>0</v>
      </c>
      <c r="O13" s="626">
        <v>0</v>
      </c>
      <c r="P13" s="626">
        <f>ROUND((G13+H13+I13)*$P$6,2)</f>
        <v>2.0099999999999998</v>
      </c>
      <c r="Q13" s="626">
        <f>ROUND((G13+H13+I13)*$Q$6,2)</f>
        <v>0.16</v>
      </c>
      <c r="R13" s="626">
        <f>ROUND((G13+H13+I13)*$R$6,2)</f>
        <v>0.26</v>
      </c>
      <c r="S13" s="629">
        <f t="shared" ref="S13:S14" si="1">G13+H13+I13+J13+K13+N13+P13+Q13+R13</f>
        <v>15.1</v>
      </c>
      <c r="T13" s="626">
        <f>S13-U13</f>
        <v>15.1</v>
      </c>
      <c r="U13" s="626">
        <v>0</v>
      </c>
    </row>
    <row r="14" spans="1:21" ht="31">
      <c r="A14" s="623" t="s">
        <v>867</v>
      </c>
      <c r="B14" s="551">
        <v>60008</v>
      </c>
      <c r="C14" s="624" t="s">
        <v>866</v>
      </c>
      <c r="D14" s="625">
        <v>15</v>
      </c>
      <c r="E14" s="625">
        <v>30</v>
      </c>
      <c r="F14" s="625">
        <v>0</v>
      </c>
      <c r="G14" s="626">
        <f>ROUND((D14*$G$8),2)</f>
        <v>3.78</v>
      </c>
      <c r="H14" s="626">
        <f>ROUND((E14*$H$8),2)</f>
        <v>4.54</v>
      </c>
      <c r="I14" s="626">
        <f>ROUND((F14*$I$8),2)</f>
        <v>0</v>
      </c>
      <c r="J14" s="626">
        <f t="shared" ref="J14" si="2">ROUND(((G14+H14+I14)*$J$6),2)</f>
        <v>1.96</v>
      </c>
      <c r="K14" s="626">
        <f t="shared" si="0"/>
        <v>4.76</v>
      </c>
      <c r="L14" s="646">
        <v>0</v>
      </c>
      <c r="M14" s="646">
        <v>4.76</v>
      </c>
      <c r="N14" s="647">
        <v>0</v>
      </c>
      <c r="O14" s="626">
        <v>0</v>
      </c>
      <c r="P14" s="626">
        <f t="shared" ref="P14" si="3">ROUND((G14+H14+I14)*$P$6,2)</f>
        <v>2.61</v>
      </c>
      <c r="Q14" s="626">
        <f t="shared" ref="Q14" si="4">ROUND((G14+H14+I14)*$Q$6,2)</f>
        <v>0.21</v>
      </c>
      <c r="R14" s="626">
        <f t="shared" ref="R14" si="5">ROUND((G14+H14+I14)*$R$6,2)</f>
        <v>0.33</v>
      </c>
      <c r="S14" s="629">
        <f t="shared" si="1"/>
        <v>18.190000000000001</v>
      </c>
      <c r="T14" s="626">
        <f>S14-U14</f>
        <v>18.190000000000001</v>
      </c>
      <c r="U14" s="626">
        <v>0</v>
      </c>
    </row>
    <row r="16" spans="1:21">
      <c r="C16" s="1858" t="s">
        <v>868</v>
      </c>
      <c r="D16" s="1858"/>
      <c r="E16" s="1858"/>
      <c r="F16" s="1858"/>
    </row>
    <row r="17" spans="3:9">
      <c r="C17" s="630">
        <v>2020</v>
      </c>
    </row>
    <row r="18" spans="3:9">
      <c r="C18" s="648" t="s">
        <v>869</v>
      </c>
      <c r="D18" s="649" t="s">
        <v>870</v>
      </c>
      <c r="E18" s="648" t="s">
        <v>871</v>
      </c>
      <c r="F18" s="648" t="s">
        <v>872</v>
      </c>
    </row>
    <row r="19" spans="3:9" ht="31">
      <c r="C19" s="650" t="s">
        <v>873</v>
      </c>
      <c r="D19" s="652" t="s">
        <v>866</v>
      </c>
      <c r="E19" s="650" t="s">
        <v>874</v>
      </c>
      <c r="F19" s="650">
        <v>30670</v>
      </c>
      <c r="G19" s="631">
        <f>F19/F21</f>
        <v>0.48586138613861385</v>
      </c>
    </row>
    <row r="20" spans="3:9" ht="31">
      <c r="C20" s="650" t="s">
        <v>873</v>
      </c>
      <c r="D20" s="652" t="s">
        <v>866</v>
      </c>
      <c r="E20" s="650" t="s">
        <v>875</v>
      </c>
      <c r="F20" s="650">
        <v>32455</v>
      </c>
      <c r="G20" s="631">
        <f>F20/F21</f>
        <v>0.51413861386138615</v>
      </c>
    </row>
    <row r="21" spans="3:9" ht="31">
      <c r="C21" s="650" t="s">
        <v>873</v>
      </c>
      <c r="D21" s="652" t="s">
        <v>876</v>
      </c>
      <c r="E21" s="650"/>
      <c r="F21" s="651">
        <f>SUM(F19:F20)</f>
        <v>63125</v>
      </c>
    </row>
    <row r="23" spans="3:9">
      <c r="C23" s="630">
        <v>2019</v>
      </c>
    </row>
    <row r="24" spans="3:9" ht="20.25" customHeight="1">
      <c r="C24" s="648" t="s">
        <v>869</v>
      </c>
      <c r="D24" s="649" t="s">
        <v>877</v>
      </c>
      <c r="E24" s="648" t="s">
        <v>871</v>
      </c>
      <c r="F24" s="648" t="s">
        <v>872</v>
      </c>
    </row>
    <row r="25" spans="3:9" ht="31">
      <c r="C25" s="650" t="s">
        <v>873</v>
      </c>
      <c r="D25" s="652" t="s">
        <v>866</v>
      </c>
      <c r="E25" s="650" t="s">
        <v>874</v>
      </c>
      <c r="F25" s="650">
        <v>28693</v>
      </c>
      <c r="G25" s="631">
        <f>F25/F27</f>
        <v>0.46875561582068581</v>
      </c>
    </row>
    <row r="26" spans="3:9" ht="31">
      <c r="C26" s="650" t="s">
        <v>873</v>
      </c>
      <c r="D26" s="652" t="s">
        <v>866</v>
      </c>
      <c r="E26" s="650" t="s">
        <v>875</v>
      </c>
      <c r="F26" s="650">
        <v>32518</v>
      </c>
      <c r="G26" s="631">
        <f>F26/F27</f>
        <v>0.53124438417931419</v>
      </c>
    </row>
    <row r="27" spans="3:9" ht="31">
      <c r="C27" s="650" t="s">
        <v>873</v>
      </c>
      <c r="D27" s="652" t="s">
        <v>876</v>
      </c>
      <c r="E27" s="650"/>
      <c r="F27" s="651">
        <f>SUM(F25:F26)</f>
        <v>61211</v>
      </c>
    </row>
    <row r="29" spans="3:9" ht="88.5" customHeight="1">
      <c r="C29" s="1859" t="s">
        <v>878</v>
      </c>
      <c r="D29" s="653" t="s">
        <v>879</v>
      </c>
      <c r="E29" s="653" t="s">
        <v>880</v>
      </c>
      <c r="F29" s="653" t="s">
        <v>881</v>
      </c>
      <c r="G29" s="653" t="s">
        <v>882</v>
      </c>
      <c r="H29" s="654" t="s">
        <v>887</v>
      </c>
      <c r="I29" s="654" t="s">
        <v>888</v>
      </c>
    </row>
    <row r="30" spans="3:9">
      <c r="C30" s="1859"/>
      <c r="D30" s="628">
        <f>S13</f>
        <v>15.1</v>
      </c>
      <c r="E30" s="632">
        <f>S14</f>
        <v>18.190000000000001</v>
      </c>
      <c r="F30" s="633">
        <f>F27</f>
        <v>61211</v>
      </c>
      <c r="G30" s="633">
        <f>F21</f>
        <v>63125</v>
      </c>
      <c r="H30" s="634">
        <f>(E30-D30)*F30</f>
        <v>189141.99000000011</v>
      </c>
      <c r="I30" s="634">
        <f>(E30-D30)*G30</f>
        <v>195056.25000000012</v>
      </c>
    </row>
    <row r="31" spans="3:9">
      <c r="C31" s="1859"/>
      <c r="D31" s="635"/>
      <c r="E31" s="635"/>
      <c r="F31" s="635"/>
      <c r="G31" s="635"/>
      <c r="H31" s="1860">
        <f>ROUND((H30+I30)/2,0)</f>
        <v>192099</v>
      </c>
      <c r="I31" s="1860"/>
    </row>
    <row r="32" spans="3:9">
      <c r="G32" s="614" t="s">
        <v>883</v>
      </c>
      <c r="H32" s="636">
        <f>(G19+G25)/2</f>
        <v>0.47730850097964983</v>
      </c>
      <c r="I32" s="655">
        <f>H31*47.73%</f>
        <v>91688.852699999989</v>
      </c>
    </row>
    <row r="33" spans="7:9">
      <c r="G33" s="614" t="s">
        <v>884</v>
      </c>
      <c r="H33" s="636">
        <f>(G20+G26)/2</f>
        <v>0.52269149902035017</v>
      </c>
      <c r="I33" s="655">
        <f>H31*52.27%</f>
        <v>100410.14730000001</v>
      </c>
    </row>
  </sheetData>
  <mergeCells count="22">
    <mergeCell ref="N10:N11"/>
    <mergeCell ref="B10:B11"/>
    <mergeCell ref="C10:C11"/>
    <mergeCell ref="D10:F10"/>
    <mergeCell ref="G10:I10"/>
    <mergeCell ref="K10:M10"/>
    <mergeCell ref="U10:U11"/>
    <mergeCell ref="C16:F16"/>
    <mergeCell ref="C29:C31"/>
    <mergeCell ref="H31:I31"/>
    <mergeCell ref="I1:J1"/>
    <mergeCell ref="B3:O3"/>
    <mergeCell ref="O10:O11"/>
    <mergeCell ref="P10:P11"/>
    <mergeCell ref="Q10:Q11"/>
    <mergeCell ref="R10:R11"/>
    <mergeCell ref="S10:S11"/>
    <mergeCell ref="T10:T11"/>
    <mergeCell ref="J4:J5"/>
    <mergeCell ref="P4:P5"/>
    <mergeCell ref="Q4:Q5"/>
    <mergeCell ref="R4:R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2FA2D-69FE-42DB-85D2-355B8D1591C4}">
  <sheetPr>
    <tabColor theme="9" tint="0.79998168889431442"/>
  </sheetPr>
  <dimension ref="A1:J4"/>
  <sheetViews>
    <sheetView zoomScale="86" zoomScaleNormal="86" workbookViewId="0">
      <selection activeCell="H23" sqref="H23"/>
    </sheetView>
  </sheetViews>
  <sheetFormatPr defaultColWidth="9.1796875" defaultRowHeight="14"/>
  <cols>
    <col min="1" max="1" width="12.7265625" style="398" customWidth="1"/>
    <col min="2" max="2" width="14.7265625" style="398" customWidth="1"/>
    <col min="3" max="3" width="45" style="398" customWidth="1"/>
    <col min="4" max="4" width="13" style="398" customWidth="1"/>
    <col min="5" max="5" width="12" style="398" customWidth="1"/>
    <col min="6" max="6" width="11.1796875" style="398" customWidth="1"/>
    <col min="7" max="7" width="15.1796875" style="398" customWidth="1"/>
    <col min="8" max="8" width="9.1796875" style="398"/>
    <col min="9" max="9" width="12.54296875" style="398" customWidth="1"/>
    <col min="10" max="10" width="18.54296875" style="398" customWidth="1"/>
    <col min="11" max="16384" width="9.1796875" style="398"/>
  </cols>
  <sheetData>
    <row r="1" spans="1:10">
      <c r="H1" s="1871" t="s">
        <v>553</v>
      </c>
      <c r="I1" s="1871"/>
      <c r="J1" s="1871"/>
    </row>
    <row r="2" spans="1:10" ht="32.25" customHeight="1">
      <c r="A2" s="1872" t="s">
        <v>889</v>
      </c>
      <c r="B2" s="1872"/>
      <c r="C2" s="1872"/>
      <c r="D2" s="1872"/>
      <c r="E2" s="1872"/>
      <c r="F2" s="1872"/>
      <c r="G2" s="1872"/>
      <c r="H2" s="1872"/>
      <c r="I2" s="1872"/>
      <c r="J2" s="1872"/>
    </row>
    <row r="3" spans="1:10" ht="57.75" customHeight="1">
      <c r="A3" s="656"/>
      <c r="B3" s="656" t="s">
        <v>0</v>
      </c>
      <c r="C3" s="656" t="s">
        <v>28</v>
      </c>
      <c r="D3" s="656" t="s">
        <v>912</v>
      </c>
      <c r="E3" s="656" t="s">
        <v>546</v>
      </c>
      <c r="F3" s="656" t="s">
        <v>547</v>
      </c>
      <c r="G3" s="656" t="s">
        <v>551</v>
      </c>
      <c r="H3" s="656" t="s">
        <v>548</v>
      </c>
      <c r="I3" s="656" t="s">
        <v>550</v>
      </c>
      <c r="J3" s="656" t="s">
        <v>552</v>
      </c>
    </row>
    <row r="4" spans="1:10" ht="98">
      <c r="A4" s="399" t="s">
        <v>890</v>
      </c>
      <c r="B4" s="397" t="s">
        <v>238</v>
      </c>
      <c r="C4" s="397" t="s">
        <v>889</v>
      </c>
      <c r="D4" s="399" t="s">
        <v>240</v>
      </c>
      <c r="E4" s="399" t="s">
        <v>549</v>
      </c>
      <c r="F4" s="399">
        <v>1</v>
      </c>
      <c r="G4" s="399">
        <v>11840</v>
      </c>
      <c r="H4" s="399">
        <v>1.21</v>
      </c>
      <c r="I4" s="399">
        <f>G4*H4</f>
        <v>14326.4</v>
      </c>
      <c r="J4" s="660">
        <f>ROUND(SUM(F4*I4),0)</f>
        <v>14326</v>
      </c>
    </row>
  </sheetData>
  <mergeCells count="2">
    <mergeCell ref="H1:J1"/>
    <mergeCell ref="A2:J2"/>
  </mergeCells>
  <pageMargins left="0.7" right="0.7" top="0.75" bottom="0.75" header="0.3" footer="0.3"/>
  <pageSetup paperSize="9"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F10B8-FE18-4FA2-932F-BA7703A51438}">
  <sheetPr>
    <tabColor theme="9" tint="0.79998168889431442"/>
  </sheetPr>
  <dimension ref="A1:J6"/>
  <sheetViews>
    <sheetView workbookViewId="0">
      <selection activeCell="J7" sqref="J7"/>
    </sheetView>
  </sheetViews>
  <sheetFormatPr defaultColWidth="9.1796875" defaultRowHeight="13"/>
  <cols>
    <col min="1" max="1" width="13.1796875" style="297" customWidth="1"/>
    <col min="2" max="2" width="19" style="297" customWidth="1"/>
    <col min="3" max="3" width="44.81640625" style="297" customWidth="1"/>
    <col min="4" max="4" width="23.453125" style="297" customWidth="1"/>
    <col min="5" max="5" width="12.453125" style="297" customWidth="1"/>
    <col min="6" max="6" width="13.453125" style="297" customWidth="1"/>
    <col min="7" max="16384" width="9.1796875" style="297"/>
  </cols>
  <sheetData>
    <row r="1" spans="1:10">
      <c r="I1" s="1555" t="s">
        <v>895</v>
      </c>
      <c r="J1" s="1555"/>
    </row>
    <row r="2" spans="1:10">
      <c r="A2" s="1741" t="s">
        <v>896</v>
      </c>
      <c r="B2" s="1741"/>
      <c r="C2" s="1741"/>
      <c r="D2" s="1741"/>
      <c r="E2" s="1741"/>
      <c r="F2" s="1741"/>
      <c r="G2" s="1741"/>
      <c r="H2" s="1741"/>
      <c r="I2" s="1741"/>
      <c r="J2" s="1741"/>
    </row>
    <row r="3" spans="1:10" ht="65">
      <c r="A3" s="300"/>
      <c r="B3" s="300" t="s">
        <v>0</v>
      </c>
      <c r="C3" s="300" t="s">
        <v>28</v>
      </c>
      <c r="D3" s="300" t="s">
        <v>912</v>
      </c>
      <c r="E3" s="300" t="s">
        <v>546</v>
      </c>
      <c r="F3" s="300" t="s">
        <v>547</v>
      </c>
      <c r="G3" s="300" t="s">
        <v>894</v>
      </c>
      <c r="H3" s="300" t="s">
        <v>548</v>
      </c>
      <c r="I3" s="300" t="s">
        <v>893</v>
      </c>
      <c r="J3" s="300" t="s">
        <v>892</v>
      </c>
    </row>
    <row r="4" spans="1:10">
      <c r="A4" s="1873" t="s">
        <v>890</v>
      </c>
      <c r="B4" s="1874" t="s">
        <v>238</v>
      </c>
      <c r="C4" s="1874" t="s">
        <v>199</v>
      </c>
      <c r="D4" s="1874" t="s">
        <v>241</v>
      </c>
      <c r="E4" s="657" t="s">
        <v>549</v>
      </c>
      <c r="F4" s="657">
        <v>3</v>
      </c>
      <c r="G4" s="657">
        <v>11840</v>
      </c>
      <c r="H4" s="657">
        <v>21</v>
      </c>
      <c r="I4" s="657">
        <f>G4*1.21</f>
        <v>14326.4</v>
      </c>
      <c r="J4" s="658">
        <f>SUM(F4*I4)</f>
        <v>42979.199999999997</v>
      </c>
    </row>
    <row r="5" spans="1:10">
      <c r="A5" s="1873"/>
      <c r="B5" s="1874"/>
      <c r="C5" s="1874"/>
      <c r="D5" s="1874"/>
      <c r="E5" s="658" t="s">
        <v>891</v>
      </c>
      <c r="F5" s="658">
        <v>3</v>
      </c>
      <c r="G5" s="658">
        <v>13052</v>
      </c>
      <c r="H5" s="657">
        <v>21</v>
      </c>
      <c r="I5" s="658">
        <f>G5*1.21</f>
        <v>15792.92</v>
      </c>
      <c r="J5" s="658">
        <f>SUM(F5*I5)</f>
        <v>47378.76</v>
      </c>
    </row>
    <row r="6" spans="1:10">
      <c r="E6" s="419"/>
      <c r="F6" s="419"/>
      <c r="G6" s="419"/>
      <c r="H6" s="419"/>
      <c r="I6" s="419"/>
      <c r="J6" s="659">
        <f>ROUND(SUM(J4:J5),0)</f>
        <v>90358</v>
      </c>
    </row>
  </sheetData>
  <mergeCells count="6">
    <mergeCell ref="I1:J1"/>
    <mergeCell ref="A4:A5"/>
    <mergeCell ref="B4:B5"/>
    <mergeCell ref="C4:C5"/>
    <mergeCell ref="D4:D5"/>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3FB71-C80B-4095-923A-3EA09D8B45E8}">
  <dimension ref="A1:C7"/>
  <sheetViews>
    <sheetView zoomScale="73" zoomScaleNormal="73" workbookViewId="0">
      <selection activeCell="H21" sqref="H21"/>
    </sheetView>
  </sheetViews>
  <sheetFormatPr defaultColWidth="9.1796875" defaultRowHeight="14.5"/>
  <cols>
    <col min="1" max="1" width="9.1796875" style="86"/>
    <col min="2" max="2" width="56.453125" style="86" customWidth="1"/>
    <col min="3" max="3" width="16.1796875" style="86" customWidth="1"/>
    <col min="4" max="16384" width="9.1796875" style="86"/>
  </cols>
  <sheetData>
    <row r="1" spans="1:3">
      <c r="C1" s="290" t="s">
        <v>422</v>
      </c>
    </row>
    <row r="2" spans="1:3" ht="57" customHeight="1">
      <c r="A2" s="1551" t="s">
        <v>423</v>
      </c>
      <c r="B2" s="1551"/>
      <c r="C2" s="1551"/>
    </row>
    <row r="3" spans="1:3" ht="58">
      <c r="A3" s="291" t="s">
        <v>415</v>
      </c>
      <c r="B3" s="292" t="s">
        <v>416</v>
      </c>
      <c r="C3" s="292" t="s">
        <v>417</v>
      </c>
    </row>
    <row r="4" spans="1:3" ht="23">
      <c r="A4" s="293">
        <v>1</v>
      </c>
      <c r="B4" s="294" t="s">
        <v>418</v>
      </c>
      <c r="C4" s="295">
        <v>16300</v>
      </c>
    </row>
    <row r="5" spans="1:3" ht="23">
      <c r="A5" s="293">
        <v>2</v>
      </c>
      <c r="B5" s="294" t="s">
        <v>424</v>
      </c>
      <c r="C5" s="295">
        <v>20000</v>
      </c>
    </row>
    <row r="6" spans="1:3">
      <c r="A6" s="1552" t="s">
        <v>420</v>
      </c>
      <c r="B6" s="1553"/>
      <c r="C6" s="296">
        <f>C4+C5</f>
        <v>36300</v>
      </c>
    </row>
    <row r="7" spans="1:3">
      <c r="A7" s="1554" t="s">
        <v>421</v>
      </c>
      <c r="B7" s="1554"/>
    </row>
  </sheetData>
  <mergeCells count="3">
    <mergeCell ref="A2:C2"/>
    <mergeCell ref="A6:B6"/>
    <mergeCell ref="A7:B7"/>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E3002-8E57-4776-B6FB-1153593456B3}">
  <sheetPr>
    <tabColor theme="9" tint="0.79998168889431442"/>
  </sheetPr>
  <dimension ref="A1:J6"/>
  <sheetViews>
    <sheetView workbookViewId="0">
      <selection activeCell="J7" sqref="J7"/>
    </sheetView>
  </sheetViews>
  <sheetFormatPr defaultColWidth="9.1796875" defaultRowHeight="13"/>
  <cols>
    <col min="1" max="1" width="13.1796875" style="297" customWidth="1"/>
    <col min="2" max="2" width="19" style="297" customWidth="1"/>
    <col min="3" max="3" width="33.453125" style="297" customWidth="1"/>
    <col min="4" max="4" width="23.453125" style="297" customWidth="1"/>
    <col min="5" max="5" width="12.453125" style="297" customWidth="1"/>
    <col min="6" max="6" width="13.453125" style="297" customWidth="1"/>
    <col min="7" max="16384" width="9.1796875" style="297"/>
  </cols>
  <sheetData>
    <row r="1" spans="1:10">
      <c r="H1" s="1555" t="s">
        <v>897</v>
      </c>
      <c r="I1" s="1555"/>
      <c r="J1" s="1555"/>
    </row>
    <row r="2" spans="1:10" ht="27.75" customHeight="1">
      <c r="A2" s="1551" t="s">
        <v>898</v>
      </c>
      <c r="B2" s="1551"/>
      <c r="C2" s="1551"/>
      <c r="D2" s="1551"/>
      <c r="E2" s="1551"/>
      <c r="F2" s="1551"/>
      <c r="G2" s="1551"/>
      <c r="H2" s="1551"/>
      <c r="I2" s="1551"/>
      <c r="J2" s="1551"/>
    </row>
    <row r="3" spans="1:10" ht="65">
      <c r="A3" s="300"/>
      <c r="B3" s="300" t="s">
        <v>0</v>
      </c>
      <c r="C3" s="300" t="s">
        <v>28</v>
      </c>
      <c r="D3" s="300" t="s">
        <v>912</v>
      </c>
      <c r="E3" s="300" t="s">
        <v>546</v>
      </c>
      <c r="F3" s="300" t="s">
        <v>547</v>
      </c>
      <c r="G3" s="300" t="s">
        <v>894</v>
      </c>
      <c r="H3" s="300" t="s">
        <v>548</v>
      </c>
      <c r="I3" s="300" t="s">
        <v>893</v>
      </c>
      <c r="J3" s="300" t="s">
        <v>892</v>
      </c>
    </row>
    <row r="4" spans="1:10">
      <c r="A4" s="1874" t="s">
        <v>890</v>
      </c>
      <c r="B4" s="1874" t="s">
        <v>238</v>
      </c>
      <c r="C4" s="1875" t="s">
        <v>242</v>
      </c>
      <c r="D4" s="1875" t="s">
        <v>243</v>
      </c>
      <c r="E4" s="304" t="s">
        <v>549</v>
      </c>
      <c r="F4" s="304">
        <v>1</v>
      </c>
      <c r="G4" s="304">
        <v>11840</v>
      </c>
      <c r="H4" s="304">
        <v>21</v>
      </c>
      <c r="I4" s="304">
        <f>G4*1.21</f>
        <v>14326.4</v>
      </c>
      <c r="J4" s="344">
        <f>SUM(F4*I4)</f>
        <v>14326.4</v>
      </c>
    </row>
    <row r="5" spans="1:10">
      <c r="A5" s="1874"/>
      <c r="B5" s="1874"/>
      <c r="C5" s="1876"/>
      <c r="D5" s="1876"/>
      <c r="E5" s="344" t="s">
        <v>891</v>
      </c>
      <c r="F5" s="344">
        <v>1</v>
      </c>
      <c r="G5" s="344">
        <v>13052</v>
      </c>
      <c r="H5" s="304">
        <v>21</v>
      </c>
      <c r="I5" s="344">
        <f>G5*1.21</f>
        <v>15792.92</v>
      </c>
      <c r="J5" s="344">
        <f>SUM(F5*I5)</f>
        <v>15792.92</v>
      </c>
    </row>
    <row r="6" spans="1:10">
      <c r="E6" s="460"/>
      <c r="F6" s="460"/>
      <c r="G6" s="460"/>
      <c r="H6" s="460"/>
      <c r="I6" s="460"/>
      <c r="J6" s="661">
        <f>ROUND(SUM(J4:J5),0)</f>
        <v>30119</v>
      </c>
    </row>
  </sheetData>
  <mergeCells count="6">
    <mergeCell ref="A4:A5"/>
    <mergeCell ref="B4:B5"/>
    <mergeCell ref="C4:C5"/>
    <mergeCell ref="D4:D5"/>
    <mergeCell ref="H1:J1"/>
    <mergeCell ref="A2:J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E1611-49C0-424F-A708-18EDF731E4C0}">
  <sheetPr>
    <tabColor theme="9" tint="0.79998168889431442"/>
  </sheetPr>
  <dimension ref="A1:J6"/>
  <sheetViews>
    <sheetView workbookViewId="0">
      <selection activeCell="J7" sqref="J7"/>
    </sheetView>
  </sheetViews>
  <sheetFormatPr defaultColWidth="9.1796875" defaultRowHeight="13"/>
  <cols>
    <col min="1" max="1" width="13.1796875" style="297" customWidth="1"/>
    <col min="2" max="2" width="19" style="297" customWidth="1"/>
    <col min="3" max="3" width="44.81640625" style="297" customWidth="1"/>
    <col min="4" max="4" width="23.453125" style="297" customWidth="1"/>
    <col min="5" max="5" width="12.453125" style="297" customWidth="1"/>
    <col min="6" max="6" width="13.453125" style="297" customWidth="1"/>
    <col min="7" max="16384" width="9.1796875" style="297"/>
  </cols>
  <sheetData>
    <row r="1" spans="1:10">
      <c r="H1" s="1555" t="s">
        <v>900</v>
      </c>
      <c r="I1" s="1555"/>
      <c r="J1" s="1555"/>
    </row>
    <row r="2" spans="1:10">
      <c r="A2" s="1741" t="s">
        <v>901</v>
      </c>
      <c r="B2" s="1741"/>
      <c r="C2" s="1741"/>
      <c r="D2" s="1741"/>
      <c r="E2" s="1741"/>
      <c r="F2" s="1741"/>
      <c r="G2" s="1741"/>
      <c r="H2" s="1741"/>
      <c r="I2" s="1741"/>
      <c r="J2" s="1741"/>
    </row>
    <row r="3" spans="1:10" ht="65">
      <c r="A3" s="300"/>
      <c r="B3" s="300" t="s">
        <v>0</v>
      </c>
      <c r="C3" s="300" t="s">
        <v>28</v>
      </c>
      <c r="D3" s="300" t="s">
        <v>912</v>
      </c>
      <c r="E3" s="300" t="s">
        <v>546</v>
      </c>
      <c r="F3" s="300" t="s">
        <v>547</v>
      </c>
      <c r="G3" s="300" t="s">
        <v>894</v>
      </c>
      <c r="H3" s="300" t="s">
        <v>548</v>
      </c>
      <c r="I3" s="300" t="s">
        <v>893</v>
      </c>
      <c r="J3" s="300" t="s">
        <v>892</v>
      </c>
    </row>
    <row r="4" spans="1:10">
      <c r="A4" s="1572" t="s">
        <v>890</v>
      </c>
      <c r="B4" s="1572" t="s">
        <v>238</v>
      </c>
      <c r="C4" s="1877" t="s">
        <v>899</v>
      </c>
      <c r="D4" s="1877" t="s">
        <v>240</v>
      </c>
      <c r="E4" s="657" t="s">
        <v>549</v>
      </c>
      <c r="F4" s="657">
        <v>1</v>
      </c>
      <c r="G4" s="657">
        <v>11840</v>
      </c>
      <c r="H4" s="657">
        <v>21</v>
      </c>
      <c r="I4" s="657">
        <f>G4*1.21</f>
        <v>14326.4</v>
      </c>
      <c r="J4" s="658">
        <f>SUM(F4*I4)</f>
        <v>14326.4</v>
      </c>
    </row>
    <row r="5" spans="1:10">
      <c r="A5" s="1572"/>
      <c r="B5" s="1572"/>
      <c r="C5" s="1878"/>
      <c r="D5" s="1878"/>
      <c r="E5" s="658" t="s">
        <v>891</v>
      </c>
      <c r="F5" s="658">
        <v>1</v>
      </c>
      <c r="G5" s="658">
        <v>13052</v>
      </c>
      <c r="H5" s="657">
        <v>21</v>
      </c>
      <c r="I5" s="658">
        <f>G5*1.21</f>
        <v>15792.92</v>
      </c>
      <c r="J5" s="658">
        <f>SUM(F5*I5)</f>
        <v>15792.92</v>
      </c>
    </row>
    <row r="6" spans="1:10">
      <c r="E6" s="419"/>
      <c r="F6" s="419"/>
      <c r="G6" s="419"/>
      <c r="H6" s="419"/>
      <c r="I6" s="419"/>
      <c r="J6" s="659">
        <f>ROUND(SUM(J4:J5),0)</f>
        <v>30119</v>
      </c>
    </row>
  </sheetData>
  <mergeCells count="6">
    <mergeCell ref="A4:A5"/>
    <mergeCell ref="B4:B5"/>
    <mergeCell ref="C4:C5"/>
    <mergeCell ref="D4:D5"/>
    <mergeCell ref="H1:J1"/>
    <mergeCell ref="A2:J2"/>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DC680-EB4E-40CC-8ED2-ED77C063AEB7}">
  <sheetPr>
    <tabColor theme="9" tint="0.79998168889431442"/>
  </sheetPr>
  <dimension ref="A1:J6"/>
  <sheetViews>
    <sheetView workbookViewId="0">
      <selection activeCell="J7" sqref="J7"/>
    </sheetView>
  </sheetViews>
  <sheetFormatPr defaultColWidth="9.1796875" defaultRowHeight="13"/>
  <cols>
    <col min="1" max="1" width="13.1796875" style="297" customWidth="1"/>
    <col min="2" max="2" width="19" style="297" customWidth="1"/>
    <col min="3" max="3" width="44.81640625" style="297" customWidth="1"/>
    <col min="4" max="4" width="23.453125" style="297" customWidth="1"/>
    <col min="5" max="5" width="12.453125" style="297" customWidth="1"/>
    <col min="6" max="6" width="13.453125" style="297" customWidth="1"/>
    <col min="7" max="16384" width="9.1796875" style="297"/>
  </cols>
  <sheetData>
    <row r="1" spans="1:10">
      <c r="H1" s="1623" t="s">
        <v>902</v>
      </c>
      <c r="I1" s="1623"/>
      <c r="J1" s="1623"/>
    </row>
    <row r="2" spans="1:10">
      <c r="A2" s="1741" t="s">
        <v>903</v>
      </c>
      <c r="B2" s="1741"/>
      <c r="C2" s="1741"/>
      <c r="D2" s="1741"/>
      <c r="E2" s="1741"/>
      <c r="F2" s="1741"/>
      <c r="G2" s="1741"/>
      <c r="H2" s="1741"/>
      <c r="I2" s="1741"/>
      <c r="J2" s="1741"/>
    </row>
    <row r="3" spans="1:10" ht="65">
      <c r="A3" s="300"/>
      <c r="B3" s="300" t="s">
        <v>0</v>
      </c>
      <c r="C3" s="300" t="s">
        <v>28</v>
      </c>
      <c r="D3" s="300" t="s">
        <v>912</v>
      </c>
      <c r="E3" s="300" t="s">
        <v>546</v>
      </c>
      <c r="F3" s="300" t="s">
        <v>547</v>
      </c>
      <c r="G3" s="300" t="s">
        <v>894</v>
      </c>
      <c r="H3" s="300" t="s">
        <v>548</v>
      </c>
      <c r="I3" s="300" t="s">
        <v>893</v>
      </c>
      <c r="J3" s="300" t="s">
        <v>892</v>
      </c>
    </row>
    <row r="4" spans="1:10">
      <c r="A4" s="1572" t="s">
        <v>890</v>
      </c>
      <c r="B4" s="1833" t="s">
        <v>238</v>
      </c>
      <c r="C4" s="1879" t="s">
        <v>244</v>
      </c>
      <c r="D4" s="1875" t="s">
        <v>245</v>
      </c>
      <c r="E4" s="385" t="s">
        <v>549</v>
      </c>
      <c r="F4" s="304">
        <v>1</v>
      </c>
      <c r="G4" s="304">
        <v>11840</v>
      </c>
      <c r="H4" s="304">
        <v>21</v>
      </c>
      <c r="I4" s="304">
        <f>G4*1.21</f>
        <v>14326.4</v>
      </c>
      <c r="J4" s="344">
        <f>SUM(F4*I4)</f>
        <v>14326.4</v>
      </c>
    </row>
    <row r="5" spans="1:10">
      <c r="A5" s="1572"/>
      <c r="B5" s="1833"/>
      <c r="C5" s="1880"/>
      <c r="D5" s="1876"/>
      <c r="E5" s="384" t="s">
        <v>891</v>
      </c>
      <c r="F5" s="344">
        <v>1</v>
      </c>
      <c r="G5" s="344">
        <v>13052</v>
      </c>
      <c r="H5" s="304">
        <v>21</v>
      </c>
      <c r="I5" s="1262">
        <f>G5*1.21</f>
        <v>15792.92</v>
      </c>
      <c r="J5" s="344">
        <f>SUM(F5*I5)</f>
        <v>15792.92</v>
      </c>
    </row>
    <row r="6" spans="1:10">
      <c r="F6" s="460"/>
      <c r="G6" s="460"/>
      <c r="H6" s="460"/>
      <c r="I6" s="460"/>
      <c r="J6" s="661">
        <f>ROUND(SUM(J4:J5),0)</f>
        <v>30119</v>
      </c>
    </row>
  </sheetData>
  <mergeCells count="6">
    <mergeCell ref="A4:A5"/>
    <mergeCell ref="B4:B5"/>
    <mergeCell ref="C4:C5"/>
    <mergeCell ref="D4:D5"/>
    <mergeCell ref="H1:J1"/>
    <mergeCell ref="A2:J2"/>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DCB6B-12BB-43DD-8B2D-6A3002F4ED1F}">
  <sheetPr>
    <tabColor theme="9" tint="0.79998168889431442"/>
  </sheetPr>
  <dimension ref="A1:J4"/>
  <sheetViews>
    <sheetView workbookViewId="0">
      <selection activeCell="J5" sqref="J5"/>
    </sheetView>
  </sheetViews>
  <sheetFormatPr defaultColWidth="9.1796875" defaultRowHeight="13"/>
  <cols>
    <col min="1" max="1" width="13.1796875" style="297" customWidth="1"/>
    <col min="2" max="2" width="19" style="297" customWidth="1"/>
    <col min="3" max="3" width="44.81640625" style="297" customWidth="1"/>
    <col min="4" max="4" width="23.453125" style="297" customWidth="1"/>
    <col min="5" max="5" width="12.453125" style="297" customWidth="1"/>
    <col min="6" max="6" width="13.453125" style="297" customWidth="1"/>
    <col min="7" max="16384" width="9.1796875" style="297"/>
  </cols>
  <sheetData>
    <row r="1" spans="1:10">
      <c r="H1" s="1623" t="s">
        <v>904</v>
      </c>
      <c r="I1" s="1623"/>
      <c r="J1" s="1623"/>
    </row>
    <row r="2" spans="1:10">
      <c r="A2" s="1741" t="s">
        <v>151</v>
      </c>
      <c r="B2" s="1741"/>
      <c r="C2" s="1741"/>
      <c r="D2" s="1741"/>
      <c r="E2" s="1741"/>
      <c r="F2" s="1741"/>
      <c r="G2" s="1741"/>
      <c r="H2" s="1741"/>
      <c r="I2" s="1741"/>
      <c r="J2" s="1741"/>
    </row>
    <row r="3" spans="1:10" ht="65">
      <c r="A3" s="300"/>
      <c r="B3" s="300" t="s">
        <v>0</v>
      </c>
      <c r="C3" s="300" t="s">
        <v>28</v>
      </c>
      <c r="D3" s="300" t="s">
        <v>912</v>
      </c>
      <c r="E3" s="300" t="s">
        <v>546</v>
      </c>
      <c r="F3" s="300" t="s">
        <v>547</v>
      </c>
      <c r="G3" s="300" t="s">
        <v>894</v>
      </c>
      <c r="H3" s="300" t="s">
        <v>548</v>
      </c>
      <c r="I3" s="300" t="s">
        <v>893</v>
      </c>
      <c r="J3" s="300" t="s">
        <v>892</v>
      </c>
    </row>
    <row r="4" spans="1:10" ht="65">
      <c r="A4" s="418" t="s">
        <v>890</v>
      </c>
      <c r="B4" s="418" t="s">
        <v>238</v>
      </c>
      <c r="C4" s="418" t="s">
        <v>151</v>
      </c>
      <c r="D4" s="418" t="s">
        <v>152</v>
      </c>
      <c r="E4" s="418" t="s">
        <v>549</v>
      </c>
      <c r="F4" s="304">
        <v>2</v>
      </c>
      <c r="G4" s="304">
        <v>11840</v>
      </c>
      <c r="H4" s="304">
        <v>21</v>
      </c>
      <c r="I4" s="304">
        <f>G4*1.21</f>
        <v>14326.4</v>
      </c>
      <c r="J4" s="662">
        <f>ROUND(SUM(F4*I4),0)</f>
        <v>28653</v>
      </c>
    </row>
  </sheetData>
  <mergeCells count="2">
    <mergeCell ref="A2:J2"/>
    <mergeCell ref="H1:J1"/>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75BE0-7A7F-42D6-BD17-3DEA4BE071EA}">
  <sheetPr>
    <tabColor theme="9" tint="0.79998168889431442"/>
  </sheetPr>
  <dimension ref="A1:J4"/>
  <sheetViews>
    <sheetView workbookViewId="0">
      <selection activeCell="J5" sqref="J5"/>
    </sheetView>
  </sheetViews>
  <sheetFormatPr defaultColWidth="9.1796875" defaultRowHeight="13"/>
  <cols>
    <col min="1" max="1" width="13.1796875" style="297" customWidth="1"/>
    <col min="2" max="2" width="19" style="297" customWidth="1"/>
    <col min="3" max="3" width="44.81640625" style="297" customWidth="1"/>
    <col min="4" max="4" width="23.453125" style="297" customWidth="1"/>
    <col min="5" max="5" width="12.453125" style="297" customWidth="1"/>
    <col min="6" max="6" width="13.453125" style="297" customWidth="1"/>
    <col min="7" max="16384" width="9.1796875" style="297"/>
  </cols>
  <sheetData>
    <row r="1" spans="1:10">
      <c r="H1" s="1623" t="s">
        <v>905</v>
      </c>
      <c r="I1" s="1623"/>
      <c r="J1" s="1623"/>
    </row>
    <row r="2" spans="1:10">
      <c r="A2" s="1741" t="s">
        <v>906</v>
      </c>
      <c r="B2" s="1741"/>
      <c r="C2" s="1741"/>
      <c r="D2" s="1741"/>
      <c r="E2" s="1741"/>
      <c r="F2" s="1741"/>
      <c r="G2" s="1741"/>
      <c r="H2" s="1741"/>
      <c r="I2" s="1741"/>
      <c r="J2" s="1741"/>
    </row>
    <row r="3" spans="1:10" ht="65">
      <c r="A3" s="300"/>
      <c r="B3" s="300" t="s">
        <v>0</v>
      </c>
      <c r="C3" s="300" t="s">
        <v>28</v>
      </c>
      <c r="D3" s="300" t="s">
        <v>912</v>
      </c>
      <c r="E3" s="300" t="s">
        <v>546</v>
      </c>
      <c r="F3" s="300" t="s">
        <v>547</v>
      </c>
      <c r="G3" s="300" t="s">
        <v>894</v>
      </c>
      <c r="H3" s="300" t="s">
        <v>548</v>
      </c>
      <c r="I3" s="300" t="s">
        <v>893</v>
      </c>
      <c r="J3" s="300" t="s">
        <v>892</v>
      </c>
    </row>
    <row r="4" spans="1:10" ht="65">
      <c r="A4" s="418" t="s">
        <v>890</v>
      </c>
      <c r="B4" s="418" t="s">
        <v>238</v>
      </c>
      <c r="C4" s="418" t="s">
        <v>250</v>
      </c>
      <c r="D4" s="418" t="s">
        <v>246</v>
      </c>
      <c r="E4" s="304" t="s">
        <v>549</v>
      </c>
      <c r="F4" s="304">
        <v>1</v>
      </c>
      <c r="G4" s="304">
        <v>11840</v>
      </c>
      <c r="H4" s="304">
        <v>21</v>
      </c>
      <c r="I4" s="304">
        <f>G4*1.21</f>
        <v>14326.4</v>
      </c>
      <c r="J4" s="662">
        <f>ROUND(SUM(F4*I4),0)</f>
        <v>14326</v>
      </c>
    </row>
  </sheetData>
  <mergeCells count="2">
    <mergeCell ref="H1:J1"/>
    <mergeCell ref="A2:J2"/>
  </mergeCells>
  <pageMargins left="0.7" right="0.7" top="0.75" bottom="0.75" header="0.3" footer="0.3"/>
  <pageSetup paperSize="9"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964E6-37DF-4309-8C80-3C2BFBF65FE9}">
  <sheetPr>
    <tabColor theme="9" tint="0.79998168889431442"/>
  </sheetPr>
  <dimension ref="A1:J4"/>
  <sheetViews>
    <sheetView workbookViewId="0">
      <selection activeCell="J5" sqref="J5"/>
    </sheetView>
  </sheetViews>
  <sheetFormatPr defaultColWidth="9.1796875" defaultRowHeight="13"/>
  <cols>
    <col min="1" max="1" width="13.1796875" style="297" customWidth="1"/>
    <col min="2" max="2" width="19" style="297" customWidth="1"/>
    <col min="3" max="3" width="44.81640625" style="297" customWidth="1"/>
    <col min="4" max="4" width="26" style="297" customWidth="1"/>
    <col min="5" max="5" width="12.453125" style="297" customWidth="1"/>
    <col min="6" max="6" width="13.453125" style="297" customWidth="1"/>
    <col min="7" max="16384" width="9.1796875" style="297"/>
  </cols>
  <sheetData>
    <row r="1" spans="1:10">
      <c r="H1" s="1555" t="s">
        <v>907</v>
      </c>
      <c r="I1" s="1555"/>
      <c r="J1" s="1555"/>
    </row>
    <row r="2" spans="1:10">
      <c r="A2" s="1741" t="s">
        <v>908</v>
      </c>
      <c r="B2" s="1741"/>
      <c r="C2" s="1741"/>
      <c r="D2" s="1741"/>
      <c r="E2" s="1741"/>
      <c r="F2" s="1741"/>
      <c r="G2" s="1741"/>
      <c r="H2" s="1741"/>
      <c r="I2" s="1741"/>
      <c r="J2" s="1741"/>
    </row>
    <row r="3" spans="1:10" ht="65">
      <c r="A3" s="300"/>
      <c r="B3" s="300" t="s">
        <v>0</v>
      </c>
      <c r="C3" s="300" t="s">
        <v>28</v>
      </c>
      <c r="D3" s="300" t="s">
        <v>912</v>
      </c>
      <c r="E3" s="300" t="s">
        <v>546</v>
      </c>
      <c r="F3" s="300" t="s">
        <v>547</v>
      </c>
      <c r="G3" s="300" t="s">
        <v>894</v>
      </c>
      <c r="H3" s="300" t="s">
        <v>548</v>
      </c>
      <c r="I3" s="300" t="s">
        <v>893</v>
      </c>
      <c r="J3" s="300" t="s">
        <v>892</v>
      </c>
    </row>
    <row r="4" spans="1:10" ht="70.5" customHeight="1">
      <c r="A4" s="577" t="s">
        <v>890</v>
      </c>
      <c r="B4" s="577" t="s">
        <v>238</v>
      </c>
      <c r="C4" s="577" t="s">
        <v>251</v>
      </c>
      <c r="D4" s="385" t="s">
        <v>252</v>
      </c>
      <c r="E4" s="304" t="s">
        <v>549</v>
      </c>
      <c r="F4" s="304">
        <v>1</v>
      </c>
      <c r="G4" s="304">
        <v>11840</v>
      </c>
      <c r="H4" s="304">
        <v>21</v>
      </c>
      <c r="I4" s="304">
        <f>G4*1.21</f>
        <v>14326.4</v>
      </c>
      <c r="J4" s="662">
        <f>ROUND(SUM(F4*I4),0)</f>
        <v>14326</v>
      </c>
    </row>
  </sheetData>
  <mergeCells count="2">
    <mergeCell ref="H1:J1"/>
    <mergeCell ref="A2:J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A3F8E-5E87-4571-B226-D5F5A6E617AE}">
  <sheetPr>
    <tabColor theme="9" tint="0.79998168889431442"/>
  </sheetPr>
  <dimension ref="A1:J7"/>
  <sheetViews>
    <sheetView workbookViewId="0">
      <selection activeCell="J8" sqref="J8"/>
    </sheetView>
  </sheetViews>
  <sheetFormatPr defaultColWidth="9.1796875" defaultRowHeight="13"/>
  <cols>
    <col min="1" max="1" width="13.1796875" style="297" customWidth="1"/>
    <col min="2" max="2" width="19" style="297" customWidth="1"/>
    <col min="3" max="3" width="44.81640625" style="297" customWidth="1"/>
    <col min="4" max="4" width="23.453125" style="297" customWidth="1"/>
    <col min="5" max="5" width="12.453125" style="297" customWidth="1"/>
    <col min="6" max="6" width="13.453125" style="297" customWidth="1"/>
    <col min="7" max="16384" width="9.1796875" style="297"/>
  </cols>
  <sheetData>
    <row r="1" spans="1:10">
      <c r="H1" s="1623" t="s">
        <v>909</v>
      </c>
      <c r="I1" s="1623"/>
      <c r="J1" s="1623"/>
    </row>
    <row r="2" spans="1:10">
      <c r="A2" s="1741" t="s">
        <v>247</v>
      </c>
      <c r="B2" s="1741"/>
      <c r="C2" s="1741"/>
      <c r="D2" s="1741"/>
      <c r="E2" s="1741"/>
      <c r="F2" s="1741"/>
      <c r="G2" s="1741"/>
      <c r="H2" s="1741"/>
      <c r="I2" s="1741"/>
      <c r="J2" s="1741"/>
    </row>
    <row r="3" spans="1:10" ht="65">
      <c r="A3" s="300"/>
      <c r="B3" s="300" t="s">
        <v>0</v>
      </c>
      <c r="C3" s="300" t="s">
        <v>28</v>
      </c>
      <c r="D3" s="300" t="s">
        <v>912</v>
      </c>
      <c r="E3" s="300" t="s">
        <v>546</v>
      </c>
      <c r="F3" s="300" t="s">
        <v>547</v>
      </c>
      <c r="G3" s="300" t="s">
        <v>894</v>
      </c>
      <c r="H3" s="300" t="s">
        <v>548</v>
      </c>
      <c r="I3" s="300" t="s">
        <v>893</v>
      </c>
      <c r="J3" s="300" t="s">
        <v>892</v>
      </c>
    </row>
    <row r="4" spans="1:10">
      <c r="A4" s="1572" t="s">
        <v>890</v>
      </c>
      <c r="B4" s="1572" t="s">
        <v>238</v>
      </c>
      <c r="C4" s="1572" t="s">
        <v>247</v>
      </c>
      <c r="D4" s="1833" t="s">
        <v>248</v>
      </c>
      <c r="E4" s="304" t="s">
        <v>549</v>
      </c>
      <c r="F4" s="304">
        <v>1</v>
      </c>
      <c r="G4" s="304">
        <v>11840</v>
      </c>
      <c r="H4" s="304">
        <v>21</v>
      </c>
      <c r="I4" s="304">
        <f>G4*1.21</f>
        <v>14326.4</v>
      </c>
      <c r="J4" s="344">
        <f>SUM(F4*I4)</f>
        <v>14326.4</v>
      </c>
    </row>
    <row r="5" spans="1:10">
      <c r="A5" s="1572"/>
      <c r="B5" s="1572"/>
      <c r="C5" s="1572"/>
      <c r="D5" s="1833"/>
      <c r="E5" s="344" t="s">
        <v>891</v>
      </c>
      <c r="F5" s="344">
        <v>1</v>
      </c>
      <c r="G5" s="344">
        <v>13052</v>
      </c>
      <c r="H5" s="304">
        <v>21</v>
      </c>
      <c r="I5" s="1262">
        <f t="shared" ref="I5:I6" si="0">G5*1.21</f>
        <v>15792.92</v>
      </c>
      <c r="J5" s="344">
        <f>SUM(F5*I5)</f>
        <v>15792.92</v>
      </c>
    </row>
    <row r="6" spans="1:10">
      <c r="A6" s="1572"/>
      <c r="B6" s="1572"/>
      <c r="C6" s="1572"/>
      <c r="D6" s="1833"/>
      <c r="E6" s="344" t="s">
        <v>916</v>
      </c>
      <c r="F6" s="344">
        <v>5</v>
      </c>
      <c r="G6" s="344">
        <v>832</v>
      </c>
      <c r="H6" s="304">
        <v>21</v>
      </c>
      <c r="I6" s="1262">
        <f t="shared" si="0"/>
        <v>1006.72</v>
      </c>
      <c r="J6" s="344">
        <f>SUM(F6*I6)</f>
        <v>5033.6000000000004</v>
      </c>
    </row>
    <row r="7" spans="1:10">
      <c r="J7" s="659">
        <f>ROUND(SUM(J4:J6),0)</f>
        <v>35153</v>
      </c>
    </row>
  </sheetData>
  <mergeCells count="6">
    <mergeCell ref="A4:A6"/>
    <mergeCell ref="B4:B6"/>
    <mergeCell ref="C4:C6"/>
    <mergeCell ref="D4:D6"/>
    <mergeCell ref="H1:J1"/>
    <mergeCell ref="A2:J2"/>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42F0F-4BF0-4B16-A31C-4D4B9DF79570}">
  <sheetPr>
    <tabColor theme="9" tint="0.79998168889431442"/>
  </sheetPr>
  <dimension ref="A1:J7"/>
  <sheetViews>
    <sheetView workbookViewId="0">
      <selection activeCell="J8" sqref="J8"/>
    </sheetView>
  </sheetViews>
  <sheetFormatPr defaultColWidth="9.1796875" defaultRowHeight="13"/>
  <cols>
    <col min="1" max="1" width="11.7265625" style="297" customWidth="1"/>
    <col min="2" max="2" width="21.1796875" style="297" customWidth="1"/>
    <col min="3" max="3" width="44.81640625" style="297" customWidth="1"/>
    <col min="4" max="4" width="23.453125" style="297" customWidth="1"/>
    <col min="5" max="5" width="12.453125" style="297" customWidth="1"/>
    <col min="6" max="6" width="13.453125" style="297" customWidth="1"/>
    <col min="7" max="16384" width="9.1796875" style="297"/>
  </cols>
  <sheetData>
    <row r="1" spans="1:10">
      <c r="I1" s="1723" t="s">
        <v>910</v>
      </c>
      <c r="J1" s="1723"/>
    </row>
    <row r="2" spans="1:10">
      <c r="A2" s="1741" t="s">
        <v>911</v>
      </c>
      <c r="B2" s="1741"/>
      <c r="C2" s="1741"/>
      <c r="D2" s="1741"/>
      <c r="E2" s="1741"/>
      <c r="F2" s="1741"/>
      <c r="G2" s="1741"/>
      <c r="H2" s="1741"/>
      <c r="I2" s="1741"/>
      <c r="J2" s="1741"/>
    </row>
    <row r="3" spans="1:10" ht="65">
      <c r="A3" s="300"/>
      <c r="B3" s="300" t="s">
        <v>0</v>
      </c>
      <c r="C3" s="300" t="s">
        <v>28</v>
      </c>
      <c r="D3" s="300" t="s">
        <v>912</v>
      </c>
      <c r="E3" s="300" t="s">
        <v>546</v>
      </c>
      <c r="F3" s="300" t="s">
        <v>547</v>
      </c>
      <c r="G3" s="300" t="s">
        <v>894</v>
      </c>
      <c r="H3" s="300" t="s">
        <v>548</v>
      </c>
      <c r="I3" s="300" t="s">
        <v>893</v>
      </c>
      <c r="J3" s="300" t="s">
        <v>892</v>
      </c>
    </row>
    <row r="4" spans="1:10">
      <c r="A4" s="1572" t="s">
        <v>890</v>
      </c>
      <c r="B4" s="1572" t="s">
        <v>238</v>
      </c>
      <c r="C4" s="1572" t="s">
        <v>911</v>
      </c>
      <c r="D4" s="1833" t="s">
        <v>1572</v>
      </c>
      <c r="E4" s="657" t="s">
        <v>549</v>
      </c>
      <c r="F4" s="657">
        <v>1</v>
      </c>
      <c r="G4" s="657">
        <v>11840</v>
      </c>
      <c r="H4" s="657">
        <v>21</v>
      </c>
      <c r="I4" s="657">
        <f>G4*1.21</f>
        <v>14326.4</v>
      </c>
      <c r="J4" s="658">
        <f>SUM(F4*I4)</f>
        <v>14326.4</v>
      </c>
    </row>
    <row r="5" spans="1:10">
      <c r="A5" s="1572"/>
      <c r="B5" s="1572"/>
      <c r="C5" s="1572"/>
      <c r="D5" s="1833"/>
      <c r="E5" s="658" t="s">
        <v>891</v>
      </c>
      <c r="F5" s="658">
        <v>1</v>
      </c>
      <c r="G5" s="658">
        <v>13052</v>
      </c>
      <c r="H5" s="657">
        <v>21</v>
      </c>
      <c r="I5" s="1263">
        <f t="shared" ref="I5:I6" si="0">G5*1.21</f>
        <v>15792.92</v>
      </c>
      <c r="J5" s="658">
        <f>SUM(F5*I5)</f>
        <v>15792.92</v>
      </c>
    </row>
    <row r="6" spans="1:10">
      <c r="A6" s="1572"/>
      <c r="B6" s="1572"/>
      <c r="C6" s="1572"/>
      <c r="D6" s="1833"/>
      <c r="E6" s="658" t="s">
        <v>916</v>
      </c>
      <c r="F6" s="658">
        <v>5</v>
      </c>
      <c r="G6" s="658">
        <v>832</v>
      </c>
      <c r="H6" s="657">
        <v>21</v>
      </c>
      <c r="I6" s="1263">
        <f t="shared" si="0"/>
        <v>1006.72</v>
      </c>
      <c r="J6" s="658">
        <f>SUM(F6*I6)</f>
        <v>5033.6000000000004</v>
      </c>
    </row>
    <row r="7" spans="1:10">
      <c r="J7" s="663">
        <f>ROUND(SUM(J4:J6),0)</f>
        <v>35153</v>
      </c>
    </row>
  </sheetData>
  <mergeCells count="6">
    <mergeCell ref="A4:A6"/>
    <mergeCell ref="B4:B6"/>
    <mergeCell ref="C4:C6"/>
    <mergeCell ref="D4:D6"/>
    <mergeCell ref="I1:J1"/>
    <mergeCell ref="A2:J2"/>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A1DD1-B26A-4059-90B7-6EDED3721803}">
  <sheetPr>
    <tabColor theme="9" tint="0.79998168889431442"/>
  </sheetPr>
  <dimension ref="A1:J4"/>
  <sheetViews>
    <sheetView workbookViewId="0">
      <selection activeCell="J4" sqref="J4"/>
    </sheetView>
  </sheetViews>
  <sheetFormatPr defaultColWidth="9.1796875" defaultRowHeight="13"/>
  <cols>
    <col min="1" max="1" width="13.1796875" style="297" customWidth="1"/>
    <col min="2" max="2" width="19" style="297" customWidth="1"/>
    <col min="3" max="3" width="44.81640625" style="297" customWidth="1"/>
    <col min="4" max="4" width="23.453125" style="297" customWidth="1"/>
    <col min="5" max="5" width="12.453125" style="297" customWidth="1"/>
    <col min="6" max="6" width="13.453125" style="297" customWidth="1"/>
    <col min="7" max="16384" width="9.1796875" style="297"/>
  </cols>
  <sheetData>
    <row r="1" spans="1:10">
      <c r="I1" s="1555" t="s">
        <v>913</v>
      </c>
      <c r="J1" s="1555"/>
    </row>
    <row r="2" spans="1:10">
      <c r="A2" s="1741" t="s">
        <v>914</v>
      </c>
      <c r="B2" s="1741"/>
      <c r="C2" s="1741"/>
      <c r="D2" s="1741"/>
      <c r="E2" s="1741"/>
      <c r="F2" s="1741"/>
      <c r="G2" s="1741"/>
      <c r="H2" s="1741"/>
      <c r="I2" s="1741"/>
      <c r="J2" s="1741"/>
    </row>
    <row r="3" spans="1:10" ht="65">
      <c r="A3" s="300"/>
      <c r="B3" s="300" t="s">
        <v>0</v>
      </c>
      <c r="C3" s="300" t="s">
        <v>28</v>
      </c>
      <c r="D3" s="300" t="s">
        <v>912</v>
      </c>
      <c r="E3" s="300" t="s">
        <v>546</v>
      </c>
      <c r="F3" s="300" t="s">
        <v>547</v>
      </c>
      <c r="G3" s="300" t="s">
        <v>894</v>
      </c>
      <c r="H3" s="300" t="s">
        <v>548</v>
      </c>
      <c r="I3" s="300" t="s">
        <v>893</v>
      </c>
      <c r="J3" s="300" t="s">
        <v>892</v>
      </c>
    </row>
    <row r="4" spans="1:10" ht="72.75" customHeight="1">
      <c r="A4" s="577" t="s">
        <v>915</v>
      </c>
      <c r="B4" s="577" t="s">
        <v>238</v>
      </c>
      <c r="C4" s="577" t="s">
        <v>256</v>
      </c>
      <c r="D4" s="577" t="s">
        <v>257</v>
      </c>
      <c r="E4" s="304" t="s">
        <v>916</v>
      </c>
      <c r="F4" s="304">
        <v>10</v>
      </c>
      <c r="G4" s="304">
        <v>832</v>
      </c>
      <c r="H4" s="304">
        <v>21</v>
      </c>
      <c r="I4" s="304">
        <f>ROUND(G4*1.21,0)</f>
        <v>1007</v>
      </c>
      <c r="J4" s="662">
        <f>SUM(F4*I4)</f>
        <v>10070</v>
      </c>
    </row>
  </sheetData>
  <mergeCells count="2">
    <mergeCell ref="I1:J1"/>
    <mergeCell ref="A2:J2"/>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6CB4C-2A03-4E8E-856E-00D0F7FF1258}">
  <sheetPr>
    <tabColor theme="9" tint="0.79998168889431442"/>
  </sheetPr>
  <dimension ref="A1:J4"/>
  <sheetViews>
    <sheetView zoomScale="89" zoomScaleNormal="89" workbookViewId="0">
      <selection activeCell="I5" sqref="I5"/>
    </sheetView>
  </sheetViews>
  <sheetFormatPr defaultColWidth="9.1796875" defaultRowHeight="13"/>
  <cols>
    <col min="1" max="1" width="10.453125" style="297" customWidth="1"/>
    <col min="2" max="2" width="16" style="297" customWidth="1"/>
    <col min="3" max="3" width="38" style="297" customWidth="1"/>
    <col min="4" max="4" width="23.453125" style="297" customWidth="1"/>
    <col min="5" max="5" width="12.453125" style="297" customWidth="1"/>
    <col min="6" max="6" width="13.453125" style="297" customWidth="1"/>
    <col min="7" max="16384" width="9.1796875" style="297"/>
  </cols>
  <sheetData>
    <row r="1" spans="1:10">
      <c r="I1" s="1555" t="s">
        <v>918</v>
      </c>
      <c r="J1" s="1555"/>
    </row>
    <row r="2" spans="1:10">
      <c r="A2" s="1741" t="s">
        <v>919</v>
      </c>
      <c r="B2" s="1741"/>
      <c r="C2" s="1741"/>
      <c r="D2" s="1741"/>
      <c r="E2" s="1741"/>
      <c r="F2" s="1741"/>
      <c r="G2" s="1741"/>
      <c r="H2" s="1741"/>
      <c r="I2" s="1741"/>
      <c r="J2" s="1741"/>
    </row>
    <row r="3" spans="1:10" ht="65">
      <c r="A3" s="300"/>
      <c r="B3" s="300" t="s">
        <v>0</v>
      </c>
      <c r="C3" s="300" t="s">
        <v>28</v>
      </c>
      <c r="D3" s="300" t="s">
        <v>912</v>
      </c>
      <c r="E3" s="300" t="s">
        <v>546</v>
      </c>
      <c r="F3" s="300" t="s">
        <v>547</v>
      </c>
      <c r="G3" s="300" t="s">
        <v>894</v>
      </c>
      <c r="H3" s="300" t="s">
        <v>548</v>
      </c>
      <c r="I3" s="300" t="s">
        <v>893</v>
      </c>
      <c r="J3" s="300" t="s">
        <v>892</v>
      </c>
    </row>
    <row r="4" spans="1:10" ht="87.75" customHeight="1">
      <c r="A4" s="577" t="s">
        <v>890</v>
      </c>
      <c r="B4" s="577" t="s">
        <v>238</v>
      </c>
      <c r="C4" s="577" t="s">
        <v>255</v>
      </c>
      <c r="D4" s="577" t="s">
        <v>917</v>
      </c>
      <c r="E4" s="304" t="s">
        <v>916</v>
      </c>
      <c r="F4" s="304">
        <v>10</v>
      </c>
      <c r="G4" s="304">
        <v>832</v>
      </c>
      <c r="H4" s="304">
        <v>21</v>
      </c>
      <c r="I4" s="304">
        <f>ROUND(G4*1.21,0)</f>
        <v>1007</v>
      </c>
      <c r="J4" s="662">
        <f>SUM(F4*I4)</f>
        <v>10070</v>
      </c>
    </row>
  </sheetData>
  <mergeCells count="2">
    <mergeCell ref="I1:J1"/>
    <mergeCell ref="A2:J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83B2F-04F3-4A21-A7D9-1637447CD918}">
  <dimension ref="A1:C8"/>
  <sheetViews>
    <sheetView workbookViewId="0">
      <selection activeCell="A8" sqref="A8:C8"/>
    </sheetView>
  </sheetViews>
  <sheetFormatPr defaultColWidth="9.1796875" defaultRowHeight="14.5"/>
  <cols>
    <col min="1" max="1" width="9.1796875" style="86"/>
    <col min="2" max="2" width="41.26953125" style="86" customWidth="1"/>
    <col min="3" max="3" width="16.26953125" style="86" customWidth="1"/>
    <col min="4" max="16384" width="9.1796875" style="86"/>
  </cols>
  <sheetData>
    <row r="1" spans="1:3">
      <c r="C1" s="297" t="s">
        <v>431</v>
      </c>
    </row>
    <row r="2" spans="1:3" ht="51" customHeight="1">
      <c r="A2" s="1551" t="s">
        <v>425</v>
      </c>
      <c r="B2" s="1551"/>
      <c r="C2" s="1551"/>
    </row>
    <row r="3" spans="1:3" ht="52.5">
      <c r="A3" s="298" t="s">
        <v>415</v>
      </c>
      <c r="B3" s="299" t="s">
        <v>416</v>
      </c>
      <c r="C3" s="300" t="s">
        <v>426</v>
      </c>
    </row>
    <row r="4" spans="1:3" ht="39">
      <c r="A4" s="301">
        <v>1</v>
      </c>
      <c r="B4" s="302" t="s">
        <v>427</v>
      </c>
      <c r="C4" s="303">
        <v>20000</v>
      </c>
    </row>
    <row r="5" spans="1:3" ht="39">
      <c r="A5" s="301">
        <v>2</v>
      </c>
      <c r="B5" s="302" t="s">
        <v>428</v>
      </c>
      <c r="C5" s="303">
        <v>30200</v>
      </c>
    </row>
    <row r="6" spans="1:3">
      <c r="A6" s="301">
        <v>3</v>
      </c>
      <c r="B6" s="302" t="s">
        <v>429</v>
      </c>
      <c r="C6" s="304">
        <v>620</v>
      </c>
    </row>
    <row r="7" spans="1:3">
      <c r="A7" s="1556" t="s">
        <v>430</v>
      </c>
      <c r="B7" s="1557"/>
      <c r="C7" s="305">
        <f>C4+C5+C6</f>
        <v>50820</v>
      </c>
    </row>
    <row r="8" spans="1:3">
      <c r="A8" s="1554" t="s">
        <v>421</v>
      </c>
      <c r="B8" s="1554"/>
      <c r="C8" s="1554"/>
    </row>
  </sheetData>
  <mergeCells count="3">
    <mergeCell ref="A2:C2"/>
    <mergeCell ref="A7:B7"/>
    <mergeCell ref="A8:C8"/>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F6473-FEA0-4C58-8318-AD8EFAA697FD}">
  <sheetPr>
    <tabColor theme="9" tint="0.79998168889431442"/>
  </sheetPr>
  <dimension ref="A1:J6"/>
  <sheetViews>
    <sheetView workbookViewId="0">
      <selection activeCell="J6" sqref="J6"/>
    </sheetView>
  </sheetViews>
  <sheetFormatPr defaultColWidth="9.1796875" defaultRowHeight="13"/>
  <cols>
    <col min="1" max="1" width="13.1796875" style="297" customWidth="1"/>
    <col min="2" max="2" width="19" style="297" customWidth="1"/>
    <col min="3" max="3" width="40.7265625" style="297" customWidth="1"/>
    <col min="4" max="4" width="23.453125" style="297" customWidth="1"/>
    <col min="5" max="5" width="12.453125" style="297" customWidth="1"/>
    <col min="6" max="6" width="13.453125" style="297" customWidth="1"/>
    <col min="7" max="16384" width="9.1796875" style="297"/>
  </cols>
  <sheetData>
    <row r="1" spans="1:10">
      <c r="I1" s="1723" t="s">
        <v>922</v>
      </c>
      <c r="J1" s="1723"/>
    </row>
    <row r="2" spans="1:10">
      <c r="A2" s="1741" t="s">
        <v>923</v>
      </c>
      <c r="B2" s="1741"/>
      <c r="C2" s="1741"/>
      <c r="D2" s="1741"/>
      <c r="E2" s="1741"/>
      <c r="F2" s="1741"/>
      <c r="G2" s="1741"/>
      <c r="H2" s="1741"/>
      <c r="I2" s="1741"/>
      <c r="J2" s="1741"/>
    </row>
    <row r="3" spans="1:10" ht="65">
      <c r="A3" s="300"/>
      <c r="B3" s="300" t="s">
        <v>0</v>
      </c>
      <c r="C3" s="300" t="s">
        <v>28</v>
      </c>
      <c r="D3" s="300" t="s">
        <v>912</v>
      </c>
      <c r="E3" s="300" t="s">
        <v>546</v>
      </c>
      <c r="F3" s="300" t="s">
        <v>547</v>
      </c>
      <c r="G3" s="300" t="s">
        <v>894</v>
      </c>
      <c r="H3" s="300" t="s">
        <v>548</v>
      </c>
      <c r="I3" s="300" t="s">
        <v>893</v>
      </c>
      <c r="J3" s="300" t="s">
        <v>892</v>
      </c>
    </row>
    <row r="4" spans="1:10" ht="36.75" customHeight="1">
      <c r="A4" s="1572" t="s">
        <v>890</v>
      </c>
      <c r="B4" s="1572" t="s">
        <v>238</v>
      </c>
      <c r="C4" s="1877" t="s">
        <v>920</v>
      </c>
      <c r="D4" s="1877" t="s">
        <v>921</v>
      </c>
      <c r="E4" s="304" t="s">
        <v>549</v>
      </c>
      <c r="F4" s="304">
        <v>2</v>
      </c>
      <c r="G4" s="304">
        <v>11840</v>
      </c>
      <c r="H4" s="304">
        <v>21</v>
      </c>
      <c r="I4" s="304">
        <f>G4*1.21</f>
        <v>14326.4</v>
      </c>
      <c r="J4" s="344">
        <f>ROUND(SUM(F4*I4),0)</f>
        <v>28653</v>
      </c>
    </row>
    <row r="5" spans="1:10" ht="48.75" customHeight="1">
      <c r="A5" s="1572"/>
      <c r="B5" s="1572"/>
      <c r="C5" s="1878"/>
      <c r="D5" s="1878"/>
      <c r="E5" s="344" t="s">
        <v>891</v>
      </c>
      <c r="F5" s="344">
        <v>1</v>
      </c>
      <c r="G5" s="344">
        <v>13052</v>
      </c>
      <c r="H5" s="304">
        <v>21</v>
      </c>
      <c r="I5" s="1262">
        <f>G5*1.21</f>
        <v>15792.92</v>
      </c>
      <c r="J5" s="344">
        <f>ROUND(SUM(F5*I5),0)</f>
        <v>15793</v>
      </c>
    </row>
    <row r="6" spans="1:10">
      <c r="E6" s="460"/>
      <c r="F6" s="460"/>
      <c r="G6" s="460"/>
      <c r="H6" s="460"/>
      <c r="I6" s="460"/>
      <c r="J6" s="661">
        <f>ROUND(SUM(J4:J5),0)</f>
        <v>44446</v>
      </c>
    </row>
  </sheetData>
  <mergeCells count="6">
    <mergeCell ref="A4:A5"/>
    <mergeCell ref="B4:B5"/>
    <mergeCell ref="C4:C5"/>
    <mergeCell ref="D4:D5"/>
    <mergeCell ref="I1:J1"/>
    <mergeCell ref="A2:J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39056-D33B-4311-82A8-6A4D79555A98}">
  <sheetPr>
    <tabColor theme="9" tint="0.79998168889431442"/>
  </sheetPr>
  <dimension ref="A1:F5"/>
  <sheetViews>
    <sheetView workbookViewId="0">
      <selection activeCell="E17" sqref="E17"/>
    </sheetView>
  </sheetViews>
  <sheetFormatPr defaultColWidth="9.1796875" defaultRowHeight="14.5"/>
  <cols>
    <col min="1" max="1" width="12.453125" style="1070" customWidth="1"/>
    <col min="2" max="2" width="13.453125" style="1070" customWidth="1"/>
    <col min="3" max="16384" width="9.1796875" style="1070"/>
  </cols>
  <sheetData>
    <row r="1" spans="1:6">
      <c r="A1" s="1075"/>
      <c r="B1" s="1075"/>
      <c r="C1" s="1075"/>
      <c r="D1" s="1555" t="s">
        <v>1569</v>
      </c>
      <c r="E1" s="1555"/>
      <c r="F1" s="1555"/>
    </row>
    <row r="2" spans="1:6" ht="34.5" customHeight="1">
      <c r="A2" s="1580" t="s">
        <v>1570</v>
      </c>
      <c r="B2" s="1580"/>
      <c r="C2" s="1580"/>
      <c r="D2" s="1580"/>
      <c r="E2" s="1580"/>
      <c r="F2" s="1580"/>
    </row>
    <row r="3" spans="1:6" ht="57" customHeight="1">
      <c r="A3" s="1881" t="s">
        <v>1571</v>
      </c>
      <c r="B3" s="1881"/>
      <c r="C3" s="1881"/>
      <c r="D3" s="1881"/>
      <c r="E3" s="1881"/>
      <c r="F3" s="1881"/>
    </row>
    <row r="4" spans="1:6" ht="65">
      <c r="A4" s="1256" t="s">
        <v>546</v>
      </c>
      <c r="B4" s="1256" t="s">
        <v>547</v>
      </c>
      <c r="C4" s="1256" t="s">
        <v>894</v>
      </c>
      <c r="D4" s="1256" t="s">
        <v>548</v>
      </c>
      <c r="E4" s="1256" t="s">
        <v>893</v>
      </c>
      <c r="F4" s="1256" t="s">
        <v>892</v>
      </c>
    </row>
    <row r="5" spans="1:6">
      <c r="A5" s="1262" t="s">
        <v>549</v>
      </c>
      <c r="B5" s="1262">
        <v>1</v>
      </c>
      <c r="C5" s="1262">
        <v>11840</v>
      </c>
      <c r="D5" s="1262">
        <v>21</v>
      </c>
      <c r="E5" s="1262">
        <v>14326</v>
      </c>
      <c r="F5" s="662">
        <f>SUM(B5*E5)</f>
        <v>14326</v>
      </c>
    </row>
  </sheetData>
  <mergeCells count="3">
    <mergeCell ref="D1:F1"/>
    <mergeCell ref="A2:F2"/>
    <mergeCell ref="A3:F3"/>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05FE3-3B93-4B02-87B1-710A28CAB737}">
  <dimension ref="A1:O5"/>
  <sheetViews>
    <sheetView workbookViewId="0">
      <selection activeCell="A3" sqref="A3:A4"/>
    </sheetView>
  </sheetViews>
  <sheetFormatPr defaultColWidth="9.1796875" defaultRowHeight="13"/>
  <cols>
    <col min="1" max="1" width="9.1796875" style="297"/>
    <col min="2" max="2" width="25" style="297" customWidth="1"/>
    <col min="3" max="7" width="9.1796875" style="297"/>
    <col min="8" max="8" width="15.26953125" style="297" customWidth="1"/>
    <col min="9" max="9" width="10.7265625" style="297" customWidth="1"/>
    <col min="10" max="13" width="9.1796875" style="297"/>
    <col min="14" max="14" width="14.26953125" style="297" customWidth="1"/>
    <col min="15" max="15" width="40" style="297" customWidth="1"/>
    <col min="16" max="16384" width="9.1796875" style="297"/>
  </cols>
  <sheetData>
    <row r="1" spans="1:15">
      <c r="O1" s="297" t="s">
        <v>927</v>
      </c>
    </row>
    <row r="2" spans="1:15" ht="14.25" customHeight="1">
      <c r="A2" s="1551" t="s">
        <v>1565</v>
      </c>
      <c r="B2" s="1551"/>
      <c r="C2" s="1551"/>
      <c r="D2" s="1551"/>
      <c r="E2" s="1551"/>
      <c r="F2" s="1551"/>
      <c r="G2" s="1551"/>
      <c r="H2" s="1551"/>
      <c r="I2" s="1551"/>
      <c r="J2" s="1551"/>
      <c r="K2" s="1551"/>
      <c r="L2" s="1551"/>
      <c r="M2" s="1551"/>
      <c r="N2" s="1551"/>
      <c r="O2" s="1551"/>
    </row>
    <row r="3" spans="1:15">
      <c r="A3" s="1648" t="s">
        <v>844</v>
      </c>
      <c r="B3" s="1656" t="s">
        <v>845</v>
      </c>
      <c r="C3" s="1648" t="s">
        <v>1566</v>
      </c>
      <c r="D3" s="1650" t="s">
        <v>1567</v>
      </c>
      <c r="E3" s="1650" t="s">
        <v>847</v>
      </c>
      <c r="F3" s="1648" t="s">
        <v>833</v>
      </c>
      <c r="G3" s="1648" t="s">
        <v>848</v>
      </c>
      <c r="H3" s="1650" t="s">
        <v>1568</v>
      </c>
      <c r="I3" s="1652" t="s">
        <v>850</v>
      </c>
      <c r="J3" s="1653"/>
      <c r="K3" s="1653"/>
      <c r="L3" s="1653"/>
      <c r="M3" s="1653"/>
      <c r="N3" s="1654"/>
      <c r="O3" s="1650" t="s">
        <v>781</v>
      </c>
    </row>
    <row r="4" spans="1:15" ht="39">
      <c r="A4" s="1649"/>
      <c r="B4" s="1657"/>
      <c r="C4" s="1649"/>
      <c r="D4" s="1651"/>
      <c r="E4" s="1651"/>
      <c r="F4" s="1649"/>
      <c r="G4" s="1649"/>
      <c r="H4" s="1651"/>
      <c r="I4" s="580" t="s">
        <v>782</v>
      </c>
      <c r="J4" s="580" t="s">
        <v>783</v>
      </c>
      <c r="K4" s="580" t="s">
        <v>784</v>
      </c>
      <c r="L4" s="580" t="s">
        <v>785</v>
      </c>
      <c r="M4" s="580" t="s">
        <v>786</v>
      </c>
      <c r="N4" s="580" t="s">
        <v>787</v>
      </c>
      <c r="O4" s="1651"/>
    </row>
    <row r="5" spans="1:15" ht="69" customHeight="1">
      <c r="A5" s="478">
        <v>2021</v>
      </c>
      <c r="B5" s="418" t="s">
        <v>924</v>
      </c>
      <c r="C5" s="664">
        <f>[4]Tarifs!S11</f>
        <v>97.929999999999993</v>
      </c>
      <c r="D5" s="572">
        <f>[4]Tarifs!T11</f>
        <v>0</v>
      </c>
      <c r="E5" s="572" t="s">
        <v>802</v>
      </c>
      <c r="F5" s="478">
        <v>103</v>
      </c>
      <c r="G5" s="478">
        <v>1</v>
      </c>
      <c r="H5" s="667">
        <f>C5*F5*G5</f>
        <v>10086.789999999999</v>
      </c>
      <c r="I5" s="605">
        <v>1</v>
      </c>
      <c r="J5" s="605">
        <v>0</v>
      </c>
      <c r="K5" s="605" t="s">
        <v>925</v>
      </c>
      <c r="L5" s="613"/>
      <c r="M5" s="665" t="s">
        <v>802</v>
      </c>
      <c r="N5" s="666"/>
      <c r="O5" s="418" t="s">
        <v>926</v>
      </c>
    </row>
  </sheetData>
  <mergeCells count="11">
    <mergeCell ref="I3:N3"/>
    <mergeCell ref="O3:O4"/>
    <mergeCell ref="A2:O2"/>
    <mergeCell ref="A3:A4"/>
    <mergeCell ref="B3:B4"/>
    <mergeCell ref="C3:C4"/>
    <mergeCell ref="D3:D4"/>
    <mergeCell ref="E3:E4"/>
    <mergeCell ref="F3:F4"/>
    <mergeCell ref="G3:G4"/>
    <mergeCell ref="H3:H4"/>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0729B-00F6-4F36-B947-70E541CD13B5}">
  <dimension ref="A1:G13"/>
  <sheetViews>
    <sheetView workbookViewId="0">
      <selection activeCell="C20" sqref="C20"/>
    </sheetView>
  </sheetViews>
  <sheetFormatPr defaultColWidth="9.1796875" defaultRowHeight="13"/>
  <cols>
    <col min="1" max="1" width="9.1796875" style="297"/>
    <col min="2" max="2" width="34.453125" style="297" customWidth="1"/>
    <col min="3" max="3" width="11.81640625" style="297" customWidth="1"/>
    <col min="4" max="4" width="12.453125" style="297" customWidth="1"/>
    <col min="5" max="5" width="12.54296875" style="297" customWidth="1"/>
    <col min="6" max="16384" width="9.1796875" style="297"/>
  </cols>
  <sheetData>
    <row r="1" spans="1:7">
      <c r="F1" s="1555" t="s">
        <v>940</v>
      </c>
      <c r="G1" s="1555"/>
    </row>
    <row r="2" spans="1:7">
      <c r="A2" s="1723" t="s">
        <v>58</v>
      </c>
      <c r="B2" s="1723"/>
      <c r="C2" s="1723"/>
      <c r="D2" s="1723"/>
      <c r="E2" s="1723"/>
    </row>
    <row r="3" spans="1:7" ht="26">
      <c r="A3" s="673" t="s">
        <v>928</v>
      </c>
      <c r="B3" s="300" t="s">
        <v>941</v>
      </c>
      <c r="C3" s="300" t="s">
        <v>929</v>
      </c>
      <c r="D3" s="300" t="s">
        <v>930</v>
      </c>
      <c r="E3" s="1256" t="s">
        <v>942</v>
      </c>
    </row>
    <row r="4" spans="1:7" ht="18.75" customHeight="1">
      <c r="A4" s="669">
        <v>1</v>
      </c>
      <c r="B4" s="1255" t="s">
        <v>931</v>
      </c>
      <c r="C4" s="1262">
        <v>40</v>
      </c>
      <c r="D4" s="1262">
        <v>300</v>
      </c>
      <c r="E4" s="344">
        <v>12000</v>
      </c>
    </row>
    <row r="5" spans="1:7" ht="13.5" customHeight="1">
      <c r="A5" s="669">
        <v>2</v>
      </c>
      <c r="B5" s="1255" t="s">
        <v>932</v>
      </c>
      <c r="C5" s="1262">
        <v>30</v>
      </c>
      <c r="D5" s="1262">
        <v>300</v>
      </c>
      <c r="E5" s="344">
        <v>9000</v>
      </c>
    </row>
    <row r="6" spans="1:7" ht="26">
      <c r="A6" s="669">
        <v>3</v>
      </c>
      <c r="B6" s="1255" t="s">
        <v>933</v>
      </c>
      <c r="C6" s="1262">
        <v>250</v>
      </c>
      <c r="D6" s="1262">
        <v>300</v>
      </c>
      <c r="E6" s="344">
        <v>75000</v>
      </c>
    </row>
    <row r="7" spans="1:7">
      <c r="A7" s="669">
        <v>4</v>
      </c>
      <c r="B7" s="1255" t="s">
        <v>934</v>
      </c>
      <c r="C7" s="1262">
        <v>50</v>
      </c>
      <c r="D7" s="1262">
        <v>300</v>
      </c>
      <c r="E7" s="344">
        <v>15000</v>
      </c>
    </row>
    <row r="8" spans="1:7">
      <c r="A8" s="669">
        <v>5</v>
      </c>
      <c r="B8" s="1255" t="s">
        <v>935</v>
      </c>
      <c r="C8" s="1262">
        <v>60</v>
      </c>
      <c r="D8" s="1262">
        <v>300</v>
      </c>
      <c r="E8" s="344">
        <v>18000</v>
      </c>
    </row>
    <row r="9" spans="1:7">
      <c r="A9" s="670" t="s">
        <v>943</v>
      </c>
      <c r="B9" s="1255" t="s">
        <v>936</v>
      </c>
      <c r="C9" s="1262">
        <v>50</v>
      </c>
      <c r="D9" s="1262">
        <v>300</v>
      </c>
      <c r="E9" s="344">
        <v>15000</v>
      </c>
    </row>
    <row r="10" spans="1:7">
      <c r="A10" s="671"/>
      <c r="B10" s="672" t="s">
        <v>944</v>
      </c>
      <c r="C10" s="303">
        <v>480</v>
      </c>
      <c r="D10" s="303"/>
      <c r="E10" s="305">
        <f>SUM(E4:E9)</f>
        <v>144000</v>
      </c>
    </row>
    <row r="11" spans="1:7">
      <c r="A11" s="1882"/>
      <c r="B11" s="1883" t="s">
        <v>937</v>
      </c>
      <c r="C11" s="1884"/>
      <c r="D11" s="668" t="s">
        <v>938</v>
      </c>
      <c r="E11" s="1336">
        <f>E10*1.2</f>
        <v>172800</v>
      </c>
    </row>
    <row r="12" spans="1:7" ht="26">
      <c r="A12" s="1882"/>
      <c r="B12" s="1883"/>
      <c r="C12" s="1884"/>
      <c r="D12" s="304" t="s">
        <v>1564</v>
      </c>
      <c r="E12" s="1337">
        <f>172800*1.2</f>
        <v>207360</v>
      </c>
    </row>
    <row r="13" spans="1:7" ht="22.5" customHeight="1">
      <c r="A13" s="1675" t="s">
        <v>939</v>
      </c>
      <c r="B13" s="1675"/>
      <c r="C13" s="1675"/>
      <c r="D13" s="1675"/>
      <c r="E13" s="1675"/>
    </row>
  </sheetData>
  <mergeCells count="6">
    <mergeCell ref="A13:E13"/>
    <mergeCell ref="A11:A12"/>
    <mergeCell ref="B11:B12"/>
    <mergeCell ref="C11:C12"/>
    <mergeCell ref="F1:G1"/>
    <mergeCell ref="A2:E2"/>
  </mergeCells>
  <pageMargins left="0.7" right="0.7" top="0.75" bottom="0.75" header="0.3" footer="0.3"/>
  <pageSetup paperSize="9" orientation="portrait" verticalDpi="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1DF4D-2739-42F2-836A-EE7648743921}">
  <dimension ref="A1:E10"/>
  <sheetViews>
    <sheetView workbookViewId="0">
      <selection activeCell="E10" sqref="E10"/>
    </sheetView>
  </sheetViews>
  <sheetFormatPr defaultColWidth="9.1796875" defaultRowHeight="13"/>
  <cols>
    <col min="1" max="3" width="9.1796875" style="297"/>
    <col min="4" max="4" width="14.26953125" style="297" customWidth="1"/>
    <col min="5" max="5" width="20.7265625" style="297" customWidth="1"/>
    <col min="6" max="16384" width="9.1796875" style="297"/>
  </cols>
  <sheetData>
    <row r="1" spans="1:5">
      <c r="E1" s="297" t="s">
        <v>948</v>
      </c>
    </row>
    <row r="2" spans="1:5" ht="45.75" customHeight="1">
      <c r="A2" s="1580" t="s">
        <v>325</v>
      </c>
      <c r="B2" s="1580"/>
      <c r="C2" s="1580"/>
      <c r="D2" s="1580"/>
      <c r="E2" s="1580"/>
    </row>
    <row r="3" spans="1:5">
      <c r="A3" s="674" t="s">
        <v>415</v>
      </c>
      <c r="B3" s="1759" t="s">
        <v>0</v>
      </c>
      <c r="C3" s="1759"/>
      <c r="D3" s="1759"/>
      <c r="E3" s="674" t="s">
        <v>951</v>
      </c>
    </row>
    <row r="4" spans="1:5">
      <c r="A4" s="658">
        <v>1</v>
      </c>
      <c r="B4" s="1572" t="s">
        <v>945</v>
      </c>
      <c r="C4" s="1572"/>
      <c r="D4" s="1572"/>
      <c r="E4" s="344">
        <v>400000</v>
      </c>
    </row>
    <row r="5" spans="1:5" ht="27" customHeight="1">
      <c r="A5" s="658">
        <v>2</v>
      </c>
      <c r="B5" s="1572" t="s">
        <v>946</v>
      </c>
      <c r="C5" s="1572"/>
      <c r="D5" s="1572"/>
      <c r="E5" s="344">
        <v>150000</v>
      </c>
    </row>
    <row r="6" spans="1:5" ht="24" customHeight="1">
      <c r="A6" s="658">
        <v>3</v>
      </c>
      <c r="B6" s="1572" t="s">
        <v>947</v>
      </c>
      <c r="C6" s="1572"/>
      <c r="D6" s="1572"/>
      <c r="E6" s="344">
        <v>1200000</v>
      </c>
    </row>
    <row r="9" spans="1:5" ht="28.5" customHeight="1">
      <c r="C9" s="1885" t="s">
        <v>949</v>
      </c>
      <c r="D9" s="1886"/>
      <c r="E9" s="662">
        <f>E6+E4+E5</f>
        <v>1750000</v>
      </c>
    </row>
    <row r="10" spans="1:5" ht="27.75" customHeight="1">
      <c r="C10" s="1885" t="s">
        <v>950</v>
      </c>
      <c r="D10" s="1886"/>
      <c r="E10" s="662">
        <f>E6+E5</f>
        <v>1350000</v>
      </c>
    </row>
  </sheetData>
  <mergeCells count="7">
    <mergeCell ref="B4:D4"/>
    <mergeCell ref="B5:D5"/>
    <mergeCell ref="B6:D6"/>
    <mergeCell ref="C10:D10"/>
    <mergeCell ref="A2:E2"/>
    <mergeCell ref="B3:D3"/>
    <mergeCell ref="C9:D9"/>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90D1C-D1DF-4814-A7C3-2CDDBD4FA6B2}">
  <dimension ref="A1:E11"/>
  <sheetViews>
    <sheetView workbookViewId="0">
      <selection activeCell="D24" sqref="D24"/>
    </sheetView>
  </sheetViews>
  <sheetFormatPr defaultColWidth="8.81640625" defaultRowHeight="13"/>
  <cols>
    <col min="1" max="1" width="6" style="693" customWidth="1"/>
    <col min="2" max="2" width="46" style="693" customWidth="1"/>
    <col min="3" max="3" width="28.1796875" style="693" customWidth="1"/>
    <col min="4" max="4" width="32.1796875" style="693" customWidth="1"/>
    <col min="5" max="5" width="29.81640625" style="693" customWidth="1"/>
    <col min="6" max="16384" width="8.81640625" style="297"/>
  </cols>
  <sheetData>
    <row r="1" spans="1:5">
      <c r="E1" s="297" t="s">
        <v>991</v>
      </c>
    </row>
    <row r="2" spans="1:5" ht="15" customHeight="1">
      <c r="A2" s="1551" t="s">
        <v>61</v>
      </c>
      <c r="B2" s="1551"/>
      <c r="C2" s="1551"/>
      <c r="D2" s="1551"/>
      <c r="E2" s="1551"/>
    </row>
    <row r="3" spans="1:5" ht="26.5">
      <c r="A3" s="687" t="s">
        <v>415</v>
      </c>
      <c r="B3" s="687" t="s">
        <v>416</v>
      </c>
      <c r="C3" s="687" t="s">
        <v>433</v>
      </c>
      <c r="D3" s="687" t="s">
        <v>960</v>
      </c>
      <c r="E3" s="687" t="s">
        <v>961</v>
      </c>
    </row>
    <row r="4" spans="1:5" ht="26">
      <c r="A4" s="301">
        <v>1</v>
      </c>
      <c r="B4" s="702" t="s">
        <v>984</v>
      </c>
      <c r="C4" s="301">
        <v>6500</v>
      </c>
      <c r="D4" s="703">
        <v>0</v>
      </c>
      <c r="E4" s="703">
        <v>0</v>
      </c>
    </row>
    <row r="5" spans="1:5" ht="26">
      <c r="A5" s="301">
        <v>2</v>
      </c>
      <c r="B5" s="702" t="s">
        <v>985</v>
      </c>
      <c r="C5" s="301">
        <v>6500</v>
      </c>
      <c r="D5" s="703">
        <v>0</v>
      </c>
      <c r="E5" s="703">
        <v>0</v>
      </c>
    </row>
    <row r="6" spans="1:5">
      <c r="A6" s="301">
        <v>3</v>
      </c>
      <c r="B6" s="702" t="s">
        <v>986</v>
      </c>
      <c r="C6" s="301">
        <v>6500</v>
      </c>
      <c r="D6" s="703">
        <v>0</v>
      </c>
      <c r="E6" s="703">
        <v>0</v>
      </c>
    </row>
    <row r="7" spans="1:5" ht="26">
      <c r="A7" s="301">
        <v>4</v>
      </c>
      <c r="B7" s="702" t="s">
        <v>987</v>
      </c>
      <c r="C7" s="301">
        <v>6500</v>
      </c>
      <c r="D7" s="703">
        <v>0</v>
      </c>
      <c r="E7" s="703">
        <v>0</v>
      </c>
    </row>
    <row r="8" spans="1:5" ht="26">
      <c r="A8" s="301">
        <v>5</v>
      </c>
      <c r="B8" s="702" t="s">
        <v>988</v>
      </c>
      <c r="C8" s="301">
        <v>12000</v>
      </c>
      <c r="D8" s="703">
        <v>0</v>
      </c>
      <c r="E8" s="703">
        <v>0</v>
      </c>
    </row>
    <row r="9" spans="1:5" ht="52">
      <c r="A9" s="301">
        <v>6</v>
      </c>
      <c r="B9" s="702" t="s">
        <v>989</v>
      </c>
      <c r="C9" s="301">
        <v>6500</v>
      </c>
      <c r="D9" s="703">
        <v>0</v>
      </c>
      <c r="E9" s="703">
        <v>0</v>
      </c>
    </row>
    <row r="10" spans="1:5">
      <c r="A10" s="301">
        <v>7</v>
      </c>
      <c r="B10" s="702" t="s">
        <v>990</v>
      </c>
      <c r="C10" s="301">
        <v>5500</v>
      </c>
      <c r="D10" s="703">
        <v>0</v>
      </c>
      <c r="E10" s="703">
        <v>0</v>
      </c>
    </row>
    <row r="11" spans="1:5" ht="13.5">
      <c r="A11" s="1578" t="s">
        <v>968</v>
      </c>
      <c r="B11" s="1578"/>
      <c r="C11" s="704">
        <f>SUM(C4:C10)</f>
        <v>50000</v>
      </c>
      <c r="D11" s="704">
        <f>SUM(D4:D10)</f>
        <v>0</v>
      </c>
      <c r="E11" s="704">
        <f>SUM(E4:E10)</f>
        <v>0</v>
      </c>
    </row>
  </sheetData>
  <mergeCells count="2">
    <mergeCell ref="A11:B11"/>
    <mergeCell ref="A2:E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00311-4EB9-4782-BD77-145A850306BC}">
  <dimension ref="A1:E7"/>
  <sheetViews>
    <sheetView workbookViewId="0">
      <selection activeCell="E22" sqref="E22"/>
    </sheetView>
  </sheetViews>
  <sheetFormatPr defaultColWidth="8.81640625" defaultRowHeight="13"/>
  <cols>
    <col min="1" max="1" width="8.7265625" style="693" bestFit="1" customWidth="1"/>
    <col min="2" max="2" width="46" style="693" customWidth="1"/>
    <col min="3" max="3" width="28.1796875" style="693" customWidth="1"/>
    <col min="4" max="4" width="32.1796875" style="693" customWidth="1"/>
    <col min="5" max="5" width="29.81640625" style="693" customWidth="1"/>
    <col min="6" max="16384" width="8.81640625" style="297"/>
  </cols>
  <sheetData>
    <row r="1" spans="1:5">
      <c r="E1" s="297" t="s">
        <v>995</v>
      </c>
    </row>
    <row r="2" spans="1:5" ht="12.75" customHeight="1">
      <c r="A2" s="1551" t="s">
        <v>289</v>
      </c>
      <c r="B2" s="1551"/>
      <c r="C2" s="1551"/>
      <c r="D2" s="1551"/>
      <c r="E2" s="1551"/>
    </row>
    <row r="3" spans="1:5" ht="26.5">
      <c r="A3" s="687" t="s">
        <v>415</v>
      </c>
      <c r="B3" s="687" t="s">
        <v>416</v>
      </c>
      <c r="C3" s="687" t="s">
        <v>433</v>
      </c>
      <c r="D3" s="687" t="s">
        <v>960</v>
      </c>
      <c r="E3" s="687" t="s">
        <v>961</v>
      </c>
    </row>
    <row r="4" spans="1:5">
      <c r="A4" s="301">
        <v>1</v>
      </c>
      <c r="B4" s="702" t="s">
        <v>992</v>
      </c>
      <c r="C4" s="301">
        <v>40000</v>
      </c>
      <c r="D4" s="703">
        <v>0</v>
      </c>
      <c r="E4" s="703">
        <v>0</v>
      </c>
    </row>
    <row r="5" spans="1:5" ht="26">
      <c r="A5" s="301">
        <v>2</v>
      </c>
      <c r="B5" s="702" t="s">
        <v>993</v>
      </c>
      <c r="C5" s="301">
        <v>40000</v>
      </c>
      <c r="D5" s="703">
        <v>0</v>
      </c>
      <c r="E5" s="703">
        <v>0</v>
      </c>
    </row>
    <row r="6" spans="1:5">
      <c r="A6" s="301">
        <v>3</v>
      </c>
      <c r="B6" s="702" t="s">
        <v>994</v>
      </c>
      <c r="C6" s="301">
        <v>300000</v>
      </c>
      <c r="D6" s="703">
        <v>0</v>
      </c>
      <c r="E6" s="703">
        <v>0</v>
      </c>
    </row>
    <row r="7" spans="1:5" ht="13.5">
      <c r="A7" s="1578" t="s">
        <v>968</v>
      </c>
      <c r="B7" s="1578"/>
      <c r="C7" s="704">
        <f>SUM(C4:C6)</f>
        <v>380000</v>
      </c>
      <c r="D7" s="704">
        <f>SUM(D4:D6)</f>
        <v>0</v>
      </c>
      <c r="E7" s="704">
        <f>SUM(E4:E6)</f>
        <v>0</v>
      </c>
    </row>
  </sheetData>
  <mergeCells count="2">
    <mergeCell ref="A7:B7"/>
    <mergeCell ref="A2:E2"/>
  </mergeCells>
  <pageMargins left="0.7" right="0.7" top="0.75" bottom="0.75" header="0.3" footer="0.3"/>
  <pageSetup paperSize="9" orientation="portrait" verticalDpi="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7A938-190D-411D-A40F-8ED04B2468EC}">
  <dimension ref="A1:E6"/>
  <sheetViews>
    <sheetView workbookViewId="0">
      <selection activeCell="D20" sqref="D20"/>
    </sheetView>
  </sheetViews>
  <sheetFormatPr defaultColWidth="8.81640625" defaultRowHeight="13"/>
  <cols>
    <col min="1" max="1" width="8.7265625" style="297" bestFit="1" customWidth="1"/>
    <col min="2" max="2" width="46" style="297" customWidth="1"/>
    <col min="3" max="3" width="28.1796875" style="297" customWidth="1"/>
    <col min="4" max="4" width="32.1796875" style="297" customWidth="1"/>
    <col min="5" max="5" width="29.81640625" style="297" customWidth="1"/>
    <col min="6" max="16384" width="8.81640625" style="297"/>
  </cols>
  <sheetData>
    <row r="1" spans="1:5">
      <c r="E1" s="297" t="s">
        <v>982</v>
      </c>
    </row>
    <row r="2" spans="1:5">
      <c r="A2" s="1741" t="s">
        <v>981</v>
      </c>
      <c r="B2" s="1741"/>
      <c r="C2" s="1741"/>
      <c r="D2" s="1741"/>
      <c r="E2" s="1741"/>
    </row>
    <row r="3" spans="1:5" ht="26.5">
      <c r="A3" s="687" t="s">
        <v>415</v>
      </c>
      <c r="B3" s="687" t="s">
        <v>416</v>
      </c>
      <c r="C3" s="687" t="s">
        <v>433</v>
      </c>
      <c r="D3" s="687" t="s">
        <v>960</v>
      </c>
      <c r="E3" s="687" t="s">
        <v>961</v>
      </c>
    </row>
    <row r="4" spans="1:5">
      <c r="A4" s="688">
        <v>1</v>
      </c>
      <c r="B4" s="689" t="s">
        <v>979</v>
      </c>
      <c r="C4" s="688">
        <v>20000</v>
      </c>
      <c r="D4" s="690">
        <v>0</v>
      </c>
      <c r="E4" s="690">
        <v>0</v>
      </c>
    </row>
    <row r="5" spans="1:5" ht="26">
      <c r="A5" s="688">
        <v>2</v>
      </c>
      <c r="B5" s="689" t="s">
        <v>980</v>
      </c>
      <c r="C5" s="688">
        <v>0</v>
      </c>
      <c r="D5" s="690">
        <v>50000</v>
      </c>
      <c r="E5" s="690">
        <v>0</v>
      </c>
    </row>
    <row r="6" spans="1:5">
      <c r="A6" s="1574" t="s">
        <v>430</v>
      </c>
      <c r="B6" s="1574"/>
      <c r="C6" s="691">
        <f>SUM(C4:C5)</f>
        <v>20000</v>
      </c>
      <c r="D6" s="691">
        <f>SUM(D4:D5)</f>
        <v>50000</v>
      </c>
      <c r="E6" s="691">
        <f>SUM(E4:E5)</f>
        <v>0</v>
      </c>
    </row>
  </sheetData>
  <mergeCells count="2">
    <mergeCell ref="A6:B6"/>
    <mergeCell ref="A2:E2"/>
  </mergeCells>
  <pageMargins left="0.7" right="0.7" top="0.75" bottom="0.75" header="0.3" footer="0.3"/>
  <pageSetup paperSize="9" orientation="portrait" verticalDpi="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66D9B-FDE0-4F73-A4C9-68AC083F0AC2}">
  <dimension ref="A1:E14"/>
  <sheetViews>
    <sheetView workbookViewId="0">
      <selection activeCell="D24" sqref="D24"/>
    </sheetView>
  </sheetViews>
  <sheetFormatPr defaultColWidth="8.81640625" defaultRowHeight="13"/>
  <cols>
    <col min="1" max="1" width="8.7265625" style="693" bestFit="1" customWidth="1"/>
    <col min="2" max="2" width="46" style="693" customWidth="1"/>
    <col min="3" max="3" width="26.7265625" style="693" customWidth="1"/>
    <col min="4" max="4" width="32.1796875" style="693" customWidth="1"/>
    <col min="5" max="5" width="29.81640625" style="693" customWidth="1"/>
    <col min="6" max="16384" width="8.81640625" style="1075"/>
  </cols>
  <sheetData>
    <row r="1" spans="1:5">
      <c r="E1" s="1075" t="s">
        <v>1563</v>
      </c>
    </row>
    <row r="2" spans="1:5" ht="15" customHeight="1">
      <c r="A2" s="1889" t="s">
        <v>1562</v>
      </c>
      <c r="B2" s="1889"/>
      <c r="C2" s="1889"/>
      <c r="D2" s="1889"/>
      <c r="E2" s="1889"/>
    </row>
    <row r="3" spans="1:5" ht="26.5">
      <c r="A3" s="687" t="s">
        <v>415</v>
      </c>
      <c r="B3" s="687" t="s">
        <v>416</v>
      </c>
      <c r="C3" s="687" t="s">
        <v>433</v>
      </c>
      <c r="D3" s="687" t="s">
        <v>960</v>
      </c>
      <c r="E3" s="687" t="s">
        <v>961</v>
      </c>
    </row>
    <row r="4" spans="1:5">
      <c r="A4" s="301">
        <v>1</v>
      </c>
      <c r="B4" s="1332" t="s">
        <v>1552</v>
      </c>
      <c r="C4" s="306">
        <v>100000</v>
      </c>
      <c r="D4" s="1333">
        <v>0</v>
      </c>
      <c r="E4" s="1333">
        <v>0</v>
      </c>
    </row>
    <row r="5" spans="1:5" ht="26">
      <c r="A5" s="301">
        <v>2</v>
      </c>
      <c r="B5" s="1332" t="s">
        <v>1553</v>
      </c>
      <c r="C5" s="306">
        <v>50000</v>
      </c>
      <c r="D5" s="1333">
        <v>0</v>
      </c>
      <c r="E5" s="1333">
        <v>0</v>
      </c>
    </row>
    <row r="6" spans="1:5" ht="26">
      <c r="A6" s="301">
        <v>3</v>
      </c>
      <c r="B6" s="1332" t="s">
        <v>1554</v>
      </c>
      <c r="C6" s="306">
        <v>50000</v>
      </c>
      <c r="D6" s="1333">
        <v>0</v>
      </c>
      <c r="E6" s="1333">
        <v>0</v>
      </c>
    </row>
    <row r="7" spans="1:5" ht="26">
      <c r="A7" s="301">
        <v>4</v>
      </c>
      <c r="B7" s="1332" t="s">
        <v>1555</v>
      </c>
      <c r="C7" s="306">
        <v>50000</v>
      </c>
      <c r="D7" s="1333">
        <v>0</v>
      </c>
      <c r="E7" s="1333">
        <v>0</v>
      </c>
    </row>
    <row r="8" spans="1:5" ht="26">
      <c r="A8" s="301">
        <v>5</v>
      </c>
      <c r="B8" s="1332" t="s">
        <v>1556</v>
      </c>
      <c r="C8" s="306">
        <v>0</v>
      </c>
      <c r="D8" s="1333">
        <v>150000</v>
      </c>
      <c r="E8" s="1333">
        <v>0</v>
      </c>
    </row>
    <row r="9" spans="1:5" ht="26">
      <c r="A9" s="301">
        <v>6</v>
      </c>
      <c r="B9" s="1332" t="s">
        <v>1557</v>
      </c>
      <c r="C9" s="306">
        <v>100000</v>
      </c>
      <c r="D9" s="1333">
        <v>400000</v>
      </c>
      <c r="E9" s="1333">
        <v>0</v>
      </c>
    </row>
    <row r="10" spans="1:5" ht="26">
      <c r="A10" s="301">
        <v>7</v>
      </c>
      <c r="B10" s="1332" t="s">
        <v>1558</v>
      </c>
      <c r="C10" s="306">
        <v>100000</v>
      </c>
      <c r="D10" s="1333">
        <v>300000</v>
      </c>
      <c r="E10" s="1333">
        <v>0</v>
      </c>
    </row>
    <row r="11" spans="1:5">
      <c r="A11" s="301">
        <v>8</v>
      </c>
      <c r="B11" s="1332" t="s">
        <v>1559</v>
      </c>
      <c r="C11" s="306">
        <v>200000</v>
      </c>
      <c r="D11" s="1333">
        <v>1000000</v>
      </c>
      <c r="E11" s="1333">
        <v>0</v>
      </c>
    </row>
    <row r="12" spans="1:5" ht="39">
      <c r="A12" s="301">
        <v>9</v>
      </c>
      <c r="B12" s="1332" t="s">
        <v>1560</v>
      </c>
      <c r="C12" s="306">
        <v>0</v>
      </c>
      <c r="D12" s="1333">
        <v>500000</v>
      </c>
      <c r="E12" s="1333">
        <v>200000</v>
      </c>
    </row>
    <row r="13" spans="1:5">
      <c r="A13" s="301">
        <v>10</v>
      </c>
      <c r="B13" s="1332" t="s">
        <v>1561</v>
      </c>
      <c r="C13" s="306">
        <v>0</v>
      </c>
      <c r="D13" s="1333">
        <v>300000</v>
      </c>
      <c r="E13" s="1333">
        <v>1500000</v>
      </c>
    </row>
    <row r="14" spans="1:5" ht="13.5">
      <c r="A14" s="1887" t="s">
        <v>968</v>
      </c>
      <c r="B14" s="1888"/>
      <c r="C14" s="307">
        <f>SUM(C4:C13)</f>
        <v>650000</v>
      </c>
      <c r="D14" s="307">
        <f>SUM(D4:D13)</f>
        <v>2650000</v>
      </c>
      <c r="E14" s="307">
        <f>SUM(E4:E13)</f>
        <v>1700000</v>
      </c>
    </row>
  </sheetData>
  <mergeCells count="2">
    <mergeCell ref="A14:B14"/>
    <mergeCell ref="A2:E2"/>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AD1C9-202F-4213-93E2-9CA3952FBE27}">
  <sheetPr>
    <tabColor theme="9" tint="0.79998168889431442"/>
  </sheetPr>
  <dimension ref="A1:N7"/>
  <sheetViews>
    <sheetView workbookViewId="0">
      <selection activeCell="A4" sqref="A4:D7"/>
    </sheetView>
  </sheetViews>
  <sheetFormatPr defaultColWidth="9.1796875" defaultRowHeight="13"/>
  <cols>
    <col min="1" max="1" width="20.26953125" style="1075" customWidth="1"/>
    <col min="2" max="16384" width="9.1796875" style="1075"/>
  </cols>
  <sheetData>
    <row r="1" spans="1:14">
      <c r="I1" s="1555" t="s">
        <v>1549</v>
      </c>
      <c r="J1" s="1555"/>
      <c r="K1" s="1555"/>
    </row>
    <row r="2" spans="1:14" ht="21" customHeight="1">
      <c r="A2" s="1675" t="s">
        <v>1546</v>
      </c>
      <c r="B2" s="1675"/>
      <c r="C2" s="1675"/>
      <c r="D2" s="1675"/>
      <c r="E2" s="1675"/>
      <c r="F2" s="1675"/>
      <c r="G2" s="1675"/>
      <c r="H2" s="1675"/>
      <c r="I2" s="1675"/>
      <c r="J2" s="1675"/>
      <c r="K2" s="1675"/>
      <c r="L2" s="1675"/>
      <c r="M2" s="1675"/>
      <c r="N2" s="1675"/>
    </row>
    <row r="3" spans="1:14" ht="15" customHeight="1">
      <c r="A3" s="1890" t="s">
        <v>1547</v>
      </c>
      <c r="B3" s="1891"/>
      <c r="C3" s="1891"/>
      <c r="D3" s="1891"/>
      <c r="E3" s="1891"/>
      <c r="F3" s="1891"/>
      <c r="G3" s="1891"/>
      <c r="H3" s="1891"/>
      <c r="I3" s="1891"/>
      <c r="J3" s="1891"/>
      <c r="K3" s="1891"/>
      <c r="L3" s="1891"/>
      <c r="M3" s="1891"/>
      <c r="N3" s="1891"/>
    </row>
    <row r="4" spans="1:14" ht="28.5" customHeight="1">
      <c r="A4" s="1892" t="s">
        <v>1544</v>
      </c>
      <c r="B4" s="1892"/>
      <c r="C4" s="1892"/>
      <c r="D4" s="1892"/>
    </row>
    <row r="5" spans="1:14">
      <c r="A5" s="1325"/>
      <c r="B5" s="298" t="s">
        <v>1543</v>
      </c>
      <c r="C5" s="298" t="s">
        <v>124</v>
      </c>
      <c r="D5" s="298" t="s">
        <v>125</v>
      </c>
    </row>
    <row r="6" spans="1:14" ht="26">
      <c r="A6" s="1330" t="s">
        <v>1548</v>
      </c>
      <c r="B6" s="1329">
        <v>300000</v>
      </c>
      <c r="C6" s="1329">
        <v>300000</v>
      </c>
      <c r="D6" s="1329">
        <v>300000</v>
      </c>
    </row>
    <row r="7" spans="1:14">
      <c r="A7" s="1331" t="s">
        <v>1550</v>
      </c>
      <c r="B7" s="1328">
        <f>B6</f>
        <v>300000</v>
      </c>
      <c r="C7" s="1328">
        <f t="shared" ref="C7:D7" si="0">C6</f>
        <v>300000</v>
      </c>
      <c r="D7" s="1328">
        <f t="shared" si="0"/>
        <v>300000</v>
      </c>
    </row>
  </sheetData>
  <mergeCells count="4">
    <mergeCell ref="A3:N3"/>
    <mergeCell ref="A4:D4"/>
    <mergeCell ref="A2:N2"/>
    <mergeCell ref="I1:K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A5A14-C616-45C5-B698-A8D5C45C1944}">
  <dimension ref="A1:D8"/>
  <sheetViews>
    <sheetView workbookViewId="0">
      <selection activeCell="D15" sqref="D15"/>
    </sheetView>
  </sheetViews>
  <sheetFormatPr defaultColWidth="9.1796875" defaultRowHeight="14.5"/>
  <cols>
    <col min="1" max="1" width="6.453125" style="86" customWidth="1"/>
    <col min="2" max="2" width="46.81640625" style="86" customWidth="1"/>
    <col min="3" max="3" width="14" style="86" customWidth="1"/>
    <col min="4" max="4" width="14.81640625" style="86" customWidth="1"/>
    <col min="5" max="16384" width="9.1796875" style="86"/>
  </cols>
  <sheetData>
    <row r="1" spans="1:4">
      <c r="D1" s="297" t="s">
        <v>434</v>
      </c>
    </row>
    <row r="2" spans="1:4" ht="33" customHeight="1">
      <c r="A2" s="1551" t="s">
        <v>432</v>
      </c>
      <c r="B2" s="1551"/>
      <c r="C2" s="1551"/>
      <c r="D2" s="1551"/>
    </row>
    <row r="3" spans="1:4" ht="52.5">
      <c r="A3" s="298" t="s">
        <v>415</v>
      </c>
      <c r="B3" s="299" t="s">
        <v>416</v>
      </c>
      <c r="C3" s="299" t="s">
        <v>433</v>
      </c>
      <c r="D3" s="300" t="s">
        <v>1575</v>
      </c>
    </row>
    <row r="4" spans="1:4" ht="39">
      <c r="A4" s="301">
        <v>1</v>
      </c>
      <c r="B4" s="302" t="s">
        <v>427</v>
      </c>
      <c r="C4" s="306">
        <v>18000</v>
      </c>
      <c r="D4" s="303">
        <v>20000</v>
      </c>
    </row>
    <row r="5" spans="1:4" ht="39">
      <c r="A5" s="301">
        <v>2</v>
      </c>
      <c r="B5" s="302" t="s">
        <v>428</v>
      </c>
      <c r="C5" s="306">
        <v>30000</v>
      </c>
      <c r="D5" s="303">
        <v>30200</v>
      </c>
    </row>
    <row r="6" spans="1:4">
      <c r="A6" s="301">
        <v>3</v>
      </c>
      <c r="B6" s="302" t="s">
        <v>429</v>
      </c>
      <c r="C6" s="306">
        <v>400</v>
      </c>
      <c r="D6" s="304">
        <v>620</v>
      </c>
    </row>
    <row r="7" spans="1:4">
      <c r="A7" s="1556" t="s">
        <v>430</v>
      </c>
      <c r="B7" s="1557"/>
      <c r="C7" s="307">
        <f>C4+C5+C6</f>
        <v>48400</v>
      </c>
      <c r="D7" s="305">
        <f>D4+D5+D6</f>
        <v>50820</v>
      </c>
    </row>
    <row r="8" spans="1:4">
      <c r="A8" s="1554" t="s">
        <v>421</v>
      </c>
      <c r="B8" s="1554"/>
      <c r="C8" s="1554"/>
      <c r="D8" s="1554"/>
    </row>
  </sheetData>
  <mergeCells count="3">
    <mergeCell ref="A2:D2"/>
    <mergeCell ref="A7:B7"/>
    <mergeCell ref="A8:D8"/>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CD7D6-74B1-4EAA-BA2F-FA332B9A3DF4}">
  <sheetPr>
    <tabColor theme="9" tint="0.79998168889431442"/>
  </sheetPr>
  <dimension ref="A1:N8"/>
  <sheetViews>
    <sheetView workbookViewId="0">
      <selection activeCell="K27" sqref="K27"/>
    </sheetView>
  </sheetViews>
  <sheetFormatPr defaultColWidth="9.1796875" defaultRowHeight="13"/>
  <cols>
    <col min="1" max="1" width="18.54296875" style="1075" customWidth="1"/>
    <col min="2" max="4" width="12.453125" style="1075" bestFit="1" customWidth="1"/>
    <col min="5" max="16384" width="9.1796875" style="1075"/>
  </cols>
  <sheetData>
    <row r="1" spans="1:14">
      <c r="K1" s="1075" t="s">
        <v>1539</v>
      </c>
    </row>
    <row r="2" spans="1:14">
      <c r="A2" s="1075" t="s">
        <v>1545</v>
      </c>
    </row>
    <row r="3" spans="1:14" s="381" customFormat="1">
      <c r="A3" s="1890" t="s">
        <v>1540</v>
      </c>
      <c r="B3" s="1891"/>
      <c r="C3" s="1891"/>
      <c r="D3" s="1891"/>
      <c r="E3" s="1891"/>
      <c r="F3" s="1891"/>
      <c r="G3" s="1891"/>
      <c r="H3" s="1891"/>
      <c r="I3" s="1891"/>
      <c r="J3" s="1891"/>
      <c r="K3" s="1891"/>
      <c r="L3" s="1891"/>
      <c r="M3" s="1891"/>
      <c r="N3" s="1891"/>
    </row>
    <row r="4" spans="1:14" ht="14.25" customHeight="1">
      <c r="A4" s="1892" t="s">
        <v>1544</v>
      </c>
      <c r="B4" s="1892"/>
      <c r="C4" s="1892"/>
      <c r="D4" s="1892"/>
    </row>
    <row r="5" spans="1:14">
      <c r="A5" s="1325"/>
      <c r="B5" s="1326" t="s">
        <v>1543</v>
      </c>
      <c r="C5" s="1326" t="s">
        <v>124</v>
      </c>
      <c r="D5" s="1326" t="s">
        <v>125</v>
      </c>
    </row>
    <row r="6" spans="1:14" ht="26">
      <c r="A6" s="1324" t="s">
        <v>1541</v>
      </c>
      <c r="B6" s="1327">
        <v>2377245</v>
      </c>
      <c r="C6" s="1327">
        <v>1077246</v>
      </c>
      <c r="D6" s="1327">
        <v>104099</v>
      </c>
    </row>
    <row r="7" spans="1:14" ht="26">
      <c r="A7" s="1324" t="s">
        <v>1542</v>
      </c>
      <c r="B7" s="1327">
        <v>818181</v>
      </c>
      <c r="C7" s="1327">
        <v>1090909</v>
      </c>
      <c r="D7" s="1327">
        <v>1090910</v>
      </c>
    </row>
    <row r="8" spans="1:14">
      <c r="A8" s="1331" t="s">
        <v>1551</v>
      </c>
      <c r="B8" s="1328">
        <f>B6+B7</f>
        <v>3195426</v>
      </c>
      <c r="C8" s="1328">
        <f t="shared" ref="C8:D8" si="0">C6+C7</f>
        <v>2168155</v>
      </c>
      <c r="D8" s="1328">
        <f t="shared" si="0"/>
        <v>1195009</v>
      </c>
    </row>
  </sheetData>
  <mergeCells count="2">
    <mergeCell ref="A3:N3"/>
    <mergeCell ref="A4:D4"/>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6166-015C-4350-BC7C-A7014D37CEEB}">
  <dimension ref="A1:P16"/>
  <sheetViews>
    <sheetView zoomScale="68" zoomScaleNormal="68" workbookViewId="0">
      <selection activeCell="F47" sqref="F47"/>
    </sheetView>
  </sheetViews>
  <sheetFormatPr defaultRowHeight="13"/>
  <cols>
    <col min="1" max="1" width="32.7265625" style="308" customWidth="1"/>
    <col min="2" max="2" width="18.1796875" style="308" customWidth="1"/>
    <col min="3" max="3" width="30.7265625" style="308" customWidth="1"/>
    <col min="4" max="4" width="14.81640625" style="308" customWidth="1"/>
    <col min="5" max="5" width="15.7265625" style="308" customWidth="1"/>
    <col min="6" max="6" width="18" style="308" customWidth="1"/>
    <col min="7" max="7" width="16.1796875" style="308" customWidth="1"/>
    <col min="8" max="8" width="15.453125" style="308" customWidth="1"/>
    <col min="9" max="9" width="17.26953125" style="308" customWidth="1"/>
    <col min="10" max="10" width="13" style="308" customWidth="1"/>
    <col min="11" max="11" width="12.54296875" style="308" customWidth="1"/>
    <col min="12" max="12" width="15.7265625" style="308" customWidth="1"/>
    <col min="13" max="13" width="10.7265625" style="308" customWidth="1"/>
    <col min="14" max="14" width="12.26953125" style="308" customWidth="1"/>
    <col min="15" max="15" width="13" style="308" customWidth="1"/>
    <col min="16" max="16" width="15" style="308" customWidth="1"/>
    <col min="17" max="254" width="9.1796875" style="308"/>
    <col min="255" max="255" width="28.453125" style="308" customWidth="1"/>
    <col min="256" max="256" width="0" style="308" hidden="1" customWidth="1"/>
    <col min="257" max="257" width="12.7265625" style="308" customWidth="1"/>
    <col min="258" max="258" width="0" style="308" hidden="1" customWidth="1"/>
    <col min="259" max="259" width="12.26953125" style="308" customWidth="1"/>
    <col min="260" max="260" width="11.7265625" style="308" customWidth="1"/>
    <col min="261" max="261" width="11.54296875" style="308" customWidth="1"/>
    <col min="262" max="263" width="13.26953125" style="308" customWidth="1"/>
    <col min="264" max="264" width="15.453125" style="308" customWidth="1"/>
    <col min="265" max="265" width="11.54296875" style="308" customWidth="1"/>
    <col min="266" max="266" width="13" style="308" customWidth="1"/>
    <col min="267" max="267" width="13.26953125" style="308" customWidth="1"/>
    <col min="268" max="268" width="15.7265625" style="308" customWidth="1"/>
    <col min="269" max="510" width="9.1796875" style="308"/>
    <col min="511" max="511" width="28.453125" style="308" customWidth="1"/>
    <col min="512" max="512" width="0" style="308" hidden="1" customWidth="1"/>
    <col min="513" max="513" width="12.7265625" style="308" customWidth="1"/>
    <col min="514" max="514" width="0" style="308" hidden="1" customWidth="1"/>
    <col min="515" max="515" width="12.26953125" style="308" customWidth="1"/>
    <col min="516" max="516" width="11.7265625" style="308" customWidth="1"/>
    <col min="517" max="517" width="11.54296875" style="308" customWidth="1"/>
    <col min="518" max="519" width="13.26953125" style="308" customWidth="1"/>
    <col min="520" max="520" width="15.453125" style="308" customWidth="1"/>
    <col min="521" max="521" width="11.54296875" style="308" customWidth="1"/>
    <col min="522" max="522" width="13" style="308" customWidth="1"/>
    <col min="523" max="523" width="13.26953125" style="308" customWidth="1"/>
    <col min="524" max="524" width="15.7265625" style="308" customWidth="1"/>
    <col min="525" max="766" width="9.1796875" style="308"/>
    <col min="767" max="767" width="28.453125" style="308" customWidth="1"/>
    <col min="768" max="768" width="0" style="308" hidden="1" customWidth="1"/>
    <col min="769" max="769" width="12.7265625" style="308" customWidth="1"/>
    <col min="770" max="770" width="0" style="308" hidden="1" customWidth="1"/>
    <col min="771" max="771" width="12.26953125" style="308" customWidth="1"/>
    <col min="772" max="772" width="11.7265625" style="308" customWidth="1"/>
    <col min="773" max="773" width="11.54296875" style="308" customWidth="1"/>
    <col min="774" max="775" width="13.26953125" style="308" customWidth="1"/>
    <col min="776" max="776" width="15.453125" style="308" customWidth="1"/>
    <col min="777" max="777" width="11.54296875" style="308" customWidth="1"/>
    <col min="778" max="778" width="13" style="308" customWidth="1"/>
    <col min="779" max="779" width="13.26953125" style="308" customWidth="1"/>
    <col min="780" max="780" width="15.7265625" style="308" customWidth="1"/>
    <col min="781" max="1022" width="9.1796875" style="308"/>
    <col min="1023" max="1023" width="28.453125" style="308" customWidth="1"/>
    <col min="1024" max="1024" width="0" style="308" hidden="1" customWidth="1"/>
    <col min="1025" max="1025" width="12.7265625" style="308" customWidth="1"/>
    <col min="1026" max="1026" width="0" style="308" hidden="1" customWidth="1"/>
    <col min="1027" max="1027" width="12.26953125" style="308" customWidth="1"/>
    <col min="1028" max="1028" width="11.7265625" style="308" customWidth="1"/>
    <col min="1029" max="1029" width="11.54296875" style="308" customWidth="1"/>
    <col min="1030" max="1031" width="13.26953125" style="308" customWidth="1"/>
    <col min="1032" max="1032" width="15.453125" style="308" customWidth="1"/>
    <col min="1033" max="1033" width="11.54296875" style="308" customWidth="1"/>
    <col min="1034" max="1034" width="13" style="308" customWidth="1"/>
    <col min="1035" max="1035" width="13.26953125" style="308" customWidth="1"/>
    <col min="1036" max="1036" width="15.7265625" style="308" customWidth="1"/>
    <col min="1037" max="1278" width="9.1796875" style="308"/>
    <col min="1279" max="1279" width="28.453125" style="308" customWidth="1"/>
    <col min="1280" max="1280" width="0" style="308" hidden="1" customWidth="1"/>
    <col min="1281" max="1281" width="12.7265625" style="308" customWidth="1"/>
    <col min="1282" max="1282" width="0" style="308" hidden="1" customWidth="1"/>
    <col min="1283" max="1283" width="12.26953125" style="308" customWidth="1"/>
    <col min="1284" max="1284" width="11.7265625" style="308" customWidth="1"/>
    <col min="1285" max="1285" width="11.54296875" style="308" customWidth="1"/>
    <col min="1286" max="1287" width="13.26953125" style="308" customWidth="1"/>
    <col min="1288" max="1288" width="15.453125" style="308" customWidth="1"/>
    <col min="1289" max="1289" width="11.54296875" style="308" customWidth="1"/>
    <col min="1290" max="1290" width="13" style="308" customWidth="1"/>
    <col min="1291" max="1291" width="13.26953125" style="308" customWidth="1"/>
    <col min="1292" max="1292" width="15.7265625" style="308" customWidth="1"/>
    <col min="1293" max="1534" width="9.1796875" style="308"/>
    <col min="1535" max="1535" width="28.453125" style="308" customWidth="1"/>
    <col min="1536" max="1536" width="0" style="308" hidden="1" customWidth="1"/>
    <col min="1537" max="1537" width="12.7265625" style="308" customWidth="1"/>
    <col min="1538" max="1538" width="0" style="308" hidden="1" customWidth="1"/>
    <col min="1539" max="1539" width="12.26953125" style="308" customWidth="1"/>
    <col min="1540" max="1540" width="11.7265625" style="308" customWidth="1"/>
    <col min="1541" max="1541" width="11.54296875" style="308" customWidth="1"/>
    <col min="1542" max="1543" width="13.26953125" style="308" customWidth="1"/>
    <col min="1544" max="1544" width="15.453125" style="308" customWidth="1"/>
    <col min="1545" max="1545" width="11.54296875" style="308" customWidth="1"/>
    <col min="1546" max="1546" width="13" style="308" customWidth="1"/>
    <col min="1547" max="1547" width="13.26953125" style="308" customWidth="1"/>
    <col min="1548" max="1548" width="15.7265625" style="308" customWidth="1"/>
    <col min="1549" max="1790" width="9.1796875" style="308"/>
    <col min="1791" max="1791" width="28.453125" style="308" customWidth="1"/>
    <col min="1792" max="1792" width="0" style="308" hidden="1" customWidth="1"/>
    <col min="1793" max="1793" width="12.7265625" style="308" customWidth="1"/>
    <col min="1794" max="1794" width="0" style="308" hidden="1" customWidth="1"/>
    <col min="1795" max="1795" width="12.26953125" style="308" customWidth="1"/>
    <col min="1796" max="1796" width="11.7265625" style="308" customWidth="1"/>
    <col min="1797" max="1797" width="11.54296875" style="308" customWidth="1"/>
    <col min="1798" max="1799" width="13.26953125" style="308" customWidth="1"/>
    <col min="1800" max="1800" width="15.453125" style="308" customWidth="1"/>
    <col min="1801" max="1801" width="11.54296875" style="308" customWidth="1"/>
    <col min="1802" max="1802" width="13" style="308" customWidth="1"/>
    <col min="1803" max="1803" width="13.26953125" style="308" customWidth="1"/>
    <col min="1804" max="1804" width="15.7265625" style="308" customWidth="1"/>
    <col min="1805" max="2046" width="9.1796875" style="308"/>
    <col min="2047" max="2047" width="28.453125" style="308" customWidth="1"/>
    <col min="2048" max="2048" width="0" style="308" hidden="1" customWidth="1"/>
    <col min="2049" max="2049" width="12.7265625" style="308" customWidth="1"/>
    <col min="2050" max="2050" width="0" style="308" hidden="1" customWidth="1"/>
    <col min="2051" max="2051" width="12.26953125" style="308" customWidth="1"/>
    <col min="2052" max="2052" width="11.7265625" style="308" customWidth="1"/>
    <col min="2053" max="2053" width="11.54296875" style="308" customWidth="1"/>
    <col min="2054" max="2055" width="13.26953125" style="308" customWidth="1"/>
    <col min="2056" max="2056" width="15.453125" style="308" customWidth="1"/>
    <col min="2057" max="2057" width="11.54296875" style="308" customWidth="1"/>
    <col min="2058" max="2058" width="13" style="308" customWidth="1"/>
    <col min="2059" max="2059" width="13.26953125" style="308" customWidth="1"/>
    <col min="2060" max="2060" width="15.7265625" style="308" customWidth="1"/>
    <col min="2061" max="2302" width="9.1796875" style="308"/>
    <col min="2303" max="2303" width="28.453125" style="308" customWidth="1"/>
    <col min="2304" max="2304" width="0" style="308" hidden="1" customWidth="1"/>
    <col min="2305" max="2305" width="12.7265625" style="308" customWidth="1"/>
    <col min="2306" max="2306" width="0" style="308" hidden="1" customWidth="1"/>
    <col min="2307" max="2307" width="12.26953125" style="308" customWidth="1"/>
    <col min="2308" max="2308" width="11.7265625" style="308" customWidth="1"/>
    <col min="2309" max="2309" width="11.54296875" style="308" customWidth="1"/>
    <col min="2310" max="2311" width="13.26953125" style="308" customWidth="1"/>
    <col min="2312" max="2312" width="15.453125" style="308" customWidth="1"/>
    <col min="2313" max="2313" width="11.54296875" style="308" customWidth="1"/>
    <col min="2314" max="2314" width="13" style="308" customWidth="1"/>
    <col min="2315" max="2315" width="13.26953125" style="308" customWidth="1"/>
    <col min="2316" max="2316" width="15.7265625" style="308" customWidth="1"/>
    <col min="2317" max="2558" width="9.1796875" style="308"/>
    <col min="2559" max="2559" width="28.453125" style="308" customWidth="1"/>
    <col min="2560" max="2560" width="0" style="308" hidden="1" customWidth="1"/>
    <col min="2561" max="2561" width="12.7265625" style="308" customWidth="1"/>
    <col min="2562" max="2562" width="0" style="308" hidden="1" customWidth="1"/>
    <col min="2563" max="2563" width="12.26953125" style="308" customWidth="1"/>
    <col min="2564" max="2564" width="11.7265625" style="308" customWidth="1"/>
    <col min="2565" max="2565" width="11.54296875" style="308" customWidth="1"/>
    <col min="2566" max="2567" width="13.26953125" style="308" customWidth="1"/>
    <col min="2568" max="2568" width="15.453125" style="308" customWidth="1"/>
    <col min="2569" max="2569" width="11.54296875" style="308" customWidth="1"/>
    <col min="2570" max="2570" width="13" style="308" customWidth="1"/>
    <col min="2571" max="2571" width="13.26953125" style="308" customWidth="1"/>
    <col min="2572" max="2572" width="15.7265625" style="308" customWidth="1"/>
    <col min="2573" max="2814" width="9.1796875" style="308"/>
    <col min="2815" max="2815" width="28.453125" style="308" customWidth="1"/>
    <col min="2816" max="2816" width="0" style="308" hidden="1" customWidth="1"/>
    <col min="2817" max="2817" width="12.7265625" style="308" customWidth="1"/>
    <col min="2818" max="2818" width="0" style="308" hidden="1" customWidth="1"/>
    <col min="2819" max="2819" width="12.26953125" style="308" customWidth="1"/>
    <col min="2820" max="2820" width="11.7265625" style="308" customWidth="1"/>
    <col min="2821" max="2821" width="11.54296875" style="308" customWidth="1"/>
    <col min="2822" max="2823" width="13.26953125" style="308" customWidth="1"/>
    <col min="2824" max="2824" width="15.453125" style="308" customWidth="1"/>
    <col min="2825" max="2825" width="11.54296875" style="308" customWidth="1"/>
    <col min="2826" max="2826" width="13" style="308" customWidth="1"/>
    <col min="2827" max="2827" width="13.26953125" style="308" customWidth="1"/>
    <col min="2828" max="2828" width="15.7265625" style="308" customWidth="1"/>
    <col min="2829" max="3070" width="9.1796875" style="308"/>
    <col min="3071" max="3071" width="28.453125" style="308" customWidth="1"/>
    <col min="3072" max="3072" width="0" style="308" hidden="1" customWidth="1"/>
    <col min="3073" max="3073" width="12.7265625" style="308" customWidth="1"/>
    <col min="3074" max="3074" width="0" style="308" hidden="1" customWidth="1"/>
    <col min="3075" max="3075" width="12.26953125" style="308" customWidth="1"/>
    <col min="3076" max="3076" width="11.7265625" style="308" customWidth="1"/>
    <col min="3077" max="3077" width="11.54296875" style="308" customWidth="1"/>
    <col min="3078" max="3079" width="13.26953125" style="308" customWidth="1"/>
    <col min="3080" max="3080" width="15.453125" style="308" customWidth="1"/>
    <col min="3081" max="3081" width="11.54296875" style="308" customWidth="1"/>
    <col min="3082" max="3082" width="13" style="308" customWidth="1"/>
    <col min="3083" max="3083" width="13.26953125" style="308" customWidth="1"/>
    <col min="3084" max="3084" width="15.7265625" style="308" customWidth="1"/>
    <col min="3085" max="3326" width="9.1796875" style="308"/>
    <col min="3327" max="3327" width="28.453125" style="308" customWidth="1"/>
    <col min="3328" max="3328" width="0" style="308" hidden="1" customWidth="1"/>
    <col min="3329" max="3329" width="12.7265625" style="308" customWidth="1"/>
    <col min="3330" max="3330" width="0" style="308" hidden="1" customWidth="1"/>
    <col min="3331" max="3331" width="12.26953125" style="308" customWidth="1"/>
    <col min="3332" max="3332" width="11.7265625" style="308" customWidth="1"/>
    <col min="3333" max="3333" width="11.54296875" style="308" customWidth="1"/>
    <col min="3334" max="3335" width="13.26953125" style="308" customWidth="1"/>
    <col min="3336" max="3336" width="15.453125" style="308" customWidth="1"/>
    <col min="3337" max="3337" width="11.54296875" style="308" customWidth="1"/>
    <col min="3338" max="3338" width="13" style="308" customWidth="1"/>
    <col min="3339" max="3339" width="13.26953125" style="308" customWidth="1"/>
    <col min="3340" max="3340" width="15.7265625" style="308" customWidth="1"/>
    <col min="3341" max="3582" width="9.1796875" style="308"/>
    <col min="3583" max="3583" width="28.453125" style="308" customWidth="1"/>
    <col min="3584" max="3584" width="0" style="308" hidden="1" customWidth="1"/>
    <col min="3585" max="3585" width="12.7265625" style="308" customWidth="1"/>
    <col min="3586" max="3586" width="0" style="308" hidden="1" customWidth="1"/>
    <col min="3587" max="3587" width="12.26953125" style="308" customWidth="1"/>
    <col min="3588" max="3588" width="11.7265625" style="308" customWidth="1"/>
    <col min="3589" max="3589" width="11.54296875" style="308" customWidth="1"/>
    <col min="3590" max="3591" width="13.26953125" style="308" customWidth="1"/>
    <col min="3592" max="3592" width="15.453125" style="308" customWidth="1"/>
    <col min="3593" max="3593" width="11.54296875" style="308" customWidth="1"/>
    <col min="3594" max="3594" width="13" style="308" customWidth="1"/>
    <col min="3595" max="3595" width="13.26953125" style="308" customWidth="1"/>
    <col min="3596" max="3596" width="15.7265625" style="308" customWidth="1"/>
    <col min="3597" max="3838" width="9.1796875" style="308"/>
    <col min="3839" max="3839" width="28.453125" style="308" customWidth="1"/>
    <col min="3840" max="3840" width="0" style="308" hidden="1" customWidth="1"/>
    <col min="3841" max="3841" width="12.7265625" style="308" customWidth="1"/>
    <col min="3842" max="3842" width="0" style="308" hidden="1" customWidth="1"/>
    <col min="3843" max="3843" width="12.26953125" style="308" customWidth="1"/>
    <col min="3844" max="3844" width="11.7265625" style="308" customWidth="1"/>
    <col min="3845" max="3845" width="11.54296875" style="308" customWidth="1"/>
    <col min="3846" max="3847" width="13.26953125" style="308" customWidth="1"/>
    <col min="3848" max="3848" width="15.453125" style="308" customWidth="1"/>
    <col min="3849" max="3849" width="11.54296875" style="308" customWidth="1"/>
    <col min="3850" max="3850" width="13" style="308" customWidth="1"/>
    <col min="3851" max="3851" width="13.26953125" style="308" customWidth="1"/>
    <col min="3852" max="3852" width="15.7265625" style="308" customWidth="1"/>
    <col min="3853" max="4094" width="9.1796875" style="308"/>
    <col min="4095" max="4095" width="28.453125" style="308" customWidth="1"/>
    <col min="4096" max="4096" width="0" style="308" hidden="1" customWidth="1"/>
    <col min="4097" max="4097" width="12.7265625" style="308" customWidth="1"/>
    <col min="4098" max="4098" width="0" style="308" hidden="1" customWidth="1"/>
    <col min="4099" max="4099" width="12.26953125" style="308" customWidth="1"/>
    <col min="4100" max="4100" width="11.7265625" style="308" customWidth="1"/>
    <col min="4101" max="4101" width="11.54296875" style="308" customWidth="1"/>
    <col min="4102" max="4103" width="13.26953125" style="308" customWidth="1"/>
    <col min="4104" max="4104" width="15.453125" style="308" customWidth="1"/>
    <col min="4105" max="4105" width="11.54296875" style="308" customWidth="1"/>
    <col min="4106" max="4106" width="13" style="308" customWidth="1"/>
    <col min="4107" max="4107" width="13.26953125" style="308" customWidth="1"/>
    <col min="4108" max="4108" width="15.7265625" style="308" customWidth="1"/>
    <col min="4109" max="4350" width="9.1796875" style="308"/>
    <col min="4351" max="4351" width="28.453125" style="308" customWidth="1"/>
    <col min="4352" max="4352" width="0" style="308" hidden="1" customWidth="1"/>
    <col min="4353" max="4353" width="12.7265625" style="308" customWidth="1"/>
    <col min="4354" max="4354" width="0" style="308" hidden="1" customWidth="1"/>
    <col min="4355" max="4355" width="12.26953125" style="308" customWidth="1"/>
    <col min="4356" max="4356" width="11.7265625" style="308" customWidth="1"/>
    <col min="4357" max="4357" width="11.54296875" style="308" customWidth="1"/>
    <col min="4358" max="4359" width="13.26953125" style="308" customWidth="1"/>
    <col min="4360" max="4360" width="15.453125" style="308" customWidth="1"/>
    <col min="4361" max="4361" width="11.54296875" style="308" customWidth="1"/>
    <col min="4362" max="4362" width="13" style="308" customWidth="1"/>
    <col min="4363" max="4363" width="13.26953125" style="308" customWidth="1"/>
    <col min="4364" max="4364" width="15.7265625" style="308" customWidth="1"/>
    <col min="4365" max="4606" width="9.1796875" style="308"/>
    <col min="4607" max="4607" width="28.453125" style="308" customWidth="1"/>
    <col min="4608" max="4608" width="0" style="308" hidden="1" customWidth="1"/>
    <col min="4609" max="4609" width="12.7265625" style="308" customWidth="1"/>
    <col min="4610" max="4610" width="0" style="308" hidden="1" customWidth="1"/>
    <col min="4611" max="4611" width="12.26953125" style="308" customWidth="1"/>
    <col min="4612" max="4612" width="11.7265625" style="308" customWidth="1"/>
    <col min="4613" max="4613" width="11.54296875" style="308" customWidth="1"/>
    <col min="4614" max="4615" width="13.26953125" style="308" customWidth="1"/>
    <col min="4616" max="4616" width="15.453125" style="308" customWidth="1"/>
    <col min="4617" max="4617" width="11.54296875" style="308" customWidth="1"/>
    <col min="4618" max="4618" width="13" style="308" customWidth="1"/>
    <col min="4619" max="4619" width="13.26953125" style="308" customWidth="1"/>
    <col min="4620" max="4620" width="15.7265625" style="308" customWidth="1"/>
    <col min="4621" max="4862" width="9.1796875" style="308"/>
    <col min="4863" max="4863" width="28.453125" style="308" customWidth="1"/>
    <col min="4864" max="4864" width="0" style="308" hidden="1" customWidth="1"/>
    <col min="4865" max="4865" width="12.7265625" style="308" customWidth="1"/>
    <col min="4866" max="4866" width="0" style="308" hidden="1" customWidth="1"/>
    <col min="4867" max="4867" width="12.26953125" style="308" customWidth="1"/>
    <col min="4868" max="4868" width="11.7265625" style="308" customWidth="1"/>
    <col min="4869" max="4869" width="11.54296875" style="308" customWidth="1"/>
    <col min="4870" max="4871" width="13.26953125" style="308" customWidth="1"/>
    <col min="4872" max="4872" width="15.453125" style="308" customWidth="1"/>
    <col min="4873" max="4873" width="11.54296875" style="308" customWidth="1"/>
    <col min="4874" max="4874" width="13" style="308" customWidth="1"/>
    <col min="4875" max="4875" width="13.26953125" style="308" customWidth="1"/>
    <col min="4876" max="4876" width="15.7265625" style="308" customWidth="1"/>
    <col min="4877" max="5118" width="9.1796875" style="308"/>
    <col min="5119" max="5119" width="28.453125" style="308" customWidth="1"/>
    <col min="5120" max="5120" width="0" style="308" hidden="1" customWidth="1"/>
    <col min="5121" max="5121" width="12.7265625" style="308" customWidth="1"/>
    <col min="5122" max="5122" width="0" style="308" hidden="1" customWidth="1"/>
    <col min="5123" max="5123" width="12.26953125" style="308" customWidth="1"/>
    <col min="5124" max="5124" width="11.7265625" style="308" customWidth="1"/>
    <col min="5125" max="5125" width="11.54296875" style="308" customWidth="1"/>
    <col min="5126" max="5127" width="13.26953125" style="308" customWidth="1"/>
    <col min="5128" max="5128" width="15.453125" style="308" customWidth="1"/>
    <col min="5129" max="5129" width="11.54296875" style="308" customWidth="1"/>
    <col min="5130" max="5130" width="13" style="308" customWidth="1"/>
    <col min="5131" max="5131" width="13.26953125" style="308" customWidth="1"/>
    <col min="5132" max="5132" width="15.7265625" style="308" customWidth="1"/>
    <col min="5133" max="5374" width="9.1796875" style="308"/>
    <col min="5375" max="5375" width="28.453125" style="308" customWidth="1"/>
    <col min="5376" max="5376" width="0" style="308" hidden="1" customWidth="1"/>
    <col min="5377" max="5377" width="12.7265625" style="308" customWidth="1"/>
    <col min="5378" max="5378" width="0" style="308" hidden="1" customWidth="1"/>
    <col min="5379" max="5379" width="12.26953125" style="308" customWidth="1"/>
    <col min="5380" max="5380" width="11.7265625" style="308" customWidth="1"/>
    <col min="5381" max="5381" width="11.54296875" style="308" customWidth="1"/>
    <col min="5382" max="5383" width="13.26953125" style="308" customWidth="1"/>
    <col min="5384" max="5384" width="15.453125" style="308" customWidth="1"/>
    <col min="5385" max="5385" width="11.54296875" style="308" customWidth="1"/>
    <col min="5386" max="5386" width="13" style="308" customWidth="1"/>
    <col min="5387" max="5387" width="13.26953125" style="308" customWidth="1"/>
    <col min="5388" max="5388" width="15.7265625" style="308" customWidth="1"/>
    <col min="5389" max="5630" width="9.1796875" style="308"/>
    <col min="5631" max="5631" width="28.453125" style="308" customWidth="1"/>
    <col min="5632" max="5632" width="0" style="308" hidden="1" customWidth="1"/>
    <col min="5633" max="5633" width="12.7265625" style="308" customWidth="1"/>
    <col min="5634" max="5634" width="0" style="308" hidden="1" customWidth="1"/>
    <col min="5635" max="5635" width="12.26953125" style="308" customWidth="1"/>
    <col min="5636" max="5636" width="11.7265625" style="308" customWidth="1"/>
    <col min="5637" max="5637" width="11.54296875" style="308" customWidth="1"/>
    <col min="5638" max="5639" width="13.26953125" style="308" customWidth="1"/>
    <col min="5640" max="5640" width="15.453125" style="308" customWidth="1"/>
    <col min="5641" max="5641" width="11.54296875" style="308" customWidth="1"/>
    <col min="5642" max="5642" width="13" style="308" customWidth="1"/>
    <col min="5643" max="5643" width="13.26953125" style="308" customWidth="1"/>
    <col min="5644" max="5644" width="15.7265625" style="308" customWidth="1"/>
    <col min="5645" max="5886" width="9.1796875" style="308"/>
    <col min="5887" max="5887" width="28.453125" style="308" customWidth="1"/>
    <col min="5888" max="5888" width="0" style="308" hidden="1" customWidth="1"/>
    <col min="5889" max="5889" width="12.7265625" style="308" customWidth="1"/>
    <col min="5890" max="5890" width="0" style="308" hidden="1" customWidth="1"/>
    <col min="5891" max="5891" width="12.26953125" style="308" customWidth="1"/>
    <col min="5892" max="5892" width="11.7265625" style="308" customWidth="1"/>
    <col min="5893" max="5893" width="11.54296875" style="308" customWidth="1"/>
    <col min="5894" max="5895" width="13.26953125" style="308" customWidth="1"/>
    <col min="5896" max="5896" width="15.453125" style="308" customWidth="1"/>
    <col min="5897" max="5897" width="11.54296875" style="308" customWidth="1"/>
    <col min="5898" max="5898" width="13" style="308" customWidth="1"/>
    <col min="5899" max="5899" width="13.26953125" style="308" customWidth="1"/>
    <col min="5900" max="5900" width="15.7265625" style="308" customWidth="1"/>
    <col min="5901" max="6142" width="9.1796875" style="308"/>
    <col min="6143" max="6143" width="28.453125" style="308" customWidth="1"/>
    <col min="6144" max="6144" width="0" style="308" hidden="1" customWidth="1"/>
    <col min="6145" max="6145" width="12.7265625" style="308" customWidth="1"/>
    <col min="6146" max="6146" width="0" style="308" hidden="1" customWidth="1"/>
    <col min="6147" max="6147" width="12.26953125" style="308" customWidth="1"/>
    <col min="6148" max="6148" width="11.7265625" style="308" customWidth="1"/>
    <col min="6149" max="6149" width="11.54296875" style="308" customWidth="1"/>
    <col min="6150" max="6151" width="13.26953125" style="308" customWidth="1"/>
    <col min="6152" max="6152" width="15.453125" style="308" customWidth="1"/>
    <col min="6153" max="6153" width="11.54296875" style="308" customWidth="1"/>
    <col min="6154" max="6154" width="13" style="308" customWidth="1"/>
    <col min="6155" max="6155" width="13.26953125" style="308" customWidth="1"/>
    <col min="6156" max="6156" width="15.7265625" style="308" customWidth="1"/>
    <col min="6157" max="6398" width="9.1796875" style="308"/>
    <col min="6399" max="6399" width="28.453125" style="308" customWidth="1"/>
    <col min="6400" max="6400" width="0" style="308" hidden="1" customWidth="1"/>
    <col min="6401" max="6401" width="12.7265625" style="308" customWidth="1"/>
    <col min="6402" max="6402" width="0" style="308" hidden="1" customWidth="1"/>
    <col min="6403" max="6403" width="12.26953125" style="308" customWidth="1"/>
    <col min="6404" max="6404" width="11.7265625" style="308" customWidth="1"/>
    <col min="6405" max="6405" width="11.54296875" style="308" customWidth="1"/>
    <col min="6406" max="6407" width="13.26953125" style="308" customWidth="1"/>
    <col min="6408" max="6408" width="15.453125" style="308" customWidth="1"/>
    <col min="6409" max="6409" width="11.54296875" style="308" customWidth="1"/>
    <col min="6410" max="6410" width="13" style="308" customWidth="1"/>
    <col min="6411" max="6411" width="13.26953125" style="308" customWidth="1"/>
    <col min="6412" max="6412" width="15.7265625" style="308" customWidth="1"/>
    <col min="6413" max="6654" width="9.1796875" style="308"/>
    <col min="6655" max="6655" width="28.453125" style="308" customWidth="1"/>
    <col min="6656" max="6656" width="0" style="308" hidden="1" customWidth="1"/>
    <col min="6657" max="6657" width="12.7265625" style="308" customWidth="1"/>
    <col min="6658" max="6658" width="0" style="308" hidden="1" customWidth="1"/>
    <col min="6659" max="6659" width="12.26953125" style="308" customWidth="1"/>
    <col min="6660" max="6660" width="11.7265625" style="308" customWidth="1"/>
    <col min="6661" max="6661" width="11.54296875" style="308" customWidth="1"/>
    <col min="6662" max="6663" width="13.26953125" style="308" customWidth="1"/>
    <col min="6664" max="6664" width="15.453125" style="308" customWidth="1"/>
    <col min="6665" max="6665" width="11.54296875" style="308" customWidth="1"/>
    <col min="6666" max="6666" width="13" style="308" customWidth="1"/>
    <col min="6667" max="6667" width="13.26953125" style="308" customWidth="1"/>
    <col min="6668" max="6668" width="15.7265625" style="308" customWidth="1"/>
    <col min="6669" max="6910" width="9.1796875" style="308"/>
    <col min="6911" max="6911" width="28.453125" style="308" customWidth="1"/>
    <col min="6912" max="6912" width="0" style="308" hidden="1" customWidth="1"/>
    <col min="6913" max="6913" width="12.7265625" style="308" customWidth="1"/>
    <col min="6914" max="6914" width="0" style="308" hidden="1" customWidth="1"/>
    <col min="6915" max="6915" width="12.26953125" style="308" customWidth="1"/>
    <col min="6916" max="6916" width="11.7265625" style="308" customWidth="1"/>
    <col min="6917" max="6917" width="11.54296875" style="308" customWidth="1"/>
    <col min="6918" max="6919" width="13.26953125" style="308" customWidth="1"/>
    <col min="6920" max="6920" width="15.453125" style="308" customWidth="1"/>
    <col min="6921" max="6921" width="11.54296875" style="308" customWidth="1"/>
    <col min="6922" max="6922" width="13" style="308" customWidth="1"/>
    <col min="6923" max="6923" width="13.26953125" style="308" customWidth="1"/>
    <col min="6924" max="6924" width="15.7265625" style="308" customWidth="1"/>
    <col min="6925" max="7166" width="9.1796875" style="308"/>
    <col min="7167" max="7167" width="28.453125" style="308" customWidth="1"/>
    <col min="7168" max="7168" width="0" style="308" hidden="1" customWidth="1"/>
    <col min="7169" max="7169" width="12.7265625" style="308" customWidth="1"/>
    <col min="7170" max="7170" width="0" style="308" hidden="1" customWidth="1"/>
    <col min="7171" max="7171" width="12.26953125" style="308" customWidth="1"/>
    <col min="7172" max="7172" width="11.7265625" style="308" customWidth="1"/>
    <col min="7173" max="7173" width="11.54296875" style="308" customWidth="1"/>
    <col min="7174" max="7175" width="13.26953125" style="308" customWidth="1"/>
    <col min="7176" max="7176" width="15.453125" style="308" customWidth="1"/>
    <col min="7177" max="7177" width="11.54296875" style="308" customWidth="1"/>
    <col min="7178" max="7178" width="13" style="308" customWidth="1"/>
    <col min="7179" max="7179" width="13.26953125" style="308" customWidth="1"/>
    <col min="7180" max="7180" width="15.7265625" style="308" customWidth="1"/>
    <col min="7181" max="7422" width="9.1796875" style="308"/>
    <col min="7423" max="7423" width="28.453125" style="308" customWidth="1"/>
    <col min="7424" max="7424" width="0" style="308" hidden="1" customWidth="1"/>
    <col min="7425" max="7425" width="12.7265625" style="308" customWidth="1"/>
    <col min="7426" max="7426" width="0" style="308" hidden="1" customWidth="1"/>
    <col min="7427" max="7427" width="12.26953125" style="308" customWidth="1"/>
    <col min="7428" max="7428" width="11.7265625" style="308" customWidth="1"/>
    <col min="7429" max="7429" width="11.54296875" style="308" customWidth="1"/>
    <col min="7430" max="7431" width="13.26953125" style="308" customWidth="1"/>
    <col min="7432" max="7432" width="15.453125" style="308" customWidth="1"/>
    <col min="7433" max="7433" width="11.54296875" style="308" customWidth="1"/>
    <col min="7434" max="7434" width="13" style="308" customWidth="1"/>
    <col min="7435" max="7435" width="13.26953125" style="308" customWidth="1"/>
    <col min="7436" max="7436" width="15.7265625" style="308" customWidth="1"/>
    <col min="7437" max="7678" width="9.1796875" style="308"/>
    <col min="7679" max="7679" width="28.453125" style="308" customWidth="1"/>
    <col min="7680" max="7680" width="0" style="308" hidden="1" customWidth="1"/>
    <col min="7681" max="7681" width="12.7265625" style="308" customWidth="1"/>
    <col min="7682" max="7682" width="0" style="308" hidden="1" customWidth="1"/>
    <col min="7683" max="7683" width="12.26953125" style="308" customWidth="1"/>
    <col min="7684" max="7684" width="11.7265625" style="308" customWidth="1"/>
    <col min="7685" max="7685" width="11.54296875" style="308" customWidth="1"/>
    <col min="7686" max="7687" width="13.26953125" style="308" customWidth="1"/>
    <col min="7688" max="7688" width="15.453125" style="308" customWidth="1"/>
    <col min="7689" max="7689" width="11.54296875" style="308" customWidth="1"/>
    <col min="7690" max="7690" width="13" style="308" customWidth="1"/>
    <col min="7691" max="7691" width="13.26953125" style="308" customWidth="1"/>
    <col min="7692" max="7692" width="15.7265625" style="308" customWidth="1"/>
    <col min="7693" max="7934" width="9.1796875" style="308"/>
    <col min="7935" max="7935" width="28.453125" style="308" customWidth="1"/>
    <col min="7936" max="7936" width="0" style="308" hidden="1" customWidth="1"/>
    <col min="7937" max="7937" width="12.7265625" style="308" customWidth="1"/>
    <col min="7938" max="7938" width="0" style="308" hidden="1" customWidth="1"/>
    <col min="7939" max="7939" width="12.26953125" style="308" customWidth="1"/>
    <col min="7940" max="7940" width="11.7265625" style="308" customWidth="1"/>
    <col min="7941" max="7941" width="11.54296875" style="308" customWidth="1"/>
    <col min="7942" max="7943" width="13.26953125" style="308" customWidth="1"/>
    <col min="7944" max="7944" width="15.453125" style="308" customWidth="1"/>
    <col min="7945" max="7945" width="11.54296875" style="308" customWidth="1"/>
    <col min="7946" max="7946" width="13" style="308" customWidth="1"/>
    <col min="7947" max="7947" width="13.26953125" style="308" customWidth="1"/>
    <col min="7948" max="7948" width="15.7265625" style="308" customWidth="1"/>
    <col min="7949" max="8190" width="9.1796875" style="308"/>
    <col min="8191" max="8191" width="28.453125" style="308" customWidth="1"/>
    <col min="8192" max="8192" width="0" style="308" hidden="1" customWidth="1"/>
    <col min="8193" max="8193" width="12.7265625" style="308" customWidth="1"/>
    <col min="8194" max="8194" width="0" style="308" hidden="1" customWidth="1"/>
    <col min="8195" max="8195" width="12.26953125" style="308" customWidth="1"/>
    <col min="8196" max="8196" width="11.7265625" style="308" customWidth="1"/>
    <col min="8197" max="8197" width="11.54296875" style="308" customWidth="1"/>
    <col min="8198" max="8199" width="13.26953125" style="308" customWidth="1"/>
    <col min="8200" max="8200" width="15.453125" style="308" customWidth="1"/>
    <col min="8201" max="8201" width="11.54296875" style="308" customWidth="1"/>
    <col min="8202" max="8202" width="13" style="308" customWidth="1"/>
    <col min="8203" max="8203" width="13.26953125" style="308" customWidth="1"/>
    <col min="8204" max="8204" width="15.7265625" style="308" customWidth="1"/>
    <col min="8205" max="8446" width="9.1796875" style="308"/>
    <col min="8447" max="8447" width="28.453125" style="308" customWidth="1"/>
    <col min="8448" max="8448" width="0" style="308" hidden="1" customWidth="1"/>
    <col min="8449" max="8449" width="12.7265625" style="308" customWidth="1"/>
    <col min="8450" max="8450" width="0" style="308" hidden="1" customWidth="1"/>
    <col min="8451" max="8451" width="12.26953125" style="308" customWidth="1"/>
    <col min="8452" max="8452" width="11.7265625" style="308" customWidth="1"/>
    <col min="8453" max="8453" width="11.54296875" style="308" customWidth="1"/>
    <col min="8454" max="8455" width="13.26953125" style="308" customWidth="1"/>
    <col min="8456" max="8456" width="15.453125" style="308" customWidth="1"/>
    <col min="8457" max="8457" width="11.54296875" style="308" customWidth="1"/>
    <col min="8458" max="8458" width="13" style="308" customWidth="1"/>
    <col min="8459" max="8459" width="13.26953125" style="308" customWidth="1"/>
    <col min="8460" max="8460" width="15.7265625" style="308" customWidth="1"/>
    <col min="8461" max="8702" width="9.1796875" style="308"/>
    <col min="8703" max="8703" width="28.453125" style="308" customWidth="1"/>
    <col min="8704" max="8704" width="0" style="308" hidden="1" customWidth="1"/>
    <col min="8705" max="8705" width="12.7265625" style="308" customWidth="1"/>
    <col min="8706" max="8706" width="0" style="308" hidden="1" customWidth="1"/>
    <col min="8707" max="8707" width="12.26953125" style="308" customWidth="1"/>
    <col min="8708" max="8708" width="11.7265625" style="308" customWidth="1"/>
    <col min="8709" max="8709" width="11.54296875" style="308" customWidth="1"/>
    <col min="8710" max="8711" width="13.26953125" style="308" customWidth="1"/>
    <col min="8712" max="8712" width="15.453125" style="308" customWidth="1"/>
    <col min="8713" max="8713" width="11.54296875" style="308" customWidth="1"/>
    <col min="8714" max="8714" width="13" style="308" customWidth="1"/>
    <col min="8715" max="8715" width="13.26953125" style="308" customWidth="1"/>
    <col min="8716" max="8716" width="15.7265625" style="308" customWidth="1"/>
    <col min="8717" max="8958" width="9.1796875" style="308"/>
    <col min="8959" max="8959" width="28.453125" style="308" customWidth="1"/>
    <col min="8960" max="8960" width="0" style="308" hidden="1" customWidth="1"/>
    <col min="8961" max="8961" width="12.7265625" style="308" customWidth="1"/>
    <col min="8962" max="8962" width="0" style="308" hidden="1" customWidth="1"/>
    <col min="8963" max="8963" width="12.26953125" style="308" customWidth="1"/>
    <col min="8964" max="8964" width="11.7265625" style="308" customWidth="1"/>
    <col min="8965" max="8965" width="11.54296875" style="308" customWidth="1"/>
    <col min="8966" max="8967" width="13.26953125" style="308" customWidth="1"/>
    <col min="8968" max="8968" width="15.453125" style="308" customWidth="1"/>
    <col min="8969" max="8969" width="11.54296875" style="308" customWidth="1"/>
    <col min="8970" max="8970" width="13" style="308" customWidth="1"/>
    <col min="8971" max="8971" width="13.26953125" style="308" customWidth="1"/>
    <col min="8972" max="8972" width="15.7265625" style="308" customWidth="1"/>
    <col min="8973" max="9214" width="9.1796875" style="308"/>
    <col min="9215" max="9215" width="28.453125" style="308" customWidth="1"/>
    <col min="9216" max="9216" width="0" style="308" hidden="1" customWidth="1"/>
    <col min="9217" max="9217" width="12.7265625" style="308" customWidth="1"/>
    <col min="9218" max="9218" width="0" style="308" hidden="1" customWidth="1"/>
    <col min="9219" max="9219" width="12.26953125" style="308" customWidth="1"/>
    <col min="9220" max="9220" width="11.7265625" style="308" customWidth="1"/>
    <col min="9221" max="9221" width="11.54296875" style="308" customWidth="1"/>
    <col min="9222" max="9223" width="13.26953125" style="308" customWidth="1"/>
    <col min="9224" max="9224" width="15.453125" style="308" customWidth="1"/>
    <col min="9225" max="9225" width="11.54296875" style="308" customWidth="1"/>
    <col min="9226" max="9226" width="13" style="308" customWidth="1"/>
    <col min="9227" max="9227" width="13.26953125" style="308" customWidth="1"/>
    <col min="9228" max="9228" width="15.7265625" style="308" customWidth="1"/>
    <col min="9229" max="9470" width="9.1796875" style="308"/>
    <col min="9471" max="9471" width="28.453125" style="308" customWidth="1"/>
    <col min="9472" max="9472" width="0" style="308" hidden="1" customWidth="1"/>
    <col min="9473" max="9473" width="12.7265625" style="308" customWidth="1"/>
    <col min="9474" max="9474" width="0" style="308" hidden="1" customWidth="1"/>
    <col min="9475" max="9475" width="12.26953125" style="308" customWidth="1"/>
    <col min="9476" max="9476" width="11.7265625" style="308" customWidth="1"/>
    <col min="9477" max="9477" width="11.54296875" style="308" customWidth="1"/>
    <col min="9478" max="9479" width="13.26953125" style="308" customWidth="1"/>
    <col min="9480" max="9480" width="15.453125" style="308" customWidth="1"/>
    <col min="9481" max="9481" width="11.54296875" style="308" customWidth="1"/>
    <col min="9482" max="9482" width="13" style="308" customWidth="1"/>
    <col min="9483" max="9483" width="13.26953125" style="308" customWidth="1"/>
    <col min="9484" max="9484" width="15.7265625" style="308" customWidth="1"/>
    <col min="9485" max="9726" width="9.1796875" style="308"/>
    <col min="9727" max="9727" width="28.453125" style="308" customWidth="1"/>
    <col min="9728" max="9728" width="0" style="308" hidden="1" customWidth="1"/>
    <col min="9729" max="9729" width="12.7265625" style="308" customWidth="1"/>
    <col min="9730" max="9730" width="0" style="308" hidden="1" customWidth="1"/>
    <col min="9731" max="9731" width="12.26953125" style="308" customWidth="1"/>
    <col min="9732" max="9732" width="11.7265625" style="308" customWidth="1"/>
    <col min="9733" max="9733" width="11.54296875" style="308" customWidth="1"/>
    <col min="9734" max="9735" width="13.26953125" style="308" customWidth="1"/>
    <col min="9736" max="9736" width="15.453125" style="308" customWidth="1"/>
    <col min="9737" max="9737" width="11.54296875" style="308" customWidth="1"/>
    <col min="9738" max="9738" width="13" style="308" customWidth="1"/>
    <col min="9739" max="9739" width="13.26953125" style="308" customWidth="1"/>
    <col min="9740" max="9740" width="15.7265625" style="308" customWidth="1"/>
    <col min="9741" max="9982" width="9.1796875" style="308"/>
    <col min="9983" max="9983" width="28.453125" style="308" customWidth="1"/>
    <col min="9984" max="9984" width="0" style="308" hidden="1" customWidth="1"/>
    <col min="9985" max="9985" width="12.7265625" style="308" customWidth="1"/>
    <col min="9986" max="9986" width="0" style="308" hidden="1" customWidth="1"/>
    <col min="9987" max="9987" width="12.26953125" style="308" customWidth="1"/>
    <col min="9988" max="9988" width="11.7265625" style="308" customWidth="1"/>
    <col min="9989" max="9989" width="11.54296875" style="308" customWidth="1"/>
    <col min="9990" max="9991" width="13.26953125" style="308" customWidth="1"/>
    <col min="9992" max="9992" width="15.453125" style="308" customWidth="1"/>
    <col min="9993" max="9993" width="11.54296875" style="308" customWidth="1"/>
    <col min="9994" max="9994" width="13" style="308" customWidth="1"/>
    <col min="9995" max="9995" width="13.26953125" style="308" customWidth="1"/>
    <col min="9996" max="9996" width="15.7265625" style="308" customWidth="1"/>
    <col min="9997" max="10238" width="9.1796875" style="308"/>
    <col min="10239" max="10239" width="28.453125" style="308" customWidth="1"/>
    <col min="10240" max="10240" width="0" style="308" hidden="1" customWidth="1"/>
    <col min="10241" max="10241" width="12.7265625" style="308" customWidth="1"/>
    <col min="10242" max="10242" width="0" style="308" hidden="1" customWidth="1"/>
    <col min="10243" max="10243" width="12.26953125" style="308" customWidth="1"/>
    <col min="10244" max="10244" width="11.7265625" style="308" customWidth="1"/>
    <col min="10245" max="10245" width="11.54296875" style="308" customWidth="1"/>
    <col min="10246" max="10247" width="13.26953125" style="308" customWidth="1"/>
    <col min="10248" max="10248" width="15.453125" style="308" customWidth="1"/>
    <col min="10249" max="10249" width="11.54296875" style="308" customWidth="1"/>
    <col min="10250" max="10250" width="13" style="308" customWidth="1"/>
    <col min="10251" max="10251" width="13.26953125" style="308" customWidth="1"/>
    <col min="10252" max="10252" width="15.7265625" style="308" customWidth="1"/>
    <col min="10253" max="10494" width="9.1796875" style="308"/>
    <col min="10495" max="10495" width="28.453125" style="308" customWidth="1"/>
    <col min="10496" max="10496" width="0" style="308" hidden="1" customWidth="1"/>
    <col min="10497" max="10497" width="12.7265625" style="308" customWidth="1"/>
    <col min="10498" max="10498" width="0" style="308" hidden="1" customWidth="1"/>
    <col min="10499" max="10499" width="12.26953125" style="308" customWidth="1"/>
    <col min="10500" max="10500" width="11.7265625" style="308" customWidth="1"/>
    <col min="10501" max="10501" width="11.54296875" style="308" customWidth="1"/>
    <col min="10502" max="10503" width="13.26953125" style="308" customWidth="1"/>
    <col min="10504" max="10504" width="15.453125" style="308" customWidth="1"/>
    <col min="10505" max="10505" width="11.54296875" style="308" customWidth="1"/>
    <col min="10506" max="10506" width="13" style="308" customWidth="1"/>
    <col min="10507" max="10507" width="13.26953125" style="308" customWidth="1"/>
    <col min="10508" max="10508" width="15.7265625" style="308" customWidth="1"/>
    <col min="10509" max="10750" width="9.1796875" style="308"/>
    <col min="10751" max="10751" width="28.453125" style="308" customWidth="1"/>
    <col min="10752" max="10752" width="0" style="308" hidden="1" customWidth="1"/>
    <col min="10753" max="10753" width="12.7265625" style="308" customWidth="1"/>
    <col min="10754" max="10754" width="0" style="308" hidden="1" customWidth="1"/>
    <col min="10755" max="10755" width="12.26953125" style="308" customWidth="1"/>
    <col min="10756" max="10756" width="11.7265625" style="308" customWidth="1"/>
    <col min="10757" max="10757" width="11.54296875" style="308" customWidth="1"/>
    <col min="10758" max="10759" width="13.26953125" style="308" customWidth="1"/>
    <col min="10760" max="10760" width="15.453125" style="308" customWidth="1"/>
    <col min="10761" max="10761" width="11.54296875" style="308" customWidth="1"/>
    <col min="10762" max="10762" width="13" style="308" customWidth="1"/>
    <col min="10763" max="10763" width="13.26953125" style="308" customWidth="1"/>
    <col min="10764" max="10764" width="15.7265625" style="308" customWidth="1"/>
    <col min="10765" max="11006" width="9.1796875" style="308"/>
    <col min="11007" max="11007" width="28.453125" style="308" customWidth="1"/>
    <col min="11008" max="11008" width="0" style="308" hidden="1" customWidth="1"/>
    <col min="11009" max="11009" width="12.7265625" style="308" customWidth="1"/>
    <col min="11010" max="11010" width="0" style="308" hidden="1" customWidth="1"/>
    <col min="11011" max="11011" width="12.26953125" style="308" customWidth="1"/>
    <col min="11012" max="11012" width="11.7265625" style="308" customWidth="1"/>
    <col min="11013" max="11013" width="11.54296875" style="308" customWidth="1"/>
    <col min="11014" max="11015" width="13.26953125" style="308" customWidth="1"/>
    <col min="11016" max="11016" width="15.453125" style="308" customWidth="1"/>
    <col min="11017" max="11017" width="11.54296875" style="308" customWidth="1"/>
    <col min="11018" max="11018" width="13" style="308" customWidth="1"/>
    <col min="11019" max="11019" width="13.26953125" style="308" customWidth="1"/>
    <col min="11020" max="11020" width="15.7265625" style="308" customWidth="1"/>
    <col min="11021" max="11262" width="9.1796875" style="308"/>
    <col min="11263" max="11263" width="28.453125" style="308" customWidth="1"/>
    <col min="11264" max="11264" width="0" style="308" hidden="1" customWidth="1"/>
    <col min="11265" max="11265" width="12.7265625" style="308" customWidth="1"/>
    <col min="11266" max="11266" width="0" style="308" hidden="1" customWidth="1"/>
    <col min="11267" max="11267" width="12.26953125" style="308" customWidth="1"/>
    <col min="11268" max="11268" width="11.7265625" style="308" customWidth="1"/>
    <col min="11269" max="11269" width="11.54296875" style="308" customWidth="1"/>
    <col min="11270" max="11271" width="13.26953125" style="308" customWidth="1"/>
    <col min="11272" max="11272" width="15.453125" style="308" customWidth="1"/>
    <col min="11273" max="11273" width="11.54296875" style="308" customWidth="1"/>
    <col min="11274" max="11274" width="13" style="308" customWidth="1"/>
    <col min="11275" max="11275" width="13.26953125" style="308" customWidth="1"/>
    <col min="11276" max="11276" width="15.7265625" style="308" customWidth="1"/>
    <col min="11277" max="11518" width="9.1796875" style="308"/>
    <col min="11519" max="11519" width="28.453125" style="308" customWidth="1"/>
    <col min="11520" max="11520" width="0" style="308" hidden="1" customWidth="1"/>
    <col min="11521" max="11521" width="12.7265625" style="308" customWidth="1"/>
    <col min="11522" max="11522" width="0" style="308" hidden="1" customWidth="1"/>
    <col min="11523" max="11523" width="12.26953125" style="308" customWidth="1"/>
    <col min="11524" max="11524" width="11.7265625" style="308" customWidth="1"/>
    <col min="11525" max="11525" width="11.54296875" style="308" customWidth="1"/>
    <col min="11526" max="11527" width="13.26953125" style="308" customWidth="1"/>
    <col min="11528" max="11528" width="15.453125" style="308" customWidth="1"/>
    <col min="11529" max="11529" width="11.54296875" style="308" customWidth="1"/>
    <col min="11530" max="11530" width="13" style="308" customWidth="1"/>
    <col min="11531" max="11531" width="13.26953125" style="308" customWidth="1"/>
    <col min="11532" max="11532" width="15.7265625" style="308" customWidth="1"/>
    <col min="11533" max="11774" width="9.1796875" style="308"/>
    <col min="11775" max="11775" width="28.453125" style="308" customWidth="1"/>
    <col min="11776" max="11776" width="0" style="308" hidden="1" customWidth="1"/>
    <col min="11777" max="11777" width="12.7265625" style="308" customWidth="1"/>
    <col min="11778" max="11778" width="0" style="308" hidden="1" customWidth="1"/>
    <col min="11779" max="11779" width="12.26953125" style="308" customWidth="1"/>
    <col min="11780" max="11780" width="11.7265625" style="308" customWidth="1"/>
    <col min="11781" max="11781" width="11.54296875" style="308" customWidth="1"/>
    <col min="11782" max="11783" width="13.26953125" style="308" customWidth="1"/>
    <col min="11784" max="11784" width="15.453125" style="308" customWidth="1"/>
    <col min="11785" max="11785" width="11.54296875" style="308" customWidth="1"/>
    <col min="11786" max="11786" width="13" style="308" customWidth="1"/>
    <col min="11787" max="11787" width="13.26953125" style="308" customWidth="1"/>
    <col min="11788" max="11788" width="15.7265625" style="308" customWidth="1"/>
    <col min="11789" max="12030" width="9.1796875" style="308"/>
    <col min="12031" max="12031" width="28.453125" style="308" customWidth="1"/>
    <col min="12032" max="12032" width="0" style="308" hidden="1" customWidth="1"/>
    <col min="12033" max="12033" width="12.7265625" style="308" customWidth="1"/>
    <col min="12034" max="12034" width="0" style="308" hidden="1" customWidth="1"/>
    <col min="12035" max="12035" width="12.26953125" style="308" customWidth="1"/>
    <col min="12036" max="12036" width="11.7265625" style="308" customWidth="1"/>
    <col min="12037" max="12037" width="11.54296875" style="308" customWidth="1"/>
    <col min="12038" max="12039" width="13.26953125" style="308" customWidth="1"/>
    <col min="12040" max="12040" width="15.453125" style="308" customWidth="1"/>
    <col min="12041" max="12041" width="11.54296875" style="308" customWidth="1"/>
    <col min="12042" max="12042" width="13" style="308" customWidth="1"/>
    <col min="12043" max="12043" width="13.26953125" style="308" customWidth="1"/>
    <col min="12044" max="12044" width="15.7265625" style="308" customWidth="1"/>
    <col min="12045" max="12286" width="9.1796875" style="308"/>
    <col min="12287" max="12287" width="28.453125" style="308" customWidth="1"/>
    <col min="12288" max="12288" width="0" style="308" hidden="1" customWidth="1"/>
    <col min="12289" max="12289" width="12.7265625" style="308" customWidth="1"/>
    <col min="12290" max="12290" width="0" style="308" hidden="1" customWidth="1"/>
    <col min="12291" max="12291" width="12.26953125" style="308" customWidth="1"/>
    <col min="12292" max="12292" width="11.7265625" style="308" customWidth="1"/>
    <col min="12293" max="12293" width="11.54296875" style="308" customWidth="1"/>
    <col min="12294" max="12295" width="13.26953125" style="308" customWidth="1"/>
    <col min="12296" max="12296" width="15.453125" style="308" customWidth="1"/>
    <col min="12297" max="12297" width="11.54296875" style="308" customWidth="1"/>
    <col min="12298" max="12298" width="13" style="308" customWidth="1"/>
    <col min="12299" max="12299" width="13.26953125" style="308" customWidth="1"/>
    <col min="12300" max="12300" width="15.7265625" style="308" customWidth="1"/>
    <col min="12301" max="12542" width="9.1796875" style="308"/>
    <col min="12543" max="12543" width="28.453125" style="308" customWidth="1"/>
    <col min="12544" max="12544" width="0" style="308" hidden="1" customWidth="1"/>
    <col min="12545" max="12545" width="12.7265625" style="308" customWidth="1"/>
    <col min="12546" max="12546" width="0" style="308" hidden="1" customWidth="1"/>
    <col min="12547" max="12547" width="12.26953125" style="308" customWidth="1"/>
    <col min="12548" max="12548" width="11.7265625" style="308" customWidth="1"/>
    <col min="12549" max="12549" width="11.54296875" style="308" customWidth="1"/>
    <col min="12550" max="12551" width="13.26953125" style="308" customWidth="1"/>
    <col min="12552" max="12552" width="15.453125" style="308" customWidth="1"/>
    <col min="12553" max="12553" width="11.54296875" style="308" customWidth="1"/>
    <col min="12554" max="12554" width="13" style="308" customWidth="1"/>
    <col min="12555" max="12555" width="13.26953125" style="308" customWidth="1"/>
    <col min="12556" max="12556" width="15.7265625" style="308" customWidth="1"/>
    <col min="12557" max="12798" width="9.1796875" style="308"/>
    <col min="12799" max="12799" width="28.453125" style="308" customWidth="1"/>
    <col min="12800" max="12800" width="0" style="308" hidden="1" customWidth="1"/>
    <col min="12801" max="12801" width="12.7265625" style="308" customWidth="1"/>
    <col min="12802" max="12802" width="0" style="308" hidden="1" customWidth="1"/>
    <col min="12803" max="12803" width="12.26953125" style="308" customWidth="1"/>
    <col min="12804" max="12804" width="11.7265625" style="308" customWidth="1"/>
    <col min="12805" max="12805" width="11.54296875" style="308" customWidth="1"/>
    <col min="12806" max="12807" width="13.26953125" style="308" customWidth="1"/>
    <col min="12808" max="12808" width="15.453125" style="308" customWidth="1"/>
    <col min="12809" max="12809" width="11.54296875" style="308" customWidth="1"/>
    <col min="12810" max="12810" width="13" style="308" customWidth="1"/>
    <col min="12811" max="12811" width="13.26953125" style="308" customWidth="1"/>
    <col min="12812" max="12812" width="15.7265625" style="308" customWidth="1"/>
    <col min="12813" max="13054" width="9.1796875" style="308"/>
    <col min="13055" max="13055" width="28.453125" style="308" customWidth="1"/>
    <col min="13056" max="13056" width="0" style="308" hidden="1" customWidth="1"/>
    <col min="13057" max="13057" width="12.7265625" style="308" customWidth="1"/>
    <col min="13058" max="13058" width="0" style="308" hidden="1" customWidth="1"/>
    <col min="13059" max="13059" width="12.26953125" style="308" customWidth="1"/>
    <col min="13060" max="13060" width="11.7265625" style="308" customWidth="1"/>
    <col min="13061" max="13061" width="11.54296875" style="308" customWidth="1"/>
    <col min="13062" max="13063" width="13.26953125" style="308" customWidth="1"/>
    <col min="13064" max="13064" width="15.453125" style="308" customWidth="1"/>
    <col min="13065" max="13065" width="11.54296875" style="308" customWidth="1"/>
    <col min="13066" max="13066" width="13" style="308" customWidth="1"/>
    <col min="13067" max="13067" width="13.26953125" style="308" customWidth="1"/>
    <col min="13068" max="13068" width="15.7265625" style="308" customWidth="1"/>
    <col min="13069" max="13310" width="9.1796875" style="308"/>
    <col min="13311" max="13311" width="28.453125" style="308" customWidth="1"/>
    <col min="13312" max="13312" width="0" style="308" hidden="1" customWidth="1"/>
    <col min="13313" max="13313" width="12.7265625" style="308" customWidth="1"/>
    <col min="13314" max="13314" width="0" style="308" hidden="1" customWidth="1"/>
    <col min="13315" max="13315" width="12.26953125" style="308" customWidth="1"/>
    <col min="13316" max="13316" width="11.7265625" style="308" customWidth="1"/>
    <col min="13317" max="13317" width="11.54296875" style="308" customWidth="1"/>
    <col min="13318" max="13319" width="13.26953125" style="308" customWidth="1"/>
    <col min="13320" max="13320" width="15.453125" style="308" customWidth="1"/>
    <col min="13321" max="13321" width="11.54296875" style="308" customWidth="1"/>
    <col min="13322" max="13322" width="13" style="308" customWidth="1"/>
    <col min="13323" max="13323" width="13.26953125" style="308" customWidth="1"/>
    <col min="13324" max="13324" width="15.7265625" style="308" customWidth="1"/>
    <col min="13325" max="13566" width="9.1796875" style="308"/>
    <col min="13567" max="13567" width="28.453125" style="308" customWidth="1"/>
    <col min="13568" max="13568" width="0" style="308" hidden="1" customWidth="1"/>
    <col min="13569" max="13569" width="12.7265625" style="308" customWidth="1"/>
    <col min="13570" max="13570" width="0" style="308" hidden="1" customWidth="1"/>
    <col min="13571" max="13571" width="12.26953125" style="308" customWidth="1"/>
    <col min="13572" max="13572" width="11.7265625" style="308" customWidth="1"/>
    <col min="13573" max="13573" width="11.54296875" style="308" customWidth="1"/>
    <col min="13574" max="13575" width="13.26953125" style="308" customWidth="1"/>
    <col min="13576" max="13576" width="15.453125" style="308" customWidth="1"/>
    <col min="13577" max="13577" width="11.54296875" style="308" customWidth="1"/>
    <col min="13578" max="13578" width="13" style="308" customWidth="1"/>
    <col min="13579" max="13579" width="13.26953125" style="308" customWidth="1"/>
    <col min="13580" max="13580" width="15.7265625" style="308" customWidth="1"/>
    <col min="13581" max="13822" width="9.1796875" style="308"/>
    <col min="13823" max="13823" width="28.453125" style="308" customWidth="1"/>
    <col min="13824" max="13824" width="0" style="308" hidden="1" customWidth="1"/>
    <col min="13825" max="13825" width="12.7265625" style="308" customWidth="1"/>
    <col min="13826" max="13826" width="0" style="308" hidden="1" customWidth="1"/>
    <col min="13827" max="13827" width="12.26953125" style="308" customWidth="1"/>
    <col min="13828" max="13828" width="11.7265625" style="308" customWidth="1"/>
    <col min="13829" max="13829" width="11.54296875" style="308" customWidth="1"/>
    <col min="13830" max="13831" width="13.26953125" style="308" customWidth="1"/>
    <col min="13832" max="13832" width="15.453125" style="308" customWidth="1"/>
    <col min="13833" max="13833" width="11.54296875" style="308" customWidth="1"/>
    <col min="13834" max="13834" width="13" style="308" customWidth="1"/>
    <col min="13835" max="13835" width="13.26953125" style="308" customWidth="1"/>
    <col min="13836" max="13836" width="15.7265625" style="308" customWidth="1"/>
    <col min="13837" max="14078" width="9.1796875" style="308"/>
    <col min="14079" max="14079" width="28.453125" style="308" customWidth="1"/>
    <col min="14080" max="14080" width="0" style="308" hidden="1" customWidth="1"/>
    <col min="14081" max="14081" width="12.7265625" style="308" customWidth="1"/>
    <col min="14082" max="14082" width="0" style="308" hidden="1" customWidth="1"/>
    <col min="14083" max="14083" width="12.26953125" style="308" customWidth="1"/>
    <col min="14084" max="14084" width="11.7265625" style="308" customWidth="1"/>
    <col min="14085" max="14085" width="11.54296875" style="308" customWidth="1"/>
    <col min="14086" max="14087" width="13.26953125" style="308" customWidth="1"/>
    <col min="14088" max="14088" width="15.453125" style="308" customWidth="1"/>
    <col min="14089" max="14089" width="11.54296875" style="308" customWidth="1"/>
    <col min="14090" max="14090" width="13" style="308" customWidth="1"/>
    <col min="14091" max="14091" width="13.26953125" style="308" customWidth="1"/>
    <col min="14092" max="14092" width="15.7265625" style="308" customWidth="1"/>
    <col min="14093" max="14334" width="9.1796875" style="308"/>
    <col min="14335" max="14335" width="28.453125" style="308" customWidth="1"/>
    <col min="14336" max="14336" width="0" style="308" hidden="1" customWidth="1"/>
    <col min="14337" max="14337" width="12.7265625" style="308" customWidth="1"/>
    <col min="14338" max="14338" width="0" style="308" hidden="1" customWidth="1"/>
    <col min="14339" max="14339" width="12.26953125" style="308" customWidth="1"/>
    <col min="14340" max="14340" width="11.7265625" style="308" customWidth="1"/>
    <col min="14341" max="14341" width="11.54296875" style="308" customWidth="1"/>
    <col min="14342" max="14343" width="13.26953125" style="308" customWidth="1"/>
    <col min="14344" max="14344" width="15.453125" style="308" customWidth="1"/>
    <col min="14345" max="14345" width="11.54296875" style="308" customWidth="1"/>
    <col min="14346" max="14346" width="13" style="308" customWidth="1"/>
    <col min="14347" max="14347" width="13.26953125" style="308" customWidth="1"/>
    <col min="14348" max="14348" width="15.7265625" style="308" customWidth="1"/>
    <col min="14349" max="14590" width="9.1796875" style="308"/>
    <col min="14591" max="14591" width="28.453125" style="308" customWidth="1"/>
    <col min="14592" max="14592" width="0" style="308" hidden="1" customWidth="1"/>
    <col min="14593" max="14593" width="12.7265625" style="308" customWidth="1"/>
    <col min="14594" max="14594" width="0" style="308" hidden="1" customWidth="1"/>
    <col min="14595" max="14595" width="12.26953125" style="308" customWidth="1"/>
    <col min="14596" max="14596" width="11.7265625" style="308" customWidth="1"/>
    <col min="14597" max="14597" width="11.54296875" style="308" customWidth="1"/>
    <col min="14598" max="14599" width="13.26953125" style="308" customWidth="1"/>
    <col min="14600" max="14600" width="15.453125" style="308" customWidth="1"/>
    <col min="14601" max="14601" width="11.54296875" style="308" customWidth="1"/>
    <col min="14602" max="14602" width="13" style="308" customWidth="1"/>
    <col min="14603" max="14603" width="13.26953125" style="308" customWidth="1"/>
    <col min="14604" max="14604" width="15.7265625" style="308" customWidth="1"/>
    <col min="14605" max="14846" width="9.1796875" style="308"/>
    <col min="14847" max="14847" width="28.453125" style="308" customWidth="1"/>
    <col min="14848" max="14848" width="0" style="308" hidden="1" customWidth="1"/>
    <col min="14849" max="14849" width="12.7265625" style="308" customWidth="1"/>
    <col min="14850" max="14850" width="0" style="308" hidden="1" customWidth="1"/>
    <col min="14851" max="14851" width="12.26953125" style="308" customWidth="1"/>
    <col min="14852" max="14852" width="11.7265625" style="308" customWidth="1"/>
    <col min="14853" max="14853" width="11.54296875" style="308" customWidth="1"/>
    <col min="14854" max="14855" width="13.26953125" style="308" customWidth="1"/>
    <col min="14856" max="14856" width="15.453125" style="308" customWidth="1"/>
    <col min="14857" max="14857" width="11.54296875" style="308" customWidth="1"/>
    <col min="14858" max="14858" width="13" style="308" customWidth="1"/>
    <col min="14859" max="14859" width="13.26953125" style="308" customWidth="1"/>
    <col min="14860" max="14860" width="15.7265625" style="308" customWidth="1"/>
    <col min="14861" max="15102" width="9.1796875" style="308"/>
    <col min="15103" max="15103" width="28.453125" style="308" customWidth="1"/>
    <col min="15104" max="15104" width="0" style="308" hidden="1" customWidth="1"/>
    <col min="15105" max="15105" width="12.7265625" style="308" customWidth="1"/>
    <col min="15106" max="15106" width="0" style="308" hidden="1" customWidth="1"/>
    <col min="15107" max="15107" width="12.26953125" style="308" customWidth="1"/>
    <col min="15108" max="15108" width="11.7265625" style="308" customWidth="1"/>
    <col min="15109" max="15109" width="11.54296875" style="308" customWidth="1"/>
    <col min="15110" max="15111" width="13.26953125" style="308" customWidth="1"/>
    <col min="15112" max="15112" width="15.453125" style="308" customWidth="1"/>
    <col min="15113" max="15113" width="11.54296875" style="308" customWidth="1"/>
    <col min="15114" max="15114" width="13" style="308" customWidth="1"/>
    <col min="15115" max="15115" width="13.26953125" style="308" customWidth="1"/>
    <col min="15116" max="15116" width="15.7265625" style="308" customWidth="1"/>
    <col min="15117" max="15358" width="9.1796875" style="308"/>
    <col min="15359" max="15359" width="28.453125" style="308" customWidth="1"/>
    <col min="15360" max="15360" width="0" style="308" hidden="1" customWidth="1"/>
    <col min="15361" max="15361" width="12.7265625" style="308" customWidth="1"/>
    <col min="15362" max="15362" width="0" style="308" hidden="1" customWidth="1"/>
    <col min="15363" max="15363" width="12.26953125" style="308" customWidth="1"/>
    <col min="15364" max="15364" width="11.7265625" style="308" customWidth="1"/>
    <col min="15365" max="15365" width="11.54296875" style="308" customWidth="1"/>
    <col min="15366" max="15367" width="13.26953125" style="308" customWidth="1"/>
    <col min="15368" max="15368" width="15.453125" style="308" customWidth="1"/>
    <col min="15369" max="15369" width="11.54296875" style="308" customWidth="1"/>
    <col min="15370" max="15370" width="13" style="308" customWidth="1"/>
    <col min="15371" max="15371" width="13.26953125" style="308" customWidth="1"/>
    <col min="15372" max="15372" width="15.7265625" style="308" customWidth="1"/>
    <col min="15373" max="15614" width="9.1796875" style="308"/>
    <col min="15615" max="15615" width="28.453125" style="308" customWidth="1"/>
    <col min="15616" max="15616" width="0" style="308" hidden="1" customWidth="1"/>
    <col min="15617" max="15617" width="12.7265625" style="308" customWidth="1"/>
    <col min="15618" max="15618" width="0" style="308" hidden="1" customWidth="1"/>
    <col min="15619" max="15619" width="12.26953125" style="308" customWidth="1"/>
    <col min="15620" max="15620" width="11.7265625" style="308" customWidth="1"/>
    <col min="15621" max="15621" width="11.54296875" style="308" customWidth="1"/>
    <col min="15622" max="15623" width="13.26953125" style="308" customWidth="1"/>
    <col min="15624" max="15624" width="15.453125" style="308" customWidth="1"/>
    <col min="15625" max="15625" width="11.54296875" style="308" customWidth="1"/>
    <col min="15626" max="15626" width="13" style="308" customWidth="1"/>
    <col min="15627" max="15627" width="13.26953125" style="308" customWidth="1"/>
    <col min="15628" max="15628" width="15.7265625" style="308" customWidth="1"/>
    <col min="15629" max="15870" width="9.1796875" style="308"/>
    <col min="15871" max="15871" width="28.453125" style="308" customWidth="1"/>
    <col min="15872" max="15872" width="0" style="308" hidden="1" customWidth="1"/>
    <col min="15873" max="15873" width="12.7265625" style="308" customWidth="1"/>
    <col min="15874" max="15874" width="0" style="308" hidden="1" customWidth="1"/>
    <col min="15875" max="15875" width="12.26953125" style="308" customWidth="1"/>
    <col min="15876" max="15876" width="11.7265625" style="308" customWidth="1"/>
    <col min="15877" max="15877" width="11.54296875" style="308" customWidth="1"/>
    <col min="15878" max="15879" width="13.26953125" style="308" customWidth="1"/>
    <col min="15880" max="15880" width="15.453125" style="308" customWidth="1"/>
    <col min="15881" max="15881" width="11.54296875" style="308" customWidth="1"/>
    <col min="15882" max="15882" width="13" style="308" customWidth="1"/>
    <col min="15883" max="15883" width="13.26953125" style="308" customWidth="1"/>
    <col min="15884" max="15884" width="15.7265625" style="308" customWidth="1"/>
    <col min="15885" max="16126" width="9.1796875" style="308"/>
    <col min="16127" max="16127" width="28.453125" style="308" customWidth="1"/>
    <col min="16128" max="16128" width="0" style="308" hidden="1" customWidth="1"/>
    <col min="16129" max="16129" width="12.7265625" style="308" customWidth="1"/>
    <col min="16130" max="16130" width="0" style="308" hidden="1" customWidth="1"/>
    <col min="16131" max="16131" width="12.26953125" style="308" customWidth="1"/>
    <col min="16132" max="16132" width="11.7265625" style="308" customWidth="1"/>
    <col min="16133" max="16133" width="11.54296875" style="308" customWidth="1"/>
    <col min="16134" max="16135" width="13.26953125" style="308" customWidth="1"/>
    <col min="16136" max="16136" width="15.453125" style="308" customWidth="1"/>
    <col min="16137" max="16137" width="11.54296875" style="308" customWidth="1"/>
    <col min="16138" max="16138" width="13" style="308" customWidth="1"/>
    <col min="16139" max="16139" width="13.26953125" style="308" customWidth="1"/>
    <col min="16140" max="16140" width="15.7265625" style="308" customWidth="1"/>
    <col min="16141" max="16384" width="9.1796875" style="308"/>
  </cols>
  <sheetData>
    <row r="1" spans="1:16">
      <c r="H1" s="1559" t="s">
        <v>457</v>
      </c>
      <c r="I1" s="1559"/>
    </row>
    <row r="2" spans="1:16">
      <c r="A2" s="1560" t="s">
        <v>435</v>
      </c>
      <c r="B2" s="1560"/>
      <c r="C2" s="1560"/>
      <c r="D2" s="1560"/>
      <c r="E2" s="1560"/>
      <c r="F2" s="1560"/>
      <c r="G2" s="1560"/>
      <c r="H2" s="1560"/>
      <c r="I2" s="1560"/>
      <c r="J2" s="309"/>
      <c r="K2" s="309"/>
      <c r="L2" s="309"/>
    </row>
    <row r="3" spans="1:16">
      <c r="A3" s="310"/>
      <c r="B3" s="310"/>
      <c r="C3" s="310"/>
      <c r="D3" s="310"/>
      <c r="E3" s="310"/>
      <c r="F3" s="310"/>
      <c r="G3" s="310"/>
      <c r="H3" s="310"/>
      <c r="I3" s="311"/>
      <c r="J3" s="311"/>
      <c r="K3" s="311"/>
      <c r="L3" s="311"/>
      <c r="M3" s="311"/>
      <c r="N3" s="311"/>
      <c r="O3" s="311"/>
      <c r="P3" s="311"/>
    </row>
    <row r="4" spans="1:16">
      <c r="A4" s="1561" t="s">
        <v>436</v>
      </c>
      <c r="B4" s="1562" t="s">
        <v>437</v>
      </c>
      <c r="C4" s="1562" t="s">
        <v>438</v>
      </c>
      <c r="D4" s="1562" t="s">
        <v>439</v>
      </c>
      <c r="E4" s="312"/>
      <c r="F4" s="312"/>
      <c r="G4" s="312"/>
      <c r="H4" s="312"/>
      <c r="I4" s="312"/>
      <c r="J4" s="312"/>
      <c r="K4" s="312"/>
      <c r="L4" s="312"/>
      <c r="M4" s="312"/>
      <c r="N4" s="312"/>
      <c r="O4" s="312"/>
      <c r="P4" s="312"/>
    </row>
    <row r="5" spans="1:16">
      <c r="A5" s="1561"/>
      <c r="B5" s="1562"/>
      <c r="C5" s="1562"/>
      <c r="D5" s="1562"/>
      <c r="E5" s="313"/>
      <c r="F5" s="312"/>
      <c r="G5" s="312"/>
      <c r="H5" s="314"/>
      <c r="I5" s="313"/>
      <c r="J5" s="312"/>
      <c r="K5" s="312"/>
      <c r="L5" s="314"/>
      <c r="M5" s="313"/>
      <c r="N5" s="312"/>
      <c r="O5" s="312"/>
      <c r="P5" s="314"/>
    </row>
    <row r="6" spans="1:16">
      <c r="A6" s="1561"/>
      <c r="B6" s="1562"/>
      <c r="C6" s="1562"/>
      <c r="D6" s="1562"/>
      <c r="E6" s="313"/>
      <c r="F6" s="315"/>
      <c r="G6" s="315"/>
      <c r="H6" s="314"/>
      <c r="I6" s="313"/>
      <c r="J6" s="315"/>
      <c r="K6" s="315"/>
      <c r="L6" s="314"/>
      <c r="M6" s="313"/>
      <c r="N6" s="315"/>
      <c r="O6" s="315"/>
      <c r="P6" s="314"/>
    </row>
    <row r="7" spans="1:16">
      <c r="A7" s="316">
        <v>1</v>
      </c>
      <c r="B7" s="317">
        <v>2</v>
      </c>
      <c r="C7" s="317">
        <v>3</v>
      </c>
      <c r="D7" s="317">
        <v>4</v>
      </c>
      <c r="E7" s="318"/>
      <c r="F7" s="315"/>
      <c r="G7" s="315"/>
      <c r="H7" s="315"/>
      <c r="I7" s="318"/>
      <c r="J7" s="315"/>
      <c r="K7" s="315"/>
      <c r="L7" s="315"/>
      <c r="M7" s="319"/>
      <c r="N7" s="320"/>
      <c r="O7" s="320"/>
      <c r="P7" s="320"/>
    </row>
    <row r="8" spans="1:16" ht="26.5">
      <c r="A8" s="321" t="s">
        <v>440</v>
      </c>
      <c r="B8" s="322">
        <f>ROUND(51.5*1.12,2)</f>
        <v>57.68</v>
      </c>
      <c r="C8" s="323">
        <v>15090</v>
      </c>
      <c r="D8" s="323">
        <f>B8*C8</f>
        <v>870391.2</v>
      </c>
      <c r="E8" s="324"/>
      <c r="F8" s="324"/>
      <c r="G8" s="324"/>
      <c r="H8" s="325"/>
      <c r="I8" s="326"/>
      <c r="J8" s="326"/>
      <c r="K8" s="324"/>
      <c r="L8" s="325"/>
      <c r="M8" s="326"/>
      <c r="N8" s="326"/>
      <c r="O8" s="324"/>
      <c r="P8" s="325"/>
    </row>
    <row r="9" spans="1:16">
      <c r="F9" s="327"/>
      <c r="H9" s="328"/>
      <c r="J9" s="327"/>
      <c r="L9" s="328"/>
      <c r="N9" s="327"/>
      <c r="P9" s="328"/>
    </row>
    <row r="10" spans="1:16">
      <c r="A10" s="1558" t="s">
        <v>441</v>
      </c>
      <c r="B10" s="1558" t="s">
        <v>442</v>
      </c>
      <c r="C10" s="1558" t="s">
        <v>443</v>
      </c>
      <c r="D10" s="1558" t="s">
        <v>444</v>
      </c>
      <c r="E10" s="1558"/>
      <c r="F10" s="1558"/>
      <c r="G10" s="1558" t="s">
        <v>445</v>
      </c>
      <c r="H10" s="1558"/>
      <c r="I10" s="1558"/>
    </row>
    <row r="11" spans="1:16" ht="52">
      <c r="A11" s="1558"/>
      <c r="B11" s="1558"/>
      <c r="C11" s="1558"/>
      <c r="D11" s="329" t="s">
        <v>446</v>
      </c>
      <c r="E11" s="329" t="s">
        <v>447</v>
      </c>
      <c r="F11" s="329" t="s">
        <v>448</v>
      </c>
      <c r="G11" s="329" t="s">
        <v>446</v>
      </c>
      <c r="H11" s="329" t="s">
        <v>447</v>
      </c>
      <c r="I11" s="329" t="s">
        <v>448</v>
      </c>
    </row>
    <row r="12" spans="1:16" s="333" customFormat="1" ht="39">
      <c r="A12" s="330" t="s">
        <v>449</v>
      </c>
      <c r="B12" s="330" t="s">
        <v>450</v>
      </c>
      <c r="C12" s="330" t="s">
        <v>451</v>
      </c>
      <c r="D12" s="331">
        <v>9951</v>
      </c>
      <c r="E12" s="331">
        <v>13935</v>
      </c>
      <c r="F12" s="331">
        <f>ROUNDUP(E12*B8,0)</f>
        <v>803771</v>
      </c>
      <c r="G12" s="331">
        <v>8929</v>
      </c>
      <c r="H12" s="331">
        <v>12505</v>
      </c>
      <c r="I12" s="331">
        <f>ROUNDUP(H12*B8,0)</f>
        <v>721289</v>
      </c>
      <c r="J12" s="332"/>
      <c r="N12" s="332"/>
    </row>
    <row r="13" spans="1:16" s="333" customFormat="1" ht="39">
      <c r="A13" s="330" t="s">
        <v>449</v>
      </c>
      <c r="B13" s="330" t="s">
        <v>452</v>
      </c>
      <c r="C13" s="330" t="s">
        <v>453</v>
      </c>
      <c r="D13" s="331">
        <v>10296</v>
      </c>
      <c r="E13" s="331">
        <v>12355</v>
      </c>
      <c r="F13" s="331">
        <f>ROUNDUP(E13*B8,0)</f>
        <v>712637</v>
      </c>
      <c r="G13" s="331">
        <v>9749</v>
      </c>
      <c r="H13" s="331">
        <v>11700</v>
      </c>
      <c r="I13" s="331">
        <f>ROUNDUP(H13*B8,0)</f>
        <v>674856</v>
      </c>
      <c r="J13" s="332"/>
      <c r="N13" s="332"/>
    </row>
    <row r="14" spans="1:16" s="333" customFormat="1" ht="26">
      <c r="A14" s="334" t="s">
        <v>449</v>
      </c>
      <c r="B14" s="335" t="s">
        <v>454</v>
      </c>
      <c r="C14" s="336"/>
      <c r="D14" s="337">
        <f t="shared" ref="D14:I14" si="0">D12+D13</f>
        <v>20247</v>
      </c>
      <c r="E14" s="337">
        <f t="shared" si="0"/>
        <v>26290</v>
      </c>
      <c r="F14" s="337">
        <f t="shared" si="0"/>
        <v>1516408</v>
      </c>
      <c r="G14" s="337">
        <f t="shared" si="0"/>
        <v>18678</v>
      </c>
      <c r="H14" s="337">
        <f t="shared" si="0"/>
        <v>24205</v>
      </c>
      <c r="I14" s="337">
        <f t="shared" si="0"/>
        <v>1396145</v>
      </c>
      <c r="J14" s="332"/>
      <c r="N14" s="332"/>
    </row>
    <row r="15" spans="1:16" s="333" customFormat="1" ht="26">
      <c r="A15" s="336" t="s">
        <v>455</v>
      </c>
      <c r="B15" s="338"/>
      <c r="C15" s="338"/>
      <c r="D15" s="337"/>
      <c r="E15" s="339">
        <v>15090</v>
      </c>
      <c r="F15" s="339">
        <f>870391</f>
        <v>870391</v>
      </c>
      <c r="G15" s="339"/>
      <c r="H15" s="339">
        <v>15090</v>
      </c>
      <c r="I15" s="339">
        <f>870391</f>
        <v>870391</v>
      </c>
      <c r="J15" s="332"/>
      <c r="N15" s="332"/>
    </row>
    <row r="16" spans="1:16" s="333" customFormat="1" ht="26">
      <c r="A16" s="340" t="s">
        <v>456</v>
      </c>
      <c r="B16" s="341"/>
      <c r="C16" s="341"/>
      <c r="D16" s="337"/>
      <c r="E16" s="337">
        <f>E14-E15</f>
        <v>11200</v>
      </c>
      <c r="F16" s="342">
        <f>F14-F15</f>
        <v>646017</v>
      </c>
      <c r="G16" s="337"/>
      <c r="H16" s="337">
        <f>H14-H15</f>
        <v>9115</v>
      </c>
      <c r="I16" s="342">
        <f>I14-I15</f>
        <v>525754</v>
      </c>
      <c r="J16" s="332"/>
      <c r="N16" s="332"/>
    </row>
  </sheetData>
  <mergeCells count="11">
    <mergeCell ref="H1:I1"/>
    <mergeCell ref="A2:I2"/>
    <mergeCell ref="A4:A6"/>
    <mergeCell ref="B4:B6"/>
    <mergeCell ref="C4:C6"/>
    <mergeCell ref="D4:D6"/>
    <mergeCell ref="A10:A11"/>
    <mergeCell ref="B10:B11"/>
    <mergeCell ref="C10:C11"/>
    <mergeCell ref="D10:F10"/>
    <mergeCell ref="G10:I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97F07-939A-4987-972A-887C2998EAA8}">
  <dimension ref="A1:G4"/>
  <sheetViews>
    <sheetView zoomScale="75" zoomScaleNormal="75" workbookViewId="0">
      <selection activeCell="E4" sqref="E4"/>
    </sheetView>
  </sheetViews>
  <sheetFormatPr defaultColWidth="9.1796875" defaultRowHeight="13"/>
  <cols>
    <col min="1" max="1" width="49.7265625" style="297" customWidth="1"/>
    <col min="2" max="2" width="25.7265625" style="297" customWidth="1"/>
    <col min="3" max="3" width="21.54296875" style="297" customWidth="1"/>
    <col min="4" max="4" width="23.7265625" style="297" customWidth="1"/>
    <col min="5" max="5" width="26.26953125" style="297" customWidth="1"/>
    <col min="6" max="6" width="25.7265625" style="297" customWidth="1"/>
    <col min="7" max="7" width="28.81640625" style="297" customWidth="1"/>
    <col min="8" max="16384" width="9.1796875" style="297"/>
  </cols>
  <sheetData>
    <row r="1" spans="1:7">
      <c r="G1" s="297" t="s">
        <v>467</v>
      </c>
    </row>
    <row r="2" spans="1:7">
      <c r="A2" s="1563" t="s">
        <v>458</v>
      </c>
      <c r="B2" s="1563"/>
      <c r="C2" s="1563"/>
      <c r="D2" s="1563"/>
      <c r="E2" s="1563"/>
      <c r="F2" s="1563"/>
      <c r="G2" s="1563"/>
    </row>
    <row r="3" spans="1:7" ht="65">
      <c r="A3" s="300" t="s">
        <v>459</v>
      </c>
      <c r="B3" s="300" t="s">
        <v>460</v>
      </c>
      <c r="C3" s="300" t="s">
        <v>461</v>
      </c>
      <c r="D3" s="300" t="s">
        <v>462</v>
      </c>
      <c r="E3" s="300" t="s">
        <v>463</v>
      </c>
      <c r="F3" s="300" t="s">
        <v>464</v>
      </c>
      <c r="G3" s="300" t="s">
        <v>465</v>
      </c>
    </row>
    <row r="4" spans="1:7" ht="52">
      <c r="A4" s="343" t="s">
        <v>466</v>
      </c>
      <c r="B4" s="344">
        <v>407</v>
      </c>
      <c r="C4" s="344">
        <v>188537</v>
      </c>
      <c r="D4" s="345">
        <f>B4*1.1</f>
        <v>447.70000000000005</v>
      </c>
      <c r="E4" s="346">
        <f>C4*1.1</f>
        <v>207390.7</v>
      </c>
      <c r="F4" s="346">
        <v>207390.7</v>
      </c>
      <c r="G4" s="346">
        <v>207390.7</v>
      </c>
    </row>
  </sheetData>
  <mergeCells count="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Aktivitātes</vt:lpstr>
      <vt:lpstr>Sheet2</vt:lpstr>
      <vt:lpstr>1.1.</vt:lpstr>
      <vt:lpstr>1.2.</vt:lpstr>
      <vt:lpstr>1.3.</vt:lpstr>
      <vt:lpstr>1.4.</vt:lpstr>
      <vt:lpstr>1.5.1.</vt:lpstr>
      <vt:lpstr>1.5.2.</vt:lpstr>
      <vt:lpstr>1.5.3.</vt:lpstr>
      <vt:lpstr>1.6.</vt:lpstr>
      <vt:lpstr>2.1.</vt:lpstr>
      <vt:lpstr>2.2.</vt:lpstr>
      <vt:lpstr>2.6.</vt:lpstr>
      <vt:lpstr>2.10.</vt:lpstr>
      <vt:lpstr>3.1.</vt:lpstr>
      <vt:lpstr>4.1.</vt:lpstr>
      <vt:lpstr>4.2.</vt:lpstr>
      <vt:lpstr>4.3.</vt:lpstr>
      <vt:lpstr>5.2.</vt:lpstr>
      <vt:lpstr>6.1.</vt:lpstr>
      <vt:lpstr>6.3.1.</vt:lpstr>
      <vt:lpstr>6.3.2.</vt:lpstr>
      <vt:lpstr>6.3.3</vt:lpstr>
      <vt:lpstr>6.3.4.</vt:lpstr>
      <vt:lpstr>6.3.5.</vt:lpstr>
      <vt:lpstr>6.5.</vt:lpstr>
      <vt:lpstr>6.6.</vt:lpstr>
      <vt:lpstr>6.7.</vt:lpstr>
      <vt:lpstr>7.1.</vt:lpstr>
      <vt:lpstr>7.2.</vt:lpstr>
      <vt:lpstr>7.3.</vt:lpstr>
      <vt:lpstr>8.1.1_8.1.2_8.2.</vt:lpstr>
      <vt:lpstr>8.3.</vt:lpstr>
      <vt:lpstr>8.6.</vt:lpstr>
      <vt:lpstr>8.7.</vt:lpstr>
      <vt:lpstr>8.8.</vt:lpstr>
      <vt:lpstr>9.1.1.</vt:lpstr>
      <vt:lpstr>9.1.2.</vt:lpstr>
      <vt:lpstr>9.4.1.</vt:lpstr>
      <vt:lpstr>10.1.</vt:lpstr>
      <vt:lpstr>11.1.1.</vt:lpstr>
      <vt:lpstr>12.1.1.</vt:lpstr>
      <vt:lpstr>12.1.2.</vt:lpstr>
      <vt:lpstr>12.1.3.</vt:lpstr>
      <vt:lpstr>12.1.5.</vt:lpstr>
      <vt:lpstr>12.1.6.</vt:lpstr>
      <vt:lpstr>12.1.7.</vt:lpstr>
      <vt:lpstr>13.1.1.</vt:lpstr>
      <vt:lpstr>13.1.2.</vt:lpstr>
      <vt:lpstr>13.1.3.</vt:lpstr>
      <vt:lpstr>13.1.4.</vt:lpstr>
      <vt:lpstr>13.1.5.</vt:lpstr>
      <vt:lpstr>13.1.7.</vt:lpstr>
      <vt:lpstr>13.1.8.</vt:lpstr>
      <vt:lpstr>13.1.9.</vt:lpstr>
      <vt:lpstr>13.1.10.</vt:lpstr>
      <vt:lpstr>13.1.11.</vt:lpstr>
      <vt:lpstr>13.1.12.</vt:lpstr>
      <vt:lpstr>13.1.13.</vt:lpstr>
      <vt:lpstr>13.1.14.</vt:lpstr>
      <vt:lpstr>14.1.</vt:lpstr>
      <vt:lpstr>14.3.</vt:lpstr>
      <vt:lpstr>14.4.</vt:lpstr>
      <vt:lpstr>14.5.</vt:lpstr>
      <vt:lpstr>16.1.</vt:lpstr>
      <vt:lpstr>16.2.</vt:lpstr>
      <vt:lpstr>16.3.</vt:lpstr>
      <vt:lpstr>16.4.</vt:lpstr>
      <vt:lpstr>18.3</vt:lpstr>
      <vt:lpstr>19.1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Daiga Šantare</dc:creator>
  <cp:lastModifiedBy>Lolita Meļķe</cp:lastModifiedBy>
  <cp:lastPrinted>2021-05-19T17:16:43Z</cp:lastPrinted>
  <dcterms:created xsi:type="dcterms:W3CDTF">2021-03-30T16:01:17Z</dcterms:created>
  <dcterms:modified xsi:type="dcterms:W3CDTF">2021-07-14T12:03:14Z</dcterms:modified>
</cp:coreProperties>
</file>